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IFERROR(__xludf.DUMMYFUNCTION("GOOGLEFINANCE("".INX"", ""All"", ""12/31/1985"", ""10/01/2021"",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IFERROR(__xludf.DUMMYFUNCTION("""COMPUTED_VALUE"""),31412.666666666668)</f>
        <v>31412.66667</v>
      </c>
      <c r="B2" s="1">
        <f>IFERROR(__xludf.DUMMYFUNCTION("""COMPUTED_VALUE"""),210.68)</f>
        <v>210.68</v>
      </c>
      <c r="C2" s="1">
        <f>IFERROR(__xludf.DUMMYFUNCTION("""COMPUTED_VALUE"""),211.61)</f>
        <v>211.61</v>
      </c>
      <c r="D2" s="1">
        <f>IFERROR(__xludf.DUMMYFUNCTION("""COMPUTED_VALUE"""),210.68)</f>
        <v>210.68</v>
      </c>
      <c r="E2" s="1">
        <f>IFERROR(__xludf.DUMMYFUNCTION("""COMPUTED_VALUE"""),211.28)</f>
        <v>211.28</v>
      </c>
      <c r="F2" s="1">
        <f>IFERROR(__xludf.DUMMYFUNCTION("""COMPUTED_VALUE"""),1.7609376E7)</f>
        <v>17609376</v>
      </c>
    </row>
    <row r="3">
      <c r="A3" s="2">
        <f>IFERROR(__xludf.DUMMYFUNCTION("""COMPUTED_VALUE"""),31414.666666666668)</f>
        <v>31414.66667</v>
      </c>
      <c r="B3" s="1">
        <f>IFERROR(__xludf.DUMMYFUNCTION("""COMPUTED_VALUE"""),211.28)</f>
        <v>211.28</v>
      </c>
      <c r="C3" s="1">
        <f>IFERROR(__xludf.DUMMYFUNCTION("""COMPUTED_VALUE"""),211.28)</f>
        <v>211.28</v>
      </c>
      <c r="D3" s="1">
        <f>IFERROR(__xludf.DUMMYFUNCTION("""COMPUTED_VALUE"""),208.93)</f>
        <v>208.93</v>
      </c>
      <c r="E3" s="1">
        <f>IFERROR(__xludf.DUMMYFUNCTION("""COMPUTED_VALUE"""),209.59)</f>
        <v>209.59</v>
      </c>
      <c r="F3" s="1">
        <f>IFERROR(__xludf.DUMMYFUNCTION("""COMPUTED_VALUE"""),1.54625E7)</f>
        <v>15462500</v>
      </c>
    </row>
    <row r="4">
      <c r="A4" s="2">
        <f>IFERROR(__xludf.DUMMYFUNCTION("""COMPUTED_VALUE"""),31415.666666666668)</f>
        <v>31415.66667</v>
      </c>
      <c r="B4" s="1">
        <f>IFERROR(__xludf.DUMMYFUNCTION("""COMPUTED_VALUE"""),209.59)</f>
        <v>209.59</v>
      </c>
      <c r="C4" s="1">
        <f>IFERROR(__xludf.DUMMYFUNCTION("""COMPUTED_VALUE"""),210.88)</f>
        <v>210.88</v>
      </c>
      <c r="D4" s="1">
        <f>IFERROR(__xludf.DUMMYFUNCTION("""COMPUTED_VALUE"""),209.51)</f>
        <v>209.51</v>
      </c>
      <c r="E4" s="1">
        <f>IFERROR(__xludf.DUMMYFUNCTION("""COMPUTED_VALUE"""),210.88)</f>
        <v>210.88</v>
      </c>
      <c r="F4" s="1">
        <f>IFERROR(__xludf.DUMMYFUNCTION("""COMPUTED_VALUE"""),1.640625E7)</f>
        <v>16406250</v>
      </c>
    </row>
    <row r="5">
      <c r="A5" s="2">
        <f>IFERROR(__xludf.DUMMYFUNCTION("""COMPUTED_VALUE"""),31418.666666666668)</f>
        <v>31418.66667</v>
      </c>
      <c r="B5" s="1">
        <f>IFERROR(__xludf.DUMMYFUNCTION("""COMPUTED_VALUE"""),210.88)</f>
        <v>210.88</v>
      </c>
      <c r="C5" s="1">
        <f>IFERROR(__xludf.DUMMYFUNCTION("""COMPUTED_VALUE"""),210.98)</f>
        <v>210.98</v>
      </c>
      <c r="D5" s="1">
        <f>IFERROR(__xludf.DUMMYFUNCTION("""COMPUTED_VALUE"""),209.93)</f>
        <v>209.93</v>
      </c>
      <c r="E5" s="1">
        <f>IFERROR(__xludf.DUMMYFUNCTION("""COMPUTED_VALUE"""),210.65)</f>
        <v>210.65</v>
      </c>
      <c r="F5" s="1">
        <f>IFERROR(__xludf.DUMMYFUNCTION("""COMPUTED_VALUE"""),1.5564062E7)</f>
        <v>15564062</v>
      </c>
    </row>
    <row r="6">
      <c r="A6" s="2">
        <f>IFERROR(__xludf.DUMMYFUNCTION("""COMPUTED_VALUE"""),31419.666666666668)</f>
        <v>31419.66667</v>
      </c>
      <c r="B6" s="1">
        <f>IFERROR(__xludf.DUMMYFUNCTION("""COMPUTED_VALUE"""),210.65)</f>
        <v>210.65</v>
      </c>
      <c r="C6" s="1">
        <f>IFERROR(__xludf.DUMMYFUNCTION("""COMPUTED_VALUE"""),213.8)</f>
        <v>213.8</v>
      </c>
      <c r="D6" s="1">
        <f>IFERROR(__xludf.DUMMYFUNCTION("""COMPUTED_VALUE"""),210.65)</f>
        <v>210.65</v>
      </c>
      <c r="E6" s="1">
        <f>IFERROR(__xludf.DUMMYFUNCTION("""COMPUTED_VALUE"""),213.8)</f>
        <v>213.8</v>
      </c>
      <c r="F6" s="1">
        <f>IFERROR(__xludf.DUMMYFUNCTION("""COMPUTED_VALUE"""),2.390625E7)</f>
        <v>23906250</v>
      </c>
    </row>
    <row r="7">
      <c r="A7" s="2">
        <f>IFERROR(__xludf.DUMMYFUNCTION("""COMPUTED_VALUE"""),31420.666666666668)</f>
        <v>31420.66667</v>
      </c>
      <c r="B7" s="1">
        <f>IFERROR(__xludf.DUMMYFUNCTION("""COMPUTED_VALUE"""),213.8)</f>
        <v>213.8</v>
      </c>
      <c r="C7" s="1">
        <f>IFERROR(__xludf.DUMMYFUNCTION("""COMPUTED_VALUE"""),214.57)</f>
        <v>214.57</v>
      </c>
      <c r="D7" s="1">
        <f>IFERROR(__xludf.DUMMYFUNCTION("""COMPUTED_VALUE"""),207.49)</f>
        <v>207.49</v>
      </c>
      <c r="E7" s="1">
        <f>IFERROR(__xludf.DUMMYFUNCTION("""COMPUTED_VALUE"""),207.97)</f>
        <v>207.97</v>
      </c>
      <c r="F7" s="1">
        <f>IFERROR(__xludf.DUMMYFUNCTION("""COMPUTED_VALUE"""),2.8171876E7)</f>
        <v>28171876</v>
      </c>
    </row>
    <row r="8">
      <c r="A8" s="2">
        <f>IFERROR(__xludf.DUMMYFUNCTION("""COMPUTED_VALUE"""),31421.666666666668)</f>
        <v>31421.66667</v>
      </c>
      <c r="B8" s="1">
        <f>IFERROR(__xludf.DUMMYFUNCTION("""COMPUTED_VALUE"""),207.97)</f>
        <v>207.97</v>
      </c>
      <c r="C8" s="1">
        <f>IFERROR(__xludf.DUMMYFUNCTION("""COMPUTED_VALUE"""),207.97)</f>
        <v>207.97</v>
      </c>
      <c r="D8" s="1">
        <f>IFERROR(__xludf.DUMMYFUNCTION("""COMPUTED_VALUE"""),204.51)</f>
        <v>204.51</v>
      </c>
      <c r="E8" s="1">
        <f>IFERROR(__xludf.DUMMYFUNCTION("""COMPUTED_VALUE"""),206.11)</f>
        <v>206.11</v>
      </c>
      <c r="F8" s="1">
        <f>IFERROR(__xludf.DUMMYFUNCTION("""COMPUTED_VALUE"""),2.7578124E7)</f>
        <v>27578124</v>
      </c>
    </row>
    <row r="9">
      <c r="A9" s="2">
        <f>IFERROR(__xludf.DUMMYFUNCTION("""COMPUTED_VALUE"""),31422.666666666668)</f>
        <v>31422.66667</v>
      </c>
      <c r="B9" s="1">
        <f>IFERROR(__xludf.DUMMYFUNCTION("""COMPUTED_VALUE"""),206.11)</f>
        <v>206.11</v>
      </c>
      <c r="C9" s="1">
        <f>IFERROR(__xludf.DUMMYFUNCTION("""COMPUTED_VALUE"""),207.33)</f>
        <v>207.33</v>
      </c>
      <c r="D9" s="1">
        <f>IFERROR(__xludf.DUMMYFUNCTION("""COMPUTED_VALUE"""),205.52)</f>
        <v>205.52</v>
      </c>
      <c r="E9" s="1">
        <f>IFERROR(__xludf.DUMMYFUNCTION("""COMPUTED_VALUE"""),205.96)</f>
        <v>205.96</v>
      </c>
      <c r="F9" s="1">
        <f>IFERROR(__xludf.DUMMYFUNCTION("""COMPUTED_VALUE"""),1.91875E7)</f>
        <v>19187500</v>
      </c>
    </row>
    <row r="10">
      <c r="A10" s="2">
        <f>IFERROR(__xludf.DUMMYFUNCTION("""COMPUTED_VALUE"""),31425.666666666668)</f>
        <v>31425.66667</v>
      </c>
      <c r="B10" s="1">
        <f>IFERROR(__xludf.DUMMYFUNCTION("""COMPUTED_VALUE"""),205.96)</f>
        <v>205.96</v>
      </c>
      <c r="C10" s="1">
        <f>IFERROR(__xludf.DUMMYFUNCTION("""COMPUTED_VALUE"""),206.83)</f>
        <v>206.83</v>
      </c>
      <c r="D10" s="1">
        <f>IFERROR(__xludf.DUMMYFUNCTION("""COMPUTED_VALUE"""),205.52)</f>
        <v>205.52</v>
      </c>
      <c r="E10" s="1">
        <f>IFERROR(__xludf.DUMMYFUNCTION("""COMPUTED_VALUE"""),206.72)</f>
        <v>206.72</v>
      </c>
      <c r="F10" s="1">
        <f>IFERROR(__xludf.DUMMYFUNCTION("""COMPUTED_VALUE"""),1.6984376E7)</f>
        <v>16984376</v>
      </c>
    </row>
    <row r="11">
      <c r="A11" s="2">
        <f>IFERROR(__xludf.DUMMYFUNCTION("""COMPUTED_VALUE"""),31426.666666666668)</f>
        <v>31426.66667</v>
      </c>
      <c r="B11" s="1">
        <f>IFERROR(__xludf.DUMMYFUNCTION("""COMPUTED_VALUE"""),206.72)</f>
        <v>206.72</v>
      </c>
      <c r="C11" s="1">
        <f>IFERROR(__xludf.DUMMYFUNCTION("""COMPUTED_VALUE"""),207.37)</f>
        <v>207.37</v>
      </c>
      <c r="D11" s="1">
        <f>IFERROR(__xludf.DUMMYFUNCTION("""COMPUTED_VALUE"""),206.06)</f>
        <v>206.06</v>
      </c>
      <c r="E11" s="1">
        <f>IFERROR(__xludf.DUMMYFUNCTION("""COMPUTED_VALUE"""),206.64)</f>
        <v>206.64</v>
      </c>
      <c r="F11" s="1">
        <f>IFERROR(__xludf.DUMMYFUNCTION("""COMPUTED_VALUE"""),1.7796876E7)</f>
        <v>17796876</v>
      </c>
    </row>
    <row r="12">
      <c r="A12" s="2">
        <f>IFERROR(__xludf.DUMMYFUNCTION("""COMPUTED_VALUE"""),31427.666666666668)</f>
        <v>31427.66667</v>
      </c>
      <c r="B12" s="1">
        <f>IFERROR(__xludf.DUMMYFUNCTION("""COMPUTED_VALUE"""),206.64)</f>
        <v>206.64</v>
      </c>
      <c r="C12" s="1">
        <f>IFERROR(__xludf.DUMMYFUNCTION("""COMPUTED_VALUE"""),208.27)</f>
        <v>208.27</v>
      </c>
      <c r="D12" s="1">
        <f>IFERROR(__xludf.DUMMYFUNCTION("""COMPUTED_VALUE"""),206.64)</f>
        <v>206.64</v>
      </c>
      <c r="E12" s="1">
        <f>IFERROR(__xludf.DUMMYFUNCTION("""COMPUTED_VALUE"""),208.26)</f>
        <v>208.26</v>
      </c>
      <c r="F12" s="1">
        <f>IFERROR(__xludf.DUMMYFUNCTION("""COMPUTED_VALUE"""),1.9125E7)</f>
        <v>19125000</v>
      </c>
    </row>
    <row r="13">
      <c r="A13" s="2">
        <f>IFERROR(__xludf.DUMMYFUNCTION("""COMPUTED_VALUE"""),31428.666666666668)</f>
        <v>31428.66667</v>
      </c>
      <c r="B13" s="1">
        <f>IFERROR(__xludf.DUMMYFUNCTION("""COMPUTED_VALUE"""),208.26)</f>
        <v>208.26</v>
      </c>
      <c r="C13" s="1">
        <f>IFERROR(__xludf.DUMMYFUNCTION("""COMPUTED_VALUE"""),209.18)</f>
        <v>209.18</v>
      </c>
      <c r="D13" s="1">
        <f>IFERROR(__xludf.DUMMYFUNCTION("""COMPUTED_VALUE"""),207.61)</f>
        <v>207.61</v>
      </c>
      <c r="E13" s="1">
        <f>IFERROR(__xludf.DUMMYFUNCTION("""COMPUTED_VALUE"""),209.17)</f>
        <v>209.17</v>
      </c>
      <c r="F13" s="1">
        <f>IFERROR(__xludf.DUMMYFUNCTION("""COMPUTED_VALUE"""),2.0390624E7)</f>
        <v>20390624</v>
      </c>
    </row>
    <row r="14">
      <c r="A14" s="2">
        <f>IFERROR(__xludf.DUMMYFUNCTION("""COMPUTED_VALUE"""),31429.666666666668)</f>
        <v>31429.66667</v>
      </c>
      <c r="B14" s="1">
        <f>IFERROR(__xludf.DUMMYFUNCTION("""COMPUTED_VALUE"""),209.17)</f>
        <v>209.17</v>
      </c>
      <c r="C14" s="1">
        <f>IFERROR(__xludf.DUMMYFUNCTION("""COMPUTED_VALUE"""),209.4)</f>
        <v>209.4</v>
      </c>
      <c r="D14" s="1">
        <f>IFERROR(__xludf.DUMMYFUNCTION("""COMPUTED_VALUE"""),207.59)</f>
        <v>207.59</v>
      </c>
      <c r="E14" s="1">
        <f>IFERROR(__xludf.DUMMYFUNCTION("""COMPUTED_VALUE"""),208.43)</f>
        <v>208.43</v>
      </c>
      <c r="F14" s="1">
        <f>IFERROR(__xludf.DUMMYFUNCTION("""COMPUTED_VALUE"""),2.0640624E7)</f>
        <v>20640624</v>
      </c>
    </row>
    <row r="15">
      <c r="A15" s="2">
        <f>IFERROR(__xludf.DUMMYFUNCTION("""COMPUTED_VALUE"""),31432.666666666668)</f>
        <v>31432.66667</v>
      </c>
      <c r="B15" s="1">
        <f>IFERROR(__xludf.DUMMYFUNCTION("""COMPUTED_VALUE"""),208.43)</f>
        <v>208.43</v>
      </c>
      <c r="C15" s="1">
        <f>IFERROR(__xludf.DUMMYFUNCTION("""COMPUTED_VALUE"""),208.43)</f>
        <v>208.43</v>
      </c>
      <c r="D15" s="1">
        <f>IFERROR(__xludf.DUMMYFUNCTION("""COMPUTED_VALUE"""),206.62)</f>
        <v>206.62</v>
      </c>
      <c r="E15" s="1">
        <f>IFERROR(__xludf.DUMMYFUNCTION("""COMPUTED_VALUE"""),207.53)</f>
        <v>207.53</v>
      </c>
      <c r="F15" s="1">
        <f>IFERROR(__xludf.DUMMYFUNCTION("""COMPUTED_VALUE"""),1.3334375E7)</f>
        <v>13334375</v>
      </c>
    </row>
    <row r="16">
      <c r="A16" s="2">
        <f>IFERROR(__xludf.DUMMYFUNCTION("""COMPUTED_VALUE"""),31433.666666666668)</f>
        <v>31433.66667</v>
      </c>
      <c r="B16" s="1">
        <f>IFERROR(__xludf.DUMMYFUNCTION("""COMPUTED_VALUE"""),207.53)</f>
        <v>207.53</v>
      </c>
      <c r="C16" s="1">
        <f>IFERROR(__xludf.DUMMYFUNCTION("""COMPUTED_VALUE"""),207.78)</f>
        <v>207.78</v>
      </c>
      <c r="D16" s="1">
        <f>IFERROR(__xludf.DUMMYFUNCTION("""COMPUTED_VALUE"""),205.05)</f>
        <v>205.05</v>
      </c>
      <c r="E16" s="1">
        <f>IFERROR(__xludf.DUMMYFUNCTION("""COMPUTED_VALUE"""),205.79)</f>
        <v>205.79</v>
      </c>
      <c r="F16" s="1">
        <f>IFERROR(__xludf.DUMMYFUNCTION("""COMPUTED_VALUE"""),2.0046876E7)</f>
        <v>20046876</v>
      </c>
    </row>
    <row r="17">
      <c r="A17" s="2">
        <f>IFERROR(__xludf.DUMMYFUNCTION("""COMPUTED_VALUE"""),31434.666666666668)</f>
        <v>31434.66667</v>
      </c>
      <c r="B17" s="1">
        <f>IFERROR(__xludf.DUMMYFUNCTION("""COMPUTED_VALUE"""),205.79)</f>
        <v>205.79</v>
      </c>
      <c r="C17" s="1">
        <f>IFERROR(__xludf.DUMMYFUNCTION("""COMPUTED_VALUE"""),206.03)</f>
        <v>206.03</v>
      </c>
      <c r="D17" s="1">
        <f>IFERROR(__xludf.DUMMYFUNCTION("""COMPUTED_VALUE"""),203.41)</f>
        <v>203.41</v>
      </c>
      <c r="E17" s="1">
        <f>IFERROR(__xludf.DUMMYFUNCTION("""COMPUTED_VALUE"""),203.49)</f>
        <v>203.49</v>
      </c>
      <c r="F17" s="1">
        <f>IFERROR(__xludf.DUMMYFUNCTION("""COMPUTED_VALUE"""),2.05E7)</f>
        <v>20500000</v>
      </c>
    </row>
    <row r="18">
      <c r="A18" s="2">
        <f>IFERROR(__xludf.DUMMYFUNCTION("""COMPUTED_VALUE"""),31435.666666666668)</f>
        <v>31435.66667</v>
      </c>
      <c r="B18" s="1">
        <f>IFERROR(__xludf.DUMMYFUNCTION("""COMPUTED_VALUE"""),203.49)</f>
        <v>203.49</v>
      </c>
      <c r="C18" s="1">
        <f>IFERROR(__xludf.DUMMYFUNCTION("""COMPUTED_VALUE"""),204.43)</f>
        <v>204.43</v>
      </c>
      <c r="D18" s="1">
        <f>IFERROR(__xludf.DUMMYFUNCTION("""COMPUTED_VALUE"""),202.6)</f>
        <v>202.6</v>
      </c>
      <c r="E18" s="1">
        <f>IFERROR(__xludf.DUMMYFUNCTION("""COMPUTED_VALUE"""),204.25)</f>
        <v>204.25</v>
      </c>
      <c r="F18" s="1">
        <f>IFERROR(__xludf.DUMMYFUNCTION("""COMPUTED_VALUE"""),2.0359376E7)</f>
        <v>20359376</v>
      </c>
    </row>
    <row r="19">
      <c r="A19" s="2">
        <f>IFERROR(__xludf.DUMMYFUNCTION("""COMPUTED_VALUE"""),31436.666666666668)</f>
        <v>31436.66667</v>
      </c>
      <c r="B19" s="1">
        <f>IFERROR(__xludf.DUMMYFUNCTION("""COMPUTED_VALUE"""),204.25)</f>
        <v>204.25</v>
      </c>
      <c r="C19" s="1">
        <f>IFERROR(__xludf.DUMMYFUNCTION("""COMPUTED_VALUE"""),206.43)</f>
        <v>206.43</v>
      </c>
      <c r="D19" s="1">
        <f>IFERROR(__xludf.DUMMYFUNCTION("""COMPUTED_VALUE"""),204.25)</f>
        <v>204.25</v>
      </c>
      <c r="E19" s="1">
        <f>IFERROR(__xludf.DUMMYFUNCTION("""COMPUTED_VALUE"""),206.43)</f>
        <v>206.43</v>
      </c>
      <c r="F19" s="1">
        <f>IFERROR(__xludf.DUMMYFUNCTION("""COMPUTED_VALUE"""),2.0140624E7)</f>
        <v>20140624</v>
      </c>
    </row>
    <row r="20">
      <c r="A20" s="2">
        <f>IFERROR(__xludf.DUMMYFUNCTION("""COMPUTED_VALUE"""),31439.666666666668)</f>
        <v>31439.66667</v>
      </c>
      <c r="B20" s="1">
        <f>IFERROR(__xludf.DUMMYFUNCTION("""COMPUTED_VALUE"""),206.43)</f>
        <v>206.43</v>
      </c>
      <c r="C20" s="1">
        <f>IFERROR(__xludf.DUMMYFUNCTION("""COMPUTED_VALUE"""),207.69)</f>
        <v>207.69</v>
      </c>
      <c r="D20" s="1">
        <f>IFERROR(__xludf.DUMMYFUNCTION("""COMPUTED_VALUE"""),206.43)</f>
        <v>206.43</v>
      </c>
      <c r="E20" s="1">
        <f>IFERROR(__xludf.DUMMYFUNCTION("""COMPUTED_VALUE"""),207.39)</f>
        <v>207.39</v>
      </c>
      <c r="F20" s="1">
        <f>IFERROR(__xludf.DUMMYFUNCTION("""COMPUTED_VALUE"""),1.9203124E7)</f>
        <v>19203124</v>
      </c>
    </row>
    <row r="21">
      <c r="A21" s="2">
        <f>IFERROR(__xludf.DUMMYFUNCTION("""COMPUTED_VALUE"""),31440.666666666668)</f>
        <v>31440.66667</v>
      </c>
      <c r="B21" s="1">
        <f>IFERROR(__xludf.DUMMYFUNCTION("""COMPUTED_VALUE"""),207.42)</f>
        <v>207.42</v>
      </c>
      <c r="C21" s="1">
        <f>IFERROR(__xludf.DUMMYFUNCTION("""COMPUTED_VALUE"""),209.82)</f>
        <v>209.82</v>
      </c>
      <c r="D21" s="1">
        <f>IFERROR(__xludf.DUMMYFUNCTION("""COMPUTED_VALUE"""),207.4)</f>
        <v>207.4</v>
      </c>
      <c r="E21" s="1">
        <f>IFERROR(__xludf.DUMMYFUNCTION("""COMPUTED_VALUE"""),209.81)</f>
        <v>209.81</v>
      </c>
      <c r="F21" s="1">
        <f>IFERROR(__xludf.DUMMYFUNCTION("""COMPUTED_VALUE"""),2.2765624E7)</f>
        <v>22765624</v>
      </c>
    </row>
    <row r="22">
      <c r="A22" s="2">
        <f>IFERROR(__xludf.DUMMYFUNCTION("""COMPUTED_VALUE"""),31441.666666666668)</f>
        <v>31441.66667</v>
      </c>
      <c r="B22" s="1">
        <f>IFERROR(__xludf.DUMMYFUNCTION("""COMPUTED_VALUE"""),209.81)</f>
        <v>209.81</v>
      </c>
      <c r="C22" s="1">
        <f>IFERROR(__xludf.DUMMYFUNCTION("""COMPUTED_VALUE"""),212.36)</f>
        <v>212.36</v>
      </c>
      <c r="D22" s="1">
        <f>IFERROR(__xludf.DUMMYFUNCTION("""COMPUTED_VALUE"""),209.81)</f>
        <v>209.81</v>
      </c>
      <c r="E22" s="1">
        <f>IFERROR(__xludf.DUMMYFUNCTION("""COMPUTED_VALUE"""),210.29)</f>
        <v>210.29</v>
      </c>
      <c r="F22" s="1">
        <f>IFERROR(__xludf.DUMMYFUNCTION("""COMPUTED_VALUE"""),3.028125E7)</f>
        <v>30281250</v>
      </c>
    </row>
    <row r="23">
      <c r="A23" s="2">
        <f>IFERROR(__xludf.DUMMYFUNCTION("""COMPUTED_VALUE"""),31442.666666666668)</f>
        <v>31442.66667</v>
      </c>
      <c r="B23" s="1">
        <f>IFERROR(__xludf.DUMMYFUNCTION("""COMPUTED_VALUE"""),210.29)</f>
        <v>210.29</v>
      </c>
      <c r="C23" s="1">
        <f>IFERROR(__xludf.DUMMYFUNCTION("""COMPUTED_VALUE"""),211.54)</f>
        <v>211.54</v>
      </c>
      <c r="D23" s="1">
        <f>IFERROR(__xludf.DUMMYFUNCTION("""COMPUTED_VALUE"""),209.15)</f>
        <v>209.15</v>
      </c>
      <c r="E23" s="1">
        <f>IFERROR(__xludf.DUMMYFUNCTION("""COMPUTED_VALUE"""),209.33)</f>
        <v>209.33</v>
      </c>
      <c r="F23" s="1">
        <f>IFERROR(__xludf.DUMMYFUNCTION("""COMPUTED_VALUE"""),1.9578124E7)</f>
        <v>19578124</v>
      </c>
    </row>
    <row r="24">
      <c r="A24" s="2">
        <f>IFERROR(__xludf.DUMMYFUNCTION("""COMPUTED_VALUE"""),31443.666666666668)</f>
        <v>31443.66667</v>
      </c>
      <c r="B24" s="1">
        <f>IFERROR(__xludf.DUMMYFUNCTION("""COMPUTED_VALUE"""),209.33)</f>
        <v>209.33</v>
      </c>
      <c r="C24" s="1">
        <f>IFERROR(__xludf.DUMMYFUNCTION("""COMPUTED_VALUE"""),212.42)</f>
        <v>212.42</v>
      </c>
      <c r="D24" s="1">
        <f>IFERROR(__xludf.DUMMYFUNCTION("""COMPUTED_VALUE"""),209.19)</f>
        <v>209.19</v>
      </c>
      <c r="E24" s="1">
        <f>IFERROR(__xludf.DUMMYFUNCTION("""COMPUTED_VALUE"""),211.78)</f>
        <v>211.78</v>
      </c>
      <c r="F24" s="1">
        <f>IFERROR(__xludf.DUMMYFUNCTION("""COMPUTED_VALUE"""),2.2421876E7)</f>
        <v>22421876</v>
      </c>
    </row>
    <row r="25">
      <c r="A25" s="2">
        <f>IFERROR(__xludf.DUMMYFUNCTION("""COMPUTED_VALUE"""),31446.666666666668)</f>
        <v>31446.66667</v>
      </c>
      <c r="B25" s="1">
        <f>IFERROR(__xludf.DUMMYFUNCTION("""COMPUTED_VALUE"""),211.78)</f>
        <v>211.78</v>
      </c>
      <c r="C25" s="1">
        <f>IFERROR(__xludf.DUMMYFUNCTION("""COMPUTED_VALUE"""),214.18)</f>
        <v>214.18</v>
      </c>
      <c r="D25" s="1">
        <f>IFERROR(__xludf.DUMMYFUNCTION("""COMPUTED_VALUE"""),211.6)</f>
        <v>211.6</v>
      </c>
      <c r="E25" s="1">
        <f>IFERROR(__xludf.DUMMYFUNCTION("""COMPUTED_VALUE"""),213.96)</f>
        <v>213.96</v>
      </c>
      <c r="F25" s="1">
        <f>IFERROR(__xludf.DUMMYFUNCTION("""COMPUTED_VALUE"""),2.2703124E7)</f>
        <v>22703124</v>
      </c>
    </row>
    <row r="26">
      <c r="A26" s="2">
        <f>IFERROR(__xludf.DUMMYFUNCTION("""COMPUTED_VALUE"""),31447.666666666668)</f>
        <v>31447.66667</v>
      </c>
      <c r="B26" s="1">
        <f>IFERROR(__xludf.DUMMYFUNCTION("""COMPUTED_VALUE"""),213.96)</f>
        <v>213.96</v>
      </c>
      <c r="C26" s="1">
        <f>IFERROR(__xludf.DUMMYFUNCTION("""COMPUTED_VALUE"""),214.57)</f>
        <v>214.57</v>
      </c>
      <c r="D26" s="1">
        <f>IFERROR(__xludf.DUMMYFUNCTION("""COMPUTED_VALUE"""),210.82)</f>
        <v>210.82</v>
      </c>
      <c r="E26" s="1">
        <f>IFERROR(__xludf.DUMMYFUNCTION("""COMPUTED_VALUE"""),212.79)</f>
        <v>212.79</v>
      </c>
      <c r="F26" s="1">
        <f>IFERROR(__xludf.DUMMYFUNCTION("""COMPUTED_VALUE"""),2.7453124E7)</f>
        <v>27453124</v>
      </c>
    </row>
    <row r="27">
      <c r="A27" s="2">
        <f>IFERROR(__xludf.DUMMYFUNCTION("""COMPUTED_VALUE"""),31448.666666666668)</f>
        <v>31448.66667</v>
      </c>
      <c r="B27" s="1">
        <f>IFERROR(__xludf.DUMMYFUNCTION("""COMPUTED_VALUE"""),212.84)</f>
        <v>212.84</v>
      </c>
      <c r="C27" s="1">
        <f>IFERROR(__xludf.DUMMYFUNCTION("""COMPUTED_VALUE"""),213.03)</f>
        <v>213.03</v>
      </c>
      <c r="D27" s="1">
        <f>IFERROR(__xludf.DUMMYFUNCTION("""COMPUTED_VALUE"""),211.21)</f>
        <v>211.21</v>
      </c>
      <c r="E27" s="1">
        <f>IFERROR(__xludf.DUMMYFUNCTION("""COMPUTED_VALUE"""),212.96)</f>
        <v>212.96</v>
      </c>
      <c r="F27" s="1">
        <f>IFERROR(__xludf.DUMMYFUNCTION("""COMPUTED_VALUE"""),2.0984376E7)</f>
        <v>20984376</v>
      </c>
    </row>
    <row r="28">
      <c r="A28" s="2">
        <f>IFERROR(__xludf.DUMMYFUNCTION("""COMPUTED_VALUE"""),31449.666666666668)</f>
        <v>31449.66667</v>
      </c>
      <c r="B28" s="1">
        <f>IFERROR(__xludf.DUMMYFUNCTION("""COMPUTED_VALUE"""),212.96)</f>
        <v>212.96</v>
      </c>
      <c r="C28" s="1">
        <f>IFERROR(__xludf.DUMMYFUNCTION("""COMPUTED_VALUE"""),214.51)</f>
        <v>214.51</v>
      </c>
      <c r="D28" s="1">
        <f>IFERROR(__xludf.DUMMYFUNCTION("""COMPUTED_VALUE"""),212.6)</f>
        <v>212.6</v>
      </c>
      <c r="E28" s="1">
        <f>IFERROR(__xludf.DUMMYFUNCTION("""COMPUTED_VALUE"""),213.47)</f>
        <v>213.47</v>
      </c>
      <c r="F28" s="1">
        <f>IFERROR(__xludf.DUMMYFUNCTION("""COMPUTED_VALUE"""),2.2828124E7)</f>
        <v>22828124</v>
      </c>
    </row>
    <row r="29">
      <c r="A29" s="2">
        <f>IFERROR(__xludf.DUMMYFUNCTION("""COMPUTED_VALUE"""),31450.666666666668)</f>
        <v>31450.66667</v>
      </c>
      <c r="B29" s="1">
        <f>IFERROR(__xludf.DUMMYFUNCTION("""COMPUTED_VALUE"""),213.47)</f>
        <v>213.47</v>
      </c>
      <c r="C29" s="1">
        <f>IFERROR(__xludf.DUMMYFUNCTION("""COMPUTED_VALUE"""),215.27)</f>
        <v>215.27</v>
      </c>
      <c r="D29" s="1">
        <f>IFERROR(__xludf.DUMMYFUNCTION("""COMPUTED_VALUE"""),211.13)</f>
        <v>211.13</v>
      </c>
      <c r="E29" s="1">
        <f>IFERROR(__xludf.DUMMYFUNCTION("""COMPUTED_VALUE"""),214.56)</f>
        <v>214.56</v>
      </c>
      <c r="F29" s="1">
        <f>IFERROR(__xludf.DUMMYFUNCTION("""COMPUTED_VALUE"""),2.25625E7)</f>
        <v>22562500</v>
      </c>
    </row>
    <row r="30">
      <c r="A30" s="2">
        <f>IFERROR(__xludf.DUMMYFUNCTION("""COMPUTED_VALUE"""),31453.666666666668)</f>
        <v>31453.66667</v>
      </c>
      <c r="B30" s="1">
        <f>IFERROR(__xludf.DUMMYFUNCTION("""COMPUTED_VALUE"""),214.56)</f>
        <v>214.56</v>
      </c>
      <c r="C30" s="1">
        <f>IFERROR(__xludf.DUMMYFUNCTION("""COMPUTED_VALUE"""),216.24)</f>
        <v>216.24</v>
      </c>
      <c r="D30" s="1">
        <f>IFERROR(__xludf.DUMMYFUNCTION("""COMPUTED_VALUE"""),214.47)</f>
        <v>214.47</v>
      </c>
      <c r="E30" s="1">
        <f>IFERROR(__xludf.DUMMYFUNCTION("""COMPUTED_VALUE"""),216.24)</f>
        <v>216.24</v>
      </c>
      <c r="F30" s="1">
        <f>IFERROR(__xludf.DUMMYFUNCTION("""COMPUTED_VALUE"""),2.0296876E7)</f>
        <v>20296876</v>
      </c>
    </row>
    <row r="31">
      <c r="A31" s="2">
        <f>IFERROR(__xludf.DUMMYFUNCTION("""COMPUTED_VALUE"""),31454.666666666668)</f>
        <v>31454.66667</v>
      </c>
      <c r="B31" s="1">
        <f>IFERROR(__xludf.DUMMYFUNCTION("""COMPUTED_VALUE"""),216.24)</f>
        <v>216.24</v>
      </c>
      <c r="C31" s="1">
        <f>IFERROR(__xludf.DUMMYFUNCTION("""COMPUTED_VALUE"""),216.67)</f>
        <v>216.67</v>
      </c>
      <c r="D31" s="1">
        <f>IFERROR(__xludf.DUMMYFUNCTION("""COMPUTED_VALUE"""),215.54)</f>
        <v>215.54</v>
      </c>
      <c r="E31" s="1">
        <f>IFERROR(__xludf.DUMMYFUNCTION("""COMPUTED_VALUE"""),215.92)</f>
        <v>215.92</v>
      </c>
      <c r="F31" s="1">
        <f>IFERROR(__xludf.DUMMYFUNCTION("""COMPUTED_VALUE"""),2.2078124E7)</f>
        <v>22078124</v>
      </c>
    </row>
    <row r="32">
      <c r="A32" s="2">
        <f>IFERROR(__xludf.DUMMYFUNCTION("""COMPUTED_VALUE"""),31455.666666666668)</f>
        <v>31455.66667</v>
      </c>
      <c r="B32" s="1">
        <f>IFERROR(__xludf.DUMMYFUNCTION("""COMPUTED_VALUE"""),215.92)</f>
        <v>215.92</v>
      </c>
      <c r="C32" s="1">
        <f>IFERROR(__xludf.DUMMYFUNCTION("""COMPUTED_VALUE"""),216.28)</f>
        <v>216.28</v>
      </c>
      <c r="D32" s="1">
        <f>IFERROR(__xludf.DUMMYFUNCTION("""COMPUTED_VALUE"""),215.13)</f>
        <v>215.13</v>
      </c>
      <c r="E32" s="1">
        <f>IFERROR(__xludf.DUMMYFUNCTION("""COMPUTED_VALUE"""),215.97)</f>
        <v>215.97</v>
      </c>
      <c r="F32" s="1">
        <f>IFERROR(__xludf.DUMMYFUNCTION("""COMPUTED_VALUE"""),2.13125E7)</f>
        <v>21312500</v>
      </c>
    </row>
    <row r="33">
      <c r="A33" s="2">
        <f>IFERROR(__xludf.DUMMYFUNCTION("""COMPUTED_VALUE"""),31456.666666666668)</f>
        <v>31456.66667</v>
      </c>
      <c r="B33" s="1">
        <f>IFERROR(__xludf.DUMMYFUNCTION("""COMPUTED_VALUE"""),215.97)</f>
        <v>215.97</v>
      </c>
      <c r="C33" s="1">
        <f>IFERROR(__xludf.DUMMYFUNCTION("""COMPUTED_VALUE"""),217.41)</f>
        <v>217.41</v>
      </c>
      <c r="D33" s="1">
        <f>IFERROR(__xludf.DUMMYFUNCTION("""COMPUTED_VALUE"""),215.38)</f>
        <v>215.38</v>
      </c>
      <c r="E33" s="1">
        <f>IFERROR(__xludf.DUMMYFUNCTION("""COMPUTED_VALUE"""),217.4)</f>
        <v>217.4</v>
      </c>
      <c r="F33" s="1">
        <f>IFERROR(__xludf.DUMMYFUNCTION("""COMPUTED_VALUE"""),2.1328124E7)</f>
        <v>21328124</v>
      </c>
    </row>
    <row r="34">
      <c r="A34" s="2">
        <f>IFERROR(__xludf.DUMMYFUNCTION("""COMPUTED_VALUE"""),31457.666666666668)</f>
        <v>31457.66667</v>
      </c>
      <c r="B34" s="1">
        <f>IFERROR(__xludf.DUMMYFUNCTION("""COMPUTED_VALUE"""),217.4)</f>
        <v>217.4</v>
      </c>
      <c r="C34" s="1">
        <f>IFERROR(__xludf.DUMMYFUNCTION("""COMPUTED_VALUE"""),219.76)</f>
        <v>219.76</v>
      </c>
      <c r="D34" s="1">
        <f>IFERROR(__xludf.DUMMYFUNCTION("""COMPUTED_VALUE"""),217.22)</f>
        <v>217.22</v>
      </c>
      <c r="E34" s="1">
        <f>IFERROR(__xludf.DUMMYFUNCTION("""COMPUTED_VALUE"""),219.76)</f>
        <v>219.76</v>
      </c>
      <c r="F34" s="1">
        <f>IFERROR(__xludf.DUMMYFUNCTION("""COMPUTED_VALUE"""),2.43125E7)</f>
        <v>24312500</v>
      </c>
    </row>
    <row r="35">
      <c r="A35" s="2">
        <f>IFERROR(__xludf.DUMMYFUNCTION("""COMPUTED_VALUE"""),31461.666666666668)</f>
        <v>31461.66667</v>
      </c>
      <c r="B35" s="1">
        <f>IFERROR(__xludf.DUMMYFUNCTION("""COMPUTED_VALUE"""),219.76)</f>
        <v>219.76</v>
      </c>
      <c r="C35" s="1">
        <f>IFERROR(__xludf.DUMMYFUNCTION("""COMPUTED_VALUE"""),222.45)</f>
        <v>222.45</v>
      </c>
      <c r="D35" s="1">
        <f>IFERROR(__xludf.DUMMYFUNCTION("""COMPUTED_VALUE"""),219.26)</f>
        <v>219.26</v>
      </c>
      <c r="E35" s="1">
        <f>IFERROR(__xludf.DUMMYFUNCTION("""COMPUTED_VALUE"""),222.45)</f>
        <v>222.45</v>
      </c>
      <c r="F35" s="1">
        <f>IFERROR(__xludf.DUMMYFUNCTION("""COMPUTED_VALUE"""),2.503125E7)</f>
        <v>25031250</v>
      </c>
    </row>
    <row r="36">
      <c r="A36" s="2">
        <f>IFERROR(__xludf.DUMMYFUNCTION("""COMPUTED_VALUE"""),31462.666666666668)</f>
        <v>31462.66667</v>
      </c>
      <c r="B36" s="1">
        <f>IFERROR(__xludf.DUMMYFUNCTION("""COMPUTED_VALUE"""),222.45)</f>
        <v>222.45</v>
      </c>
      <c r="C36" s="1">
        <f>IFERROR(__xludf.DUMMYFUNCTION("""COMPUTED_VALUE"""),222.96)</f>
        <v>222.96</v>
      </c>
      <c r="D36" s="1">
        <f>IFERROR(__xludf.DUMMYFUNCTION("""COMPUTED_VALUE"""),219.73)</f>
        <v>219.73</v>
      </c>
      <c r="E36" s="1">
        <f>IFERROR(__xludf.DUMMYFUNCTION("""COMPUTED_VALUE"""),219.76)</f>
        <v>219.76</v>
      </c>
      <c r="F36" s="1">
        <f>IFERROR(__xludf.DUMMYFUNCTION("""COMPUTED_VALUE"""),2.375E7)</f>
        <v>23750000</v>
      </c>
    </row>
    <row r="37">
      <c r="A37" s="2">
        <f>IFERROR(__xludf.DUMMYFUNCTION("""COMPUTED_VALUE"""),31463.666666666668)</f>
        <v>31463.66667</v>
      </c>
      <c r="B37" s="1">
        <f>IFERROR(__xludf.DUMMYFUNCTION("""COMPUTED_VALUE"""),219.76)</f>
        <v>219.76</v>
      </c>
      <c r="C37" s="1">
        <f>IFERROR(__xludf.DUMMYFUNCTION("""COMPUTED_VALUE"""),222.22)</f>
        <v>222.22</v>
      </c>
      <c r="D37" s="1">
        <f>IFERROR(__xludf.DUMMYFUNCTION("""COMPUTED_VALUE"""),219.22)</f>
        <v>219.22</v>
      </c>
      <c r="E37" s="1">
        <f>IFERROR(__xludf.DUMMYFUNCTION("""COMPUTED_VALUE"""),222.22)</f>
        <v>222.22</v>
      </c>
      <c r="F37" s="1">
        <f>IFERROR(__xludf.DUMMYFUNCTION("""COMPUTED_VALUE"""),2.1828124E7)</f>
        <v>21828124</v>
      </c>
    </row>
    <row r="38">
      <c r="A38" s="2">
        <f>IFERROR(__xludf.DUMMYFUNCTION("""COMPUTED_VALUE"""),31464.666666666668)</f>
        <v>31464.66667</v>
      </c>
      <c r="B38" s="1">
        <f>IFERROR(__xludf.DUMMYFUNCTION("""COMPUTED_VALUE"""),222.22)</f>
        <v>222.22</v>
      </c>
      <c r="C38" s="1">
        <f>IFERROR(__xludf.DUMMYFUNCTION("""COMPUTED_VALUE"""),224.62)</f>
        <v>224.62</v>
      </c>
      <c r="D38" s="1">
        <f>IFERROR(__xludf.DUMMYFUNCTION("""COMPUTED_VALUE"""),222.22)</f>
        <v>222.22</v>
      </c>
      <c r="E38" s="1">
        <f>IFERROR(__xludf.DUMMYFUNCTION("""COMPUTED_VALUE"""),224.62)</f>
        <v>224.62</v>
      </c>
      <c r="F38" s="1">
        <f>IFERROR(__xludf.DUMMYFUNCTION("""COMPUTED_VALUE"""),2.775E7)</f>
        <v>27750000</v>
      </c>
    </row>
    <row r="39">
      <c r="A39" s="2">
        <f>IFERROR(__xludf.DUMMYFUNCTION("""COMPUTED_VALUE"""),31467.666666666668)</f>
        <v>31467.66667</v>
      </c>
      <c r="B39" s="1">
        <f>IFERROR(__xludf.DUMMYFUNCTION("""COMPUTED_VALUE"""),224.58)</f>
        <v>224.58</v>
      </c>
      <c r="C39" s="1">
        <f>IFERROR(__xludf.DUMMYFUNCTION("""COMPUTED_VALUE"""),225.29)</f>
        <v>225.29</v>
      </c>
      <c r="D39" s="1">
        <f>IFERROR(__xludf.DUMMYFUNCTION("""COMPUTED_VALUE"""),223.31)</f>
        <v>223.31</v>
      </c>
      <c r="E39" s="1">
        <f>IFERROR(__xludf.DUMMYFUNCTION("""COMPUTED_VALUE"""),224.34)</f>
        <v>224.34</v>
      </c>
      <c r="F39" s="1">
        <f>IFERROR(__xludf.DUMMYFUNCTION("""COMPUTED_VALUE"""),2.2609376E7)</f>
        <v>22609376</v>
      </c>
    </row>
    <row r="40">
      <c r="A40" s="2">
        <f>IFERROR(__xludf.DUMMYFUNCTION("""COMPUTED_VALUE"""),31468.666666666668)</f>
        <v>31468.66667</v>
      </c>
      <c r="B40" s="1">
        <f>IFERROR(__xludf.DUMMYFUNCTION("""COMPUTED_VALUE"""),224.34)</f>
        <v>224.34</v>
      </c>
      <c r="C40" s="1">
        <f>IFERROR(__xludf.DUMMYFUNCTION("""COMPUTED_VALUE"""),224.4)</f>
        <v>224.4</v>
      </c>
      <c r="D40" s="1">
        <f>IFERROR(__xludf.DUMMYFUNCTION("""COMPUTED_VALUE"""),222.63)</f>
        <v>222.63</v>
      </c>
      <c r="E40" s="1">
        <f>IFERROR(__xludf.DUMMYFUNCTION("""COMPUTED_VALUE"""),223.79)</f>
        <v>223.79</v>
      </c>
      <c r="F40" s="1">
        <f>IFERROR(__xludf.DUMMYFUNCTION("""COMPUTED_VALUE"""),2.3125E7)</f>
        <v>23125000</v>
      </c>
    </row>
    <row r="41">
      <c r="A41" s="2">
        <f>IFERROR(__xludf.DUMMYFUNCTION("""COMPUTED_VALUE"""),31469.666666666668)</f>
        <v>31469.66667</v>
      </c>
      <c r="B41" s="1">
        <f>IFERROR(__xludf.DUMMYFUNCTION("""COMPUTED_VALUE"""),223.72)</f>
        <v>223.72</v>
      </c>
      <c r="C41" s="1">
        <f>IFERROR(__xludf.DUMMYFUNCTION("""COMPUTED_VALUE"""),224.59)</f>
        <v>224.59</v>
      </c>
      <c r="D41" s="1">
        <f>IFERROR(__xludf.DUMMYFUNCTION("""COMPUTED_VALUE"""),223.15)</f>
        <v>223.15</v>
      </c>
      <c r="E41" s="1">
        <f>IFERROR(__xludf.DUMMYFUNCTION("""COMPUTED_VALUE"""),224.04)</f>
        <v>224.04</v>
      </c>
      <c r="F41" s="1">
        <f>IFERROR(__xludf.DUMMYFUNCTION("""COMPUTED_VALUE"""),2.46875E7)</f>
        <v>24687500</v>
      </c>
    </row>
    <row r="42">
      <c r="A42" s="2">
        <f>IFERROR(__xludf.DUMMYFUNCTION("""COMPUTED_VALUE"""),31470.666666666668)</f>
        <v>31470.66667</v>
      </c>
      <c r="B42" s="1">
        <f>IFERROR(__xludf.DUMMYFUNCTION("""COMPUTED_VALUE"""),224.04)</f>
        <v>224.04</v>
      </c>
      <c r="C42" s="1">
        <f>IFERROR(__xludf.DUMMYFUNCTION("""COMPUTED_VALUE"""),226.88)</f>
        <v>226.88</v>
      </c>
      <c r="D42" s="1">
        <f>IFERROR(__xludf.DUMMYFUNCTION("""COMPUTED_VALUE"""),223.41)</f>
        <v>223.41</v>
      </c>
      <c r="E42" s="1">
        <f>IFERROR(__xludf.DUMMYFUNCTION("""COMPUTED_VALUE"""),226.77)</f>
        <v>226.77</v>
      </c>
      <c r="F42" s="1">
        <f>IFERROR(__xludf.DUMMYFUNCTION("""COMPUTED_VALUE"""),2.8390624E7)</f>
        <v>28390624</v>
      </c>
    </row>
    <row r="43">
      <c r="A43" s="2">
        <f>IFERROR(__xludf.DUMMYFUNCTION("""COMPUTED_VALUE"""),31471.666666666668)</f>
        <v>31471.66667</v>
      </c>
      <c r="B43" s="1">
        <f>IFERROR(__xludf.DUMMYFUNCTION("""COMPUTED_VALUE"""),226.77)</f>
        <v>226.77</v>
      </c>
      <c r="C43" s="1">
        <f>IFERROR(__xludf.DUMMYFUNCTION("""COMPUTED_VALUE"""),227.92)</f>
        <v>227.92</v>
      </c>
      <c r="D43" s="1">
        <f>IFERROR(__xludf.DUMMYFUNCTION("""COMPUTED_VALUE"""),225.42)</f>
        <v>225.42</v>
      </c>
      <c r="E43" s="1">
        <f>IFERROR(__xludf.DUMMYFUNCTION("""COMPUTED_VALUE"""),226.92)</f>
        <v>226.92</v>
      </c>
      <c r="F43" s="1">
        <f>IFERROR(__xludf.DUMMYFUNCTION("""COMPUTED_VALUE"""),2.9953124E7)</f>
        <v>29953124</v>
      </c>
    </row>
    <row r="44">
      <c r="A44" s="2">
        <f>IFERROR(__xludf.DUMMYFUNCTION("""COMPUTED_VALUE"""),31474.666666666668)</f>
        <v>31474.66667</v>
      </c>
      <c r="B44" s="1">
        <f>IFERROR(__xludf.DUMMYFUNCTION("""COMPUTED_VALUE"""),226.92)</f>
        <v>226.92</v>
      </c>
      <c r="C44" s="1">
        <f>IFERROR(__xludf.DUMMYFUNCTION("""COMPUTED_VALUE"""),226.92)</f>
        <v>226.92</v>
      </c>
      <c r="D44" s="1">
        <f>IFERROR(__xludf.DUMMYFUNCTION("""COMPUTED_VALUE"""),224.41)</f>
        <v>224.41</v>
      </c>
      <c r="E44" s="1">
        <f>IFERROR(__xludf.DUMMYFUNCTION("""COMPUTED_VALUE"""),225.42)</f>
        <v>225.42</v>
      </c>
      <c r="F44" s="1">
        <f>IFERROR(__xludf.DUMMYFUNCTION("""COMPUTED_VALUE"""),2.2296876E7)</f>
        <v>22296876</v>
      </c>
    </row>
    <row r="45">
      <c r="A45" s="2">
        <f>IFERROR(__xludf.DUMMYFUNCTION("""COMPUTED_VALUE"""),31475.666666666668)</f>
        <v>31475.66667</v>
      </c>
      <c r="B45" s="1">
        <f>IFERROR(__xludf.DUMMYFUNCTION("""COMPUTED_VALUE"""),225.42)</f>
        <v>225.42</v>
      </c>
      <c r="C45" s="1">
        <f>IFERROR(__xludf.DUMMYFUNCTION("""COMPUTED_VALUE"""),227.33)</f>
        <v>227.33</v>
      </c>
      <c r="D45" s="1">
        <f>IFERROR(__xludf.DUMMYFUNCTION("""COMPUTED_VALUE"""),223.94)</f>
        <v>223.94</v>
      </c>
      <c r="E45" s="1">
        <f>IFERROR(__xludf.DUMMYFUNCTION("""COMPUTED_VALUE"""),224.38)</f>
        <v>224.38</v>
      </c>
      <c r="F45" s="1">
        <f>IFERROR(__xludf.DUMMYFUNCTION("""COMPUTED_VALUE"""),2.7265624E7)</f>
        <v>27265624</v>
      </c>
    </row>
    <row r="46">
      <c r="A46" s="2">
        <f>IFERROR(__xludf.DUMMYFUNCTION("""COMPUTED_VALUE"""),31476.666666666668)</f>
        <v>31476.66667</v>
      </c>
      <c r="B46" s="1">
        <f>IFERROR(__xludf.DUMMYFUNCTION("""COMPUTED_VALUE"""),224.14)</f>
        <v>224.14</v>
      </c>
      <c r="C46" s="1">
        <f>IFERROR(__xludf.DUMMYFUNCTION("""COMPUTED_VALUE"""),224.37)</f>
        <v>224.37</v>
      </c>
      <c r="D46" s="1">
        <f>IFERROR(__xludf.DUMMYFUNCTION("""COMPUTED_VALUE"""),222.18)</f>
        <v>222.18</v>
      </c>
      <c r="E46" s="1">
        <f>IFERROR(__xludf.DUMMYFUNCTION("""COMPUTED_VALUE"""),224.34)</f>
        <v>224.34</v>
      </c>
      <c r="F46" s="1">
        <f>IFERROR(__xludf.DUMMYFUNCTION("""COMPUTED_VALUE"""),2.415625E7)</f>
        <v>24156250</v>
      </c>
    </row>
    <row r="47">
      <c r="A47" s="2">
        <f>IFERROR(__xludf.DUMMYFUNCTION("""COMPUTED_VALUE"""),31477.666666666668)</f>
        <v>31477.66667</v>
      </c>
      <c r="B47" s="1">
        <f>IFERROR(__xludf.DUMMYFUNCTION("""COMPUTED_VALUE"""),224.39)</f>
        <v>224.39</v>
      </c>
      <c r="C47" s="1">
        <f>IFERROR(__xludf.DUMMYFUNCTION("""COMPUTED_VALUE"""),225.5)</f>
        <v>225.5</v>
      </c>
      <c r="D47" s="1">
        <f>IFERROR(__xludf.DUMMYFUNCTION("""COMPUTED_VALUE"""),224.13)</f>
        <v>224.13</v>
      </c>
      <c r="E47" s="1">
        <f>IFERROR(__xludf.DUMMYFUNCTION("""COMPUTED_VALUE"""),225.13)</f>
        <v>225.13</v>
      </c>
      <c r="F47" s="1">
        <f>IFERROR(__xludf.DUMMYFUNCTION("""COMPUTED_VALUE"""),2.484375E7)</f>
        <v>24843750</v>
      </c>
    </row>
    <row r="48">
      <c r="A48" s="2">
        <f>IFERROR(__xludf.DUMMYFUNCTION("""COMPUTED_VALUE"""),31478.666666666668)</f>
        <v>31478.66667</v>
      </c>
      <c r="B48" s="1">
        <f>IFERROR(__xludf.DUMMYFUNCTION("""COMPUTED_VALUE"""),225.13)</f>
        <v>225.13</v>
      </c>
      <c r="C48" s="1">
        <f>IFERROR(__xludf.DUMMYFUNCTION("""COMPUTED_VALUE"""),226.33)</f>
        <v>226.33</v>
      </c>
      <c r="D48" s="1">
        <f>IFERROR(__xludf.DUMMYFUNCTION("""COMPUTED_VALUE"""),224.44)</f>
        <v>224.44</v>
      </c>
      <c r="E48" s="1">
        <f>IFERROR(__xludf.DUMMYFUNCTION("""COMPUTED_VALUE"""),225.57)</f>
        <v>225.57</v>
      </c>
      <c r="F48" s="1">
        <f>IFERROR(__xludf.DUMMYFUNCTION("""COMPUTED_VALUE"""),2.55E7)</f>
        <v>25500000</v>
      </c>
    </row>
    <row r="49">
      <c r="A49" s="2">
        <f>IFERROR(__xludf.DUMMYFUNCTION("""COMPUTED_VALUE"""),31481.666666666668)</f>
        <v>31481.66667</v>
      </c>
      <c r="B49" s="1">
        <f>IFERROR(__xludf.DUMMYFUNCTION("""COMPUTED_VALUE"""),225.57)</f>
        <v>225.57</v>
      </c>
      <c r="C49" s="1">
        <f>IFERROR(__xludf.DUMMYFUNCTION("""COMPUTED_VALUE"""),226.98)</f>
        <v>226.98</v>
      </c>
      <c r="D49" s="1">
        <f>IFERROR(__xludf.DUMMYFUNCTION("""COMPUTED_VALUE"""),225.36)</f>
        <v>225.36</v>
      </c>
      <c r="E49" s="1">
        <f>IFERROR(__xludf.DUMMYFUNCTION("""COMPUTED_VALUE"""),226.58)</f>
        <v>226.58</v>
      </c>
      <c r="F49" s="1">
        <f>IFERROR(__xludf.DUMMYFUNCTION("""COMPUTED_VALUE"""),2.0296876E7)</f>
        <v>20296876</v>
      </c>
    </row>
    <row r="50">
      <c r="A50" s="2">
        <f>IFERROR(__xludf.DUMMYFUNCTION("""COMPUTED_VALUE"""),31482.666666666668)</f>
        <v>31482.66667</v>
      </c>
      <c r="B50" s="1">
        <f>IFERROR(__xludf.DUMMYFUNCTION("""COMPUTED_VALUE"""),226.58)</f>
        <v>226.58</v>
      </c>
      <c r="C50" s="1">
        <f>IFERROR(__xludf.DUMMYFUNCTION("""COMPUTED_VALUE"""),231.81)</f>
        <v>231.81</v>
      </c>
      <c r="D50" s="1">
        <f>IFERROR(__xludf.DUMMYFUNCTION("""COMPUTED_VALUE"""),226.58)</f>
        <v>226.58</v>
      </c>
      <c r="E50" s="1">
        <f>IFERROR(__xludf.DUMMYFUNCTION("""COMPUTED_VALUE"""),231.69)</f>
        <v>231.69</v>
      </c>
      <c r="F50" s="1">
        <f>IFERROR(__xludf.DUMMYFUNCTION("""COMPUTED_VALUE"""),2.9265624E7)</f>
        <v>29265624</v>
      </c>
    </row>
    <row r="51">
      <c r="A51" s="2">
        <f>IFERROR(__xludf.DUMMYFUNCTION("""COMPUTED_VALUE"""),31483.666666666668)</f>
        <v>31483.66667</v>
      </c>
      <c r="B51" s="1">
        <f>IFERROR(__xludf.DUMMYFUNCTION("""COMPUTED_VALUE"""),231.69)</f>
        <v>231.69</v>
      </c>
      <c r="C51" s="1">
        <f>IFERROR(__xludf.DUMMYFUNCTION("""COMPUTED_VALUE"""),234.7)</f>
        <v>234.7</v>
      </c>
      <c r="D51" s="1">
        <f>IFERROR(__xludf.DUMMYFUNCTION("""COMPUTED_VALUE"""),231.68)</f>
        <v>231.68</v>
      </c>
      <c r="E51" s="1">
        <f>IFERROR(__xludf.DUMMYFUNCTION("""COMPUTED_VALUE"""),232.54)</f>
        <v>232.54</v>
      </c>
      <c r="F51" s="1">
        <f>IFERROR(__xludf.DUMMYFUNCTION("""COMPUTED_VALUE"""),3.2859376E7)</f>
        <v>32859376</v>
      </c>
    </row>
    <row r="52">
      <c r="A52" s="2">
        <f>IFERROR(__xludf.DUMMYFUNCTION("""COMPUTED_VALUE"""),31484.666666666668)</f>
        <v>31484.66667</v>
      </c>
      <c r="B52" s="1">
        <f>IFERROR(__xludf.DUMMYFUNCTION("""COMPUTED_VALUE"""),232.54)</f>
        <v>232.54</v>
      </c>
      <c r="C52" s="1">
        <f>IFERROR(__xludf.DUMMYFUNCTION("""COMPUTED_VALUE"""),233.89)</f>
        <v>233.89</v>
      </c>
      <c r="D52" s="1">
        <f>IFERROR(__xludf.DUMMYFUNCTION("""COMPUTED_VALUE"""),231.27)</f>
        <v>231.27</v>
      </c>
      <c r="E52" s="1">
        <f>IFERROR(__xludf.DUMMYFUNCTION("""COMPUTED_VALUE"""),233.19)</f>
        <v>233.19</v>
      </c>
      <c r="F52" s="1">
        <f>IFERROR(__xludf.DUMMYFUNCTION("""COMPUTED_VALUE"""),2.6796876E7)</f>
        <v>26796876</v>
      </c>
    </row>
    <row r="53">
      <c r="A53" s="2">
        <f>IFERROR(__xludf.DUMMYFUNCTION("""COMPUTED_VALUE"""),31485.666666666668)</f>
        <v>31485.66667</v>
      </c>
      <c r="B53" s="1">
        <f>IFERROR(__xludf.DUMMYFUNCTION("""COMPUTED_VALUE"""),233.19)</f>
        <v>233.19</v>
      </c>
      <c r="C53" s="1">
        <f>IFERROR(__xludf.DUMMYFUNCTION("""COMPUTED_VALUE"""),236.55)</f>
        <v>236.55</v>
      </c>
      <c r="D53" s="1">
        <f>IFERROR(__xludf.DUMMYFUNCTION("""COMPUTED_VALUE"""),232.58)</f>
        <v>232.58</v>
      </c>
      <c r="E53" s="1">
        <f>IFERROR(__xludf.DUMMYFUNCTION("""COMPUTED_VALUE"""),236.55)</f>
        <v>236.55</v>
      </c>
      <c r="F53" s="1">
        <f>IFERROR(__xludf.DUMMYFUNCTION("""COMPUTED_VALUE"""),2.8421876E7)</f>
        <v>28421876</v>
      </c>
    </row>
    <row r="54">
      <c r="A54" s="2">
        <f>IFERROR(__xludf.DUMMYFUNCTION("""COMPUTED_VALUE"""),31488.666666666668)</f>
        <v>31488.66667</v>
      </c>
      <c r="B54" s="1">
        <f>IFERROR(__xludf.DUMMYFUNCTION("""COMPUTED_VALUE"""),236.55)</f>
        <v>236.55</v>
      </c>
      <c r="C54" s="1">
        <f>IFERROR(__xludf.DUMMYFUNCTION("""COMPUTED_VALUE"""),236.55)</f>
        <v>236.55</v>
      </c>
      <c r="D54" s="1">
        <f>IFERROR(__xludf.DUMMYFUNCTION("""COMPUTED_VALUE"""),233.69)</f>
        <v>233.69</v>
      </c>
      <c r="E54" s="1">
        <f>IFERROR(__xludf.DUMMYFUNCTION("""COMPUTED_VALUE"""),234.67)</f>
        <v>234.67</v>
      </c>
      <c r="F54" s="1">
        <f>IFERROR(__xludf.DUMMYFUNCTION("""COMPUTED_VALUE"""),2.1484376E7)</f>
        <v>21484376</v>
      </c>
    </row>
    <row r="55">
      <c r="A55" s="2">
        <f>IFERROR(__xludf.DUMMYFUNCTION("""COMPUTED_VALUE"""),31489.666666666668)</f>
        <v>31489.66667</v>
      </c>
      <c r="B55" s="1">
        <f>IFERROR(__xludf.DUMMYFUNCTION("""COMPUTED_VALUE"""),234.67)</f>
        <v>234.67</v>
      </c>
      <c r="C55" s="1">
        <f>IFERROR(__xludf.DUMMYFUNCTION("""COMPUTED_VALUE"""),236.52)</f>
        <v>236.52</v>
      </c>
      <c r="D55" s="1">
        <f>IFERROR(__xludf.DUMMYFUNCTION("""COMPUTED_VALUE"""),234.14)</f>
        <v>234.14</v>
      </c>
      <c r="E55" s="1">
        <f>IFERROR(__xludf.DUMMYFUNCTION("""COMPUTED_VALUE"""),235.78)</f>
        <v>235.78</v>
      </c>
      <c r="F55" s="1">
        <f>IFERROR(__xludf.DUMMYFUNCTION("""COMPUTED_VALUE"""),2.3125E7)</f>
        <v>23125000</v>
      </c>
    </row>
    <row r="56">
      <c r="A56" s="2">
        <f>IFERROR(__xludf.DUMMYFUNCTION("""COMPUTED_VALUE"""),31490.666666666668)</f>
        <v>31490.66667</v>
      </c>
      <c r="B56" s="1">
        <f>IFERROR(__xludf.DUMMYFUNCTION("""COMPUTED_VALUE"""),235.78)</f>
        <v>235.78</v>
      </c>
      <c r="C56" s="1">
        <f>IFERROR(__xludf.DUMMYFUNCTION("""COMPUTED_VALUE"""),236.52)</f>
        <v>236.52</v>
      </c>
      <c r="D56" s="1">
        <f>IFERROR(__xludf.DUMMYFUNCTION("""COMPUTED_VALUE"""),235.13)</f>
        <v>235.13</v>
      </c>
      <c r="E56" s="1">
        <f>IFERROR(__xludf.DUMMYFUNCTION("""COMPUTED_VALUE"""),235.6)</f>
        <v>235.6</v>
      </c>
      <c r="F56" s="1">
        <f>IFERROR(__xludf.DUMMYFUNCTION("""COMPUTED_VALUE"""),2.34375E7)</f>
        <v>23437500</v>
      </c>
    </row>
    <row r="57">
      <c r="A57" s="2">
        <f>IFERROR(__xludf.DUMMYFUNCTION("""COMPUTED_VALUE"""),31491.666666666668)</f>
        <v>31491.66667</v>
      </c>
      <c r="B57" s="1">
        <f>IFERROR(__xludf.DUMMYFUNCTION("""COMPUTED_VALUE"""),235.6)</f>
        <v>235.6</v>
      </c>
      <c r="C57" s="1">
        <f>IFERROR(__xludf.DUMMYFUNCTION("""COMPUTED_VALUE"""),237.09)</f>
        <v>237.09</v>
      </c>
      <c r="D57" s="1">
        <f>IFERROR(__xludf.DUMMYFUNCTION("""COMPUTED_VALUE"""),235.6)</f>
        <v>235.6</v>
      </c>
      <c r="E57" s="1">
        <f>IFERROR(__xludf.DUMMYFUNCTION("""COMPUTED_VALUE"""),236.54)</f>
        <v>236.54</v>
      </c>
      <c r="F57" s="1">
        <f>IFERROR(__xludf.DUMMYFUNCTION("""COMPUTED_VALUE"""),2.3125E7)</f>
        <v>23125000</v>
      </c>
    </row>
    <row r="58">
      <c r="A58" s="2">
        <f>IFERROR(__xludf.DUMMYFUNCTION("""COMPUTED_VALUE"""),31492.666666666668)</f>
        <v>31492.66667</v>
      </c>
      <c r="B58" s="1">
        <f>IFERROR(__xludf.DUMMYFUNCTION("""COMPUTED_VALUE"""),236.54)</f>
        <v>236.54</v>
      </c>
      <c r="C58" s="1">
        <f>IFERROR(__xludf.DUMMYFUNCTION("""COMPUTED_VALUE"""),237.35)</f>
        <v>237.35</v>
      </c>
      <c r="D58" s="1">
        <f>IFERROR(__xludf.DUMMYFUNCTION("""COMPUTED_VALUE"""),233.29)</f>
        <v>233.29</v>
      </c>
      <c r="E58" s="1">
        <f>IFERROR(__xludf.DUMMYFUNCTION("""COMPUTED_VALUE"""),233.34)</f>
        <v>233.34</v>
      </c>
      <c r="F58" s="1">
        <f>IFERROR(__xludf.DUMMYFUNCTION("""COMPUTED_VALUE"""),3.1109376E7)</f>
        <v>31109376</v>
      </c>
    </row>
    <row r="59">
      <c r="A59" s="2">
        <f>IFERROR(__xludf.DUMMYFUNCTION("""COMPUTED_VALUE"""),31495.666666666668)</f>
        <v>31495.66667</v>
      </c>
      <c r="B59" s="1">
        <f>IFERROR(__xludf.DUMMYFUNCTION("""COMPUTED_VALUE"""),233.34)</f>
        <v>233.34</v>
      </c>
      <c r="C59" s="1">
        <f>IFERROR(__xludf.DUMMYFUNCTION("""COMPUTED_VALUE"""),235.33)</f>
        <v>235.33</v>
      </c>
      <c r="D59" s="1">
        <f>IFERROR(__xludf.DUMMYFUNCTION("""COMPUTED_VALUE"""),232.92)</f>
        <v>232.92</v>
      </c>
      <c r="E59" s="1">
        <f>IFERROR(__xludf.DUMMYFUNCTION("""COMPUTED_VALUE"""),235.33)</f>
        <v>235.33</v>
      </c>
      <c r="F59" s="1">
        <f>IFERROR(__xludf.DUMMYFUNCTION("""COMPUTED_VALUE"""),2.246875E7)</f>
        <v>22468750</v>
      </c>
    </row>
    <row r="60">
      <c r="A60" s="2">
        <f>IFERROR(__xludf.DUMMYFUNCTION("""COMPUTED_VALUE"""),31496.666666666668)</f>
        <v>31496.66667</v>
      </c>
      <c r="B60" s="1">
        <f>IFERROR(__xludf.DUMMYFUNCTION("""COMPUTED_VALUE"""),235.33)</f>
        <v>235.33</v>
      </c>
      <c r="C60" s="1">
        <f>IFERROR(__xludf.DUMMYFUNCTION("""COMPUTED_VALUE"""),235.33)</f>
        <v>235.33</v>
      </c>
      <c r="D60" s="1">
        <f>IFERROR(__xludf.DUMMYFUNCTION("""COMPUTED_VALUE"""),233.62)</f>
        <v>233.62</v>
      </c>
      <c r="E60" s="1">
        <f>IFERROR(__xludf.DUMMYFUNCTION("""COMPUTED_VALUE"""),234.72)</f>
        <v>234.72</v>
      </c>
      <c r="F60" s="1">
        <f>IFERROR(__xludf.DUMMYFUNCTION("""COMPUTED_VALUE"""),2.1765624E7)</f>
        <v>21765624</v>
      </c>
    </row>
    <row r="61">
      <c r="A61" s="2">
        <f>IFERROR(__xludf.DUMMYFUNCTION("""COMPUTED_VALUE"""),31497.666666666668)</f>
        <v>31497.66667</v>
      </c>
      <c r="B61" s="1">
        <f>IFERROR(__xludf.DUMMYFUNCTION("""COMPUTED_VALUE"""),234.72)</f>
        <v>234.72</v>
      </c>
      <c r="C61" s="1">
        <f>IFERROR(__xludf.DUMMYFUNCTION("""COMPUTED_VALUE"""),237.79)</f>
        <v>237.79</v>
      </c>
      <c r="D61" s="1">
        <f>IFERROR(__xludf.DUMMYFUNCTION("""COMPUTED_VALUE"""),234.71)</f>
        <v>234.71</v>
      </c>
      <c r="E61" s="1">
        <f>IFERROR(__xludf.DUMMYFUNCTION("""COMPUTED_VALUE"""),237.3)</f>
        <v>237.3</v>
      </c>
      <c r="F61" s="1">
        <f>IFERROR(__xludf.DUMMYFUNCTION("""COMPUTED_VALUE"""),2.5234376E7)</f>
        <v>25234376</v>
      </c>
    </row>
    <row r="62">
      <c r="A62" s="2">
        <f>IFERROR(__xludf.DUMMYFUNCTION("""COMPUTED_VALUE"""),31498.666666666668)</f>
        <v>31498.66667</v>
      </c>
      <c r="B62" s="1">
        <f>IFERROR(__xludf.DUMMYFUNCTION("""COMPUTED_VALUE"""),237.3)</f>
        <v>237.3</v>
      </c>
      <c r="C62" s="1">
        <f>IFERROR(__xludf.DUMMYFUNCTION("""COMPUTED_VALUE"""),240.11)</f>
        <v>240.11</v>
      </c>
      <c r="D62" s="1">
        <f>IFERROR(__xludf.DUMMYFUNCTION("""COMPUTED_VALUE"""),237.3)</f>
        <v>237.3</v>
      </c>
      <c r="E62" s="1">
        <f>IFERROR(__xludf.DUMMYFUNCTION("""COMPUTED_VALUE"""),238.97)</f>
        <v>238.97</v>
      </c>
      <c r="F62" s="1">
        <f>IFERROR(__xludf.DUMMYFUNCTION("""COMPUTED_VALUE"""),2.7828124E7)</f>
        <v>27828124</v>
      </c>
    </row>
    <row r="63">
      <c r="A63" s="2">
        <f>IFERROR(__xludf.DUMMYFUNCTION("""COMPUTED_VALUE"""),31499.666666666668)</f>
        <v>31499.66667</v>
      </c>
      <c r="B63" s="1">
        <f>IFERROR(__xludf.DUMMYFUNCTION("""COMPUTED_VALUE"""),238.9)</f>
        <v>238.9</v>
      </c>
      <c r="C63" s="1">
        <f>IFERROR(__xludf.DUMMYFUNCTION("""COMPUTED_VALUE"""),238.9)</f>
        <v>238.9</v>
      </c>
      <c r="D63" s="1">
        <f>IFERROR(__xludf.DUMMYFUNCTION("""COMPUTED_VALUE"""),238.9)</f>
        <v>238.9</v>
      </c>
      <c r="E63" s="1">
        <f>IFERROR(__xludf.DUMMYFUNCTION("""COMPUTED_VALUE"""),238.9)</f>
        <v>238.9</v>
      </c>
      <c r="F63" s="1">
        <f>IFERROR(__xludf.DUMMYFUNCTION("""COMPUTED_VALUE"""),0.0)</f>
        <v>0</v>
      </c>
    </row>
    <row r="64">
      <c r="A64" s="2">
        <f>IFERROR(__xludf.DUMMYFUNCTION("""COMPUTED_VALUE"""),31502.666666666668)</f>
        <v>31502.66667</v>
      </c>
      <c r="B64" s="1">
        <f>IFERROR(__xludf.DUMMYFUNCTION("""COMPUTED_VALUE"""),238.97)</f>
        <v>238.97</v>
      </c>
      <c r="C64" s="1">
        <f>IFERROR(__xludf.DUMMYFUNCTION("""COMPUTED_VALUE"""),239.86)</f>
        <v>239.86</v>
      </c>
      <c r="D64" s="1">
        <f>IFERROR(__xludf.DUMMYFUNCTION("""COMPUTED_VALUE"""),238.08)</f>
        <v>238.08</v>
      </c>
      <c r="E64" s="1">
        <f>IFERROR(__xludf.DUMMYFUNCTION("""COMPUTED_VALUE"""),238.9)</f>
        <v>238.9</v>
      </c>
      <c r="F64" s="1">
        <f>IFERROR(__xludf.DUMMYFUNCTION("""COMPUTED_VALUE"""),2.1E7)</f>
        <v>21000000</v>
      </c>
    </row>
    <row r="65">
      <c r="A65" s="2">
        <f>IFERROR(__xludf.DUMMYFUNCTION("""COMPUTED_VALUE"""),31503.666666666668)</f>
        <v>31503.66667</v>
      </c>
      <c r="B65" s="1">
        <f>IFERROR(__xludf.DUMMYFUNCTION("""COMPUTED_VALUE"""),238.9)</f>
        <v>238.9</v>
      </c>
      <c r="C65" s="1">
        <f>IFERROR(__xludf.DUMMYFUNCTION("""COMPUTED_VALUE"""),239.1)</f>
        <v>239.1</v>
      </c>
      <c r="D65" s="1">
        <f>IFERROR(__xludf.DUMMYFUNCTION("""COMPUTED_VALUE"""),234.57)</f>
        <v>234.57</v>
      </c>
      <c r="E65" s="1">
        <f>IFERROR(__xludf.DUMMYFUNCTION("""COMPUTED_VALUE"""),235.14)</f>
        <v>235.14</v>
      </c>
      <c r="F65" s="1">
        <f>IFERROR(__xludf.DUMMYFUNCTION("""COMPUTED_VALUE"""),2.615625E7)</f>
        <v>26156250</v>
      </c>
    </row>
    <row r="66">
      <c r="A66" s="2">
        <f>IFERROR(__xludf.DUMMYFUNCTION("""COMPUTED_VALUE"""),31504.666666666668)</f>
        <v>31504.66667</v>
      </c>
      <c r="B66" s="1">
        <f>IFERROR(__xludf.DUMMYFUNCTION("""COMPUTED_VALUE"""),235.14)</f>
        <v>235.14</v>
      </c>
      <c r="C66" s="1">
        <f>IFERROR(__xludf.DUMMYFUNCTION("""COMPUTED_VALUE"""),235.71)</f>
        <v>235.71</v>
      </c>
      <c r="D66" s="1">
        <f>IFERROR(__xludf.DUMMYFUNCTION("""COMPUTED_VALUE"""),233.4)</f>
        <v>233.4</v>
      </c>
      <c r="E66" s="1">
        <f>IFERROR(__xludf.DUMMYFUNCTION("""COMPUTED_VALUE"""),235.71)</f>
        <v>235.71</v>
      </c>
      <c r="F66" s="1">
        <f>IFERROR(__xludf.DUMMYFUNCTION("""COMPUTED_VALUE"""),2.2703124E7)</f>
        <v>22703124</v>
      </c>
    </row>
    <row r="67">
      <c r="A67" s="2">
        <f>IFERROR(__xludf.DUMMYFUNCTION("""COMPUTED_VALUE"""),31505.666666666668)</f>
        <v>31505.66667</v>
      </c>
      <c r="B67" s="1">
        <f>IFERROR(__xludf.DUMMYFUNCTION("""COMPUTED_VALUE"""),235.71)</f>
        <v>235.71</v>
      </c>
      <c r="C67" s="1">
        <f>IFERROR(__xludf.DUMMYFUNCTION("""COMPUTED_VALUE"""),236.42)</f>
        <v>236.42</v>
      </c>
      <c r="D67" s="1">
        <f>IFERROR(__xludf.DUMMYFUNCTION("""COMPUTED_VALUE"""),232.07)</f>
        <v>232.07</v>
      </c>
      <c r="E67" s="1">
        <f>IFERROR(__xludf.DUMMYFUNCTION("""COMPUTED_VALUE"""),232.47)</f>
        <v>232.47</v>
      </c>
      <c r="F67" s="1">
        <f>IFERROR(__xludf.DUMMYFUNCTION("""COMPUTED_VALUE"""),2.315625E7)</f>
        <v>23156250</v>
      </c>
    </row>
    <row r="68">
      <c r="A68" s="2">
        <f>IFERROR(__xludf.DUMMYFUNCTION("""COMPUTED_VALUE"""),31506.666666666668)</f>
        <v>31506.66667</v>
      </c>
      <c r="B68" s="1">
        <f>IFERROR(__xludf.DUMMYFUNCTION("""COMPUTED_VALUE"""),232.47)</f>
        <v>232.47</v>
      </c>
      <c r="C68" s="1">
        <f>IFERROR(__xludf.DUMMYFUNCTION("""COMPUTED_VALUE"""),232.56)</f>
        <v>232.56</v>
      </c>
      <c r="D68" s="1">
        <f>IFERROR(__xludf.DUMMYFUNCTION("""COMPUTED_VALUE"""),228.32)</f>
        <v>228.32</v>
      </c>
      <c r="E68" s="1">
        <f>IFERROR(__xludf.DUMMYFUNCTION("""COMPUTED_VALUE"""),228.69)</f>
        <v>228.69</v>
      </c>
      <c r="F68" s="1">
        <f>IFERROR(__xludf.DUMMYFUNCTION("""COMPUTED_VALUE"""),2.3015624E7)</f>
        <v>23015624</v>
      </c>
    </row>
    <row r="69">
      <c r="A69" s="2">
        <f>IFERROR(__xludf.DUMMYFUNCTION("""COMPUTED_VALUE"""),31509.666666666668)</f>
        <v>31509.66667</v>
      </c>
      <c r="B69" s="1">
        <f>IFERROR(__xludf.DUMMYFUNCTION("""COMPUTED_VALUE"""),228.69)</f>
        <v>228.69</v>
      </c>
      <c r="C69" s="1">
        <f>IFERROR(__xludf.DUMMYFUNCTION("""COMPUTED_VALUE"""),228.83)</f>
        <v>228.83</v>
      </c>
      <c r="D69" s="1">
        <f>IFERROR(__xludf.DUMMYFUNCTION("""COMPUTED_VALUE"""),226.3)</f>
        <v>226.3</v>
      </c>
      <c r="E69" s="1">
        <f>IFERROR(__xludf.DUMMYFUNCTION("""COMPUTED_VALUE"""),228.63)</f>
        <v>228.63</v>
      </c>
      <c r="F69" s="1">
        <f>IFERROR(__xludf.DUMMYFUNCTION("""COMPUTED_VALUE"""),2.028125E7)</f>
        <v>20281250</v>
      </c>
    </row>
    <row r="70">
      <c r="A70" s="2">
        <f>IFERROR(__xludf.DUMMYFUNCTION("""COMPUTED_VALUE"""),31510.666666666668)</f>
        <v>31510.66667</v>
      </c>
      <c r="B70" s="1">
        <f>IFERROR(__xludf.DUMMYFUNCTION("""COMPUTED_VALUE"""),228.63)</f>
        <v>228.63</v>
      </c>
      <c r="C70" s="1">
        <f>IFERROR(__xludf.DUMMYFUNCTION("""COMPUTED_VALUE"""),233.7)</f>
        <v>233.7</v>
      </c>
      <c r="D70" s="1">
        <f>IFERROR(__xludf.DUMMYFUNCTION("""COMPUTED_VALUE"""),228.63)</f>
        <v>228.63</v>
      </c>
      <c r="E70" s="1">
        <f>IFERROR(__xludf.DUMMYFUNCTION("""COMPUTED_VALUE"""),233.52)</f>
        <v>233.52</v>
      </c>
      <c r="F70" s="1">
        <f>IFERROR(__xludf.DUMMYFUNCTION("""COMPUTED_VALUE"""),2.2859376E7)</f>
        <v>22859376</v>
      </c>
    </row>
    <row r="71">
      <c r="A71" s="2">
        <f>IFERROR(__xludf.DUMMYFUNCTION("""COMPUTED_VALUE"""),31511.666666666668)</f>
        <v>31511.66667</v>
      </c>
      <c r="B71" s="1">
        <f>IFERROR(__xludf.DUMMYFUNCTION("""COMPUTED_VALUE"""),233.52)</f>
        <v>233.52</v>
      </c>
      <c r="C71" s="1">
        <f>IFERROR(__xludf.DUMMYFUNCTION("""COMPUTED_VALUE"""),235.57)</f>
        <v>235.57</v>
      </c>
      <c r="D71" s="1">
        <f>IFERROR(__xludf.DUMMYFUNCTION("""COMPUTED_VALUE"""),232.13)</f>
        <v>232.13</v>
      </c>
      <c r="E71" s="1">
        <f>IFERROR(__xludf.DUMMYFUNCTION("""COMPUTED_VALUE"""),233.75)</f>
        <v>233.75</v>
      </c>
      <c r="F71" s="1">
        <f>IFERROR(__xludf.DUMMYFUNCTION("""COMPUTED_VALUE"""),2.4421876E7)</f>
        <v>24421876</v>
      </c>
    </row>
    <row r="72">
      <c r="A72" s="2">
        <f>IFERROR(__xludf.DUMMYFUNCTION("""COMPUTED_VALUE"""),31512.666666666668)</f>
        <v>31512.66667</v>
      </c>
      <c r="B72" s="1">
        <f>IFERROR(__xludf.DUMMYFUNCTION("""COMPUTED_VALUE"""),233.75)</f>
        <v>233.75</v>
      </c>
      <c r="C72" s="1">
        <f>IFERROR(__xludf.DUMMYFUNCTION("""COMPUTED_VALUE"""),236.54)</f>
        <v>236.54</v>
      </c>
      <c r="D72" s="1">
        <f>IFERROR(__xludf.DUMMYFUNCTION("""COMPUTED_VALUE"""),233.75)</f>
        <v>233.75</v>
      </c>
      <c r="E72" s="1">
        <f>IFERROR(__xludf.DUMMYFUNCTION("""COMPUTED_VALUE"""),236.44)</f>
        <v>236.44</v>
      </c>
      <c r="F72" s="1">
        <f>IFERROR(__xludf.DUMMYFUNCTION("""COMPUTED_VALUE"""),2.8875E7)</f>
        <v>28875000</v>
      </c>
    </row>
    <row r="73">
      <c r="A73" s="2">
        <f>IFERROR(__xludf.DUMMYFUNCTION("""COMPUTED_VALUE"""),31513.666666666668)</f>
        <v>31513.66667</v>
      </c>
      <c r="B73" s="1">
        <f>IFERROR(__xludf.DUMMYFUNCTION("""COMPUTED_VALUE"""),236.44)</f>
        <v>236.44</v>
      </c>
      <c r="C73" s="1">
        <f>IFERROR(__xludf.DUMMYFUNCTION("""COMPUTED_VALUE"""),237.85)</f>
        <v>237.85</v>
      </c>
      <c r="D73" s="1">
        <f>IFERROR(__xludf.DUMMYFUNCTION("""COMPUTED_VALUE"""),235.13)</f>
        <v>235.13</v>
      </c>
      <c r="E73" s="1">
        <f>IFERROR(__xludf.DUMMYFUNCTION("""COMPUTED_VALUE"""),235.97)</f>
        <v>235.97</v>
      </c>
      <c r="F73" s="1">
        <f>IFERROR(__xludf.DUMMYFUNCTION("""COMPUTED_VALUE"""),2.178125E7)</f>
        <v>21781250</v>
      </c>
    </row>
    <row r="74">
      <c r="A74" s="2">
        <f>IFERROR(__xludf.DUMMYFUNCTION("""COMPUTED_VALUE"""),31516.666666666668)</f>
        <v>31516.66667</v>
      </c>
      <c r="B74" s="1">
        <f>IFERROR(__xludf.DUMMYFUNCTION("""COMPUTED_VALUE"""),235.97)</f>
        <v>235.97</v>
      </c>
      <c r="C74" s="1">
        <f>IFERROR(__xludf.DUMMYFUNCTION("""COMPUTED_VALUE"""),237.48)</f>
        <v>237.48</v>
      </c>
      <c r="D74" s="1">
        <f>IFERROR(__xludf.DUMMYFUNCTION("""COMPUTED_VALUE"""),235.43)</f>
        <v>235.43</v>
      </c>
      <c r="E74" s="1">
        <f>IFERROR(__xludf.DUMMYFUNCTION("""COMPUTED_VALUE"""),237.28)</f>
        <v>237.28</v>
      </c>
      <c r="F74" s="1">
        <f>IFERROR(__xludf.DUMMYFUNCTION("""COMPUTED_VALUE"""),1.6671875E7)</f>
        <v>16671875</v>
      </c>
    </row>
    <row r="75">
      <c r="A75" s="2">
        <f>IFERROR(__xludf.DUMMYFUNCTION("""COMPUTED_VALUE"""),31517.666666666668)</f>
        <v>31517.66667</v>
      </c>
      <c r="B75" s="1">
        <f>IFERROR(__xludf.DUMMYFUNCTION("""COMPUTED_VALUE"""),237.28)</f>
        <v>237.28</v>
      </c>
      <c r="C75" s="1">
        <f>IFERROR(__xludf.DUMMYFUNCTION("""COMPUTED_VALUE"""),238.09)</f>
        <v>238.09</v>
      </c>
      <c r="D75" s="1">
        <f>IFERROR(__xludf.DUMMYFUNCTION("""COMPUTED_VALUE"""),236.64)</f>
        <v>236.64</v>
      </c>
      <c r="E75" s="1">
        <f>IFERROR(__xludf.DUMMYFUNCTION("""COMPUTED_VALUE"""),237.73)</f>
        <v>237.73</v>
      </c>
      <c r="F75" s="1">
        <f>IFERROR(__xludf.DUMMYFUNCTION("""COMPUTED_VALUE"""),1.9328124E7)</f>
        <v>19328124</v>
      </c>
    </row>
    <row r="76">
      <c r="A76" s="2">
        <f>IFERROR(__xludf.DUMMYFUNCTION("""COMPUTED_VALUE"""),31518.666666666668)</f>
        <v>31518.66667</v>
      </c>
      <c r="B76" s="1">
        <f>IFERROR(__xludf.DUMMYFUNCTION("""COMPUTED_VALUE"""),237.73)</f>
        <v>237.73</v>
      </c>
      <c r="C76" s="1">
        <f>IFERROR(__xludf.DUMMYFUNCTION("""COMPUTED_VALUE"""),242.57)</f>
        <v>242.57</v>
      </c>
      <c r="D76" s="1">
        <f>IFERROR(__xludf.DUMMYFUNCTION("""COMPUTED_VALUE"""),237.73)</f>
        <v>237.73</v>
      </c>
      <c r="E76" s="1">
        <f>IFERROR(__xludf.DUMMYFUNCTION("""COMPUTED_VALUE"""),242.22)</f>
        <v>242.22</v>
      </c>
      <c r="F76" s="1">
        <f>IFERROR(__xludf.DUMMYFUNCTION("""COMPUTED_VALUE"""),2.715625E7)</f>
        <v>27156250</v>
      </c>
    </row>
    <row r="77">
      <c r="A77" s="2">
        <f>IFERROR(__xludf.DUMMYFUNCTION("""COMPUTED_VALUE"""),31519.666666666668)</f>
        <v>31519.66667</v>
      </c>
      <c r="B77" s="1">
        <f>IFERROR(__xludf.DUMMYFUNCTION("""COMPUTED_VALUE"""),242.22)</f>
        <v>242.22</v>
      </c>
      <c r="C77" s="1">
        <f>IFERROR(__xludf.DUMMYFUNCTION("""COMPUTED_VALUE"""),243.36)</f>
        <v>243.36</v>
      </c>
      <c r="D77" s="1">
        <f>IFERROR(__xludf.DUMMYFUNCTION("""COMPUTED_VALUE"""),241.89)</f>
        <v>241.89</v>
      </c>
      <c r="E77" s="1">
        <f>IFERROR(__xludf.DUMMYFUNCTION("""COMPUTED_VALUE"""),243.03)</f>
        <v>243.03</v>
      </c>
      <c r="F77" s="1">
        <f>IFERROR(__xludf.DUMMYFUNCTION("""COMPUTED_VALUE"""),2.521875E7)</f>
        <v>25218750</v>
      </c>
    </row>
    <row r="78">
      <c r="A78" s="2">
        <f>IFERROR(__xludf.DUMMYFUNCTION("""COMPUTED_VALUE"""),31520.666666666668)</f>
        <v>31520.66667</v>
      </c>
      <c r="B78" s="1">
        <f>IFERROR(__xludf.DUMMYFUNCTION("""COMPUTED_VALUE"""),243.03)</f>
        <v>243.03</v>
      </c>
      <c r="C78" s="1">
        <f>IFERROR(__xludf.DUMMYFUNCTION("""COMPUTED_VALUE"""),243.47)</f>
        <v>243.47</v>
      </c>
      <c r="D78" s="1">
        <f>IFERROR(__xludf.DUMMYFUNCTION("""COMPUTED_VALUE"""),241.74)</f>
        <v>241.74</v>
      </c>
      <c r="E78" s="1">
        <f>IFERROR(__xludf.DUMMYFUNCTION("""COMPUTED_VALUE"""),242.38)</f>
        <v>242.38</v>
      </c>
      <c r="F78" s="1">
        <f>IFERROR(__xludf.DUMMYFUNCTION("""COMPUTED_VALUE"""),2.4E7)</f>
        <v>24000000</v>
      </c>
    </row>
    <row r="79">
      <c r="A79" s="2">
        <f>IFERROR(__xludf.DUMMYFUNCTION("""COMPUTED_VALUE"""),31523.666666666668)</f>
        <v>31523.66667</v>
      </c>
      <c r="B79" s="1">
        <f>IFERROR(__xludf.DUMMYFUNCTION("""COMPUTED_VALUE"""),242.38)</f>
        <v>242.38</v>
      </c>
      <c r="C79" s="1">
        <f>IFERROR(__xludf.DUMMYFUNCTION("""COMPUTED_VALUE"""),244.78)</f>
        <v>244.78</v>
      </c>
      <c r="D79" s="1">
        <f>IFERROR(__xludf.DUMMYFUNCTION("""COMPUTED_VALUE"""),241.88)</f>
        <v>241.88</v>
      </c>
      <c r="E79" s="1">
        <f>IFERROR(__xludf.DUMMYFUNCTION("""COMPUTED_VALUE"""),244.74)</f>
        <v>244.74</v>
      </c>
      <c r="F79" s="1">
        <f>IFERROR(__xludf.DUMMYFUNCTION("""COMPUTED_VALUE"""),2.1265624E7)</f>
        <v>21265624</v>
      </c>
    </row>
    <row r="80">
      <c r="A80" s="2">
        <f>IFERROR(__xludf.DUMMYFUNCTION("""COMPUTED_VALUE"""),31524.666666666668)</f>
        <v>31524.66667</v>
      </c>
      <c r="B80" s="1">
        <f>IFERROR(__xludf.DUMMYFUNCTION("""COMPUTED_VALUE"""),244.74)</f>
        <v>244.74</v>
      </c>
      <c r="C80" s="1">
        <f>IFERROR(__xludf.DUMMYFUNCTION("""COMPUTED_VALUE"""),245.47)</f>
        <v>245.47</v>
      </c>
      <c r="D80" s="1">
        <f>IFERROR(__xludf.DUMMYFUNCTION("""COMPUTED_VALUE"""),241.3)</f>
        <v>241.3</v>
      </c>
      <c r="E80" s="1">
        <f>IFERROR(__xludf.DUMMYFUNCTION("""COMPUTED_VALUE"""),242.42)</f>
        <v>242.42</v>
      </c>
      <c r="F80" s="1">
        <f>IFERROR(__xludf.DUMMYFUNCTION("""COMPUTED_VALUE"""),2.5234376E7)</f>
        <v>25234376</v>
      </c>
    </row>
    <row r="81">
      <c r="A81" s="2">
        <f>IFERROR(__xludf.DUMMYFUNCTION("""COMPUTED_VALUE"""),31525.666666666668)</f>
        <v>31525.66667</v>
      </c>
      <c r="B81" s="1">
        <f>IFERROR(__xludf.DUMMYFUNCTION("""COMPUTED_VALUE"""),242.42)</f>
        <v>242.42</v>
      </c>
      <c r="C81" s="1">
        <f>IFERROR(__xludf.DUMMYFUNCTION("""COMPUTED_VALUE"""),242.42)</f>
        <v>242.42</v>
      </c>
      <c r="D81" s="1">
        <f>IFERROR(__xludf.DUMMYFUNCTION("""COMPUTED_VALUE"""),240.08)</f>
        <v>240.08</v>
      </c>
      <c r="E81" s="1">
        <f>IFERROR(__xludf.DUMMYFUNCTION("""COMPUTED_VALUE"""),241.75)</f>
        <v>241.75</v>
      </c>
      <c r="F81" s="1">
        <f>IFERROR(__xludf.DUMMYFUNCTION("""COMPUTED_VALUE"""),2.3390624E7)</f>
        <v>23390624</v>
      </c>
    </row>
    <row r="82">
      <c r="A82" s="2">
        <f>IFERROR(__xludf.DUMMYFUNCTION("""COMPUTED_VALUE"""),31526.666666666668)</f>
        <v>31526.66667</v>
      </c>
      <c r="B82" s="1">
        <f>IFERROR(__xludf.DUMMYFUNCTION("""COMPUTED_VALUE"""),241.75)</f>
        <v>241.75</v>
      </c>
      <c r="C82" s="1">
        <f>IFERROR(__xludf.DUMMYFUNCTION("""COMPUTED_VALUE"""),243.13)</f>
        <v>243.13</v>
      </c>
      <c r="D82" s="1">
        <f>IFERROR(__xludf.DUMMYFUNCTION("""COMPUTED_VALUE"""),241.65)</f>
        <v>241.65</v>
      </c>
      <c r="E82" s="1">
        <f>IFERROR(__xludf.DUMMYFUNCTION("""COMPUTED_VALUE"""),242.02)</f>
        <v>242.02</v>
      </c>
      <c r="F82" s="1">
        <f>IFERROR(__xludf.DUMMYFUNCTION("""COMPUTED_VALUE"""),2.290625E7)</f>
        <v>22906250</v>
      </c>
    </row>
    <row r="83">
      <c r="A83" s="2">
        <f>IFERROR(__xludf.DUMMYFUNCTION("""COMPUTED_VALUE"""),31527.666666666668)</f>
        <v>31527.66667</v>
      </c>
      <c r="B83" s="1">
        <f>IFERROR(__xludf.DUMMYFUNCTION("""COMPUTED_VALUE"""),242.02)</f>
        <v>242.02</v>
      </c>
      <c r="C83" s="1">
        <f>IFERROR(__xludf.DUMMYFUNCTION("""COMPUTED_VALUE"""),242.8)</f>
        <v>242.8</v>
      </c>
      <c r="D83" s="1">
        <f>IFERROR(__xludf.DUMMYFUNCTION("""COMPUTED_VALUE"""),240.91)</f>
        <v>240.91</v>
      </c>
      <c r="E83" s="1">
        <f>IFERROR(__xludf.DUMMYFUNCTION("""COMPUTED_VALUE"""),242.29)</f>
        <v>242.29</v>
      </c>
      <c r="F83" s="1">
        <f>IFERROR(__xludf.DUMMYFUNCTION("""COMPUTED_VALUE"""),2.2234376E7)</f>
        <v>22234376</v>
      </c>
    </row>
    <row r="84">
      <c r="A84" s="2">
        <f>IFERROR(__xludf.DUMMYFUNCTION("""COMPUTED_VALUE"""),31530.666666666668)</f>
        <v>31530.66667</v>
      </c>
      <c r="B84" s="1">
        <f>IFERROR(__xludf.DUMMYFUNCTION("""COMPUTED_VALUE"""),242.29)</f>
        <v>242.29</v>
      </c>
      <c r="C84" s="1">
        <f>IFERROR(__xludf.DUMMYFUNCTION("""COMPUTED_VALUE"""),243.08)</f>
        <v>243.08</v>
      </c>
      <c r="D84" s="1">
        <f>IFERROR(__xludf.DUMMYFUNCTION("""COMPUTED_VALUE"""),241.23)</f>
        <v>241.23</v>
      </c>
      <c r="E84" s="1">
        <f>IFERROR(__xludf.DUMMYFUNCTION("""COMPUTED_VALUE"""),243.08)</f>
        <v>243.08</v>
      </c>
      <c r="F84" s="1">
        <f>IFERROR(__xludf.DUMMYFUNCTION("""COMPUTED_VALUE"""),1.9359376E7)</f>
        <v>19359376</v>
      </c>
    </row>
    <row r="85">
      <c r="A85" s="2">
        <f>IFERROR(__xludf.DUMMYFUNCTION("""COMPUTED_VALUE"""),31531.666666666668)</f>
        <v>31531.66667</v>
      </c>
      <c r="B85" s="1">
        <f>IFERROR(__xludf.DUMMYFUNCTION("""COMPUTED_VALUE"""),243.08)</f>
        <v>243.08</v>
      </c>
      <c r="C85" s="1">
        <f>IFERROR(__xludf.DUMMYFUNCTION("""COMPUTED_VALUE"""),243.57)</f>
        <v>243.57</v>
      </c>
      <c r="D85" s="1">
        <f>IFERROR(__xludf.DUMMYFUNCTION("""COMPUTED_VALUE"""),239.23)</f>
        <v>239.23</v>
      </c>
      <c r="E85" s="1">
        <f>IFERROR(__xludf.DUMMYFUNCTION("""COMPUTED_VALUE"""),240.51)</f>
        <v>240.51</v>
      </c>
      <c r="F85" s="1">
        <f>IFERROR(__xludf.DUMMYFUNCTION("""COMPUTED_VALUE"""),2.325E7)</f>
        <v>23250000</v>
      </c>
    </row>
    <row r="86">
      <c r="A86" s="2">
        <f>IFERROR(__xludf.DUMMYFUNCTION("""COMPUTED_VALUE"""),31532.666666666668)</f>
        <v>31532.66667</v>
      </c>
      <c r="B86" s="1">
        <f>IFERROR(__xludf.DUMMYFUNCTION("""COMPUTED_VALUE"""),240.52)</f>
        <v>240.52</v>
      </c>
      <c r="C86" s="1">
        <f>IFERROR(__xludf.DUMMYFUNCTION("""COMPUTED_VALUE"""),240.52)</f>
        <v>240.52</v>
      </c>
      <c r="D86" s="1">
        <f>IFERROR(__xludf.DUMMYFUNCTION("""COMPUTED_VALUE"""),235.26)</f>
        <v>235.26</v>
      </c>
      <c r="E86" s="1">
        <f>IFERROR(__xludf.DUMMYFUNCTION("""COMPUTED_VALUE"""),235.52)</f>
        <v>235.52</v>
      </c>
      <c r="F86" s="1">
        <f>IFERROR(__xludf.DUMMYFUNCTION("""COMPUTED_VALUE"""),2.3046876E7)</f>
        <v>23046876</v>
      </c>
    </row>
    <row r="87">
      <c r="A87" s="2">
        <f>IFERROR(__xludf.DUMMYFUNCTION("""COMPUTED_VALUE"""),31533.666666666668)</f>
        <v>31533.66667</v>
      </c>
      <c r="B87" s="1">
        <f>IFERROR(__xludf.DUMMYFUNCTION("""COMPUTED_VALUE"""),235.52)</f>
        <v>235.52</v>
      </c>
      <c r="C87" s="1">
        <f>IFERROR(__xludf.DUMMYFUNCTION("""COMPUTED_VALUE"""),236.01)</f>
        <v>236.01</v>
      </c>
      <c r="D87" s="1">
        <f>IFERROR(__xludf.DUMMYFUNCTION("""COMPUTED_VALUE"""),234.21)</f>
        <v>234.21</v>
      </c>
      <c r="E87" s="1">
        <f>IFERROR(__xludf.DUMMYFUNCTION("""COMPUTED_VALUE"""),235.16)</f>
        <v>235.16</v>
      </c>
      <c r="F87" s="1">
        <f>IFERROR(__xludf.DUMMYFUNCTION("""COMPUTED_VALUE"""),2.2890624E7)</f>
        <v>22890624</v>
      </c>
    </row>
    <row r="88">
      <c r="A88" s="2">
        <f>IFERROR(__xludf.DUMMYFUNCTION("""COMPUTED_VALUE"""),31534.666666666668)</f>
        <v>31534.66667</v>
      </c>
      <c r="B88" s="1">
        <f>IFERROR(__xludf.DUMMYFUNCTION("""COMPUTED_VALUE"""),235.16)</f>
        <v>235.16</v>
      </c>
      <c r="C88" s="1">
        <f>IFERROR(__xludf.DUMMYFUNCTION("""COMPUTED_VALUE"""),236.52)</f>
        <v>236.52</v>
      </c>
      <c r="D88" s="1">
        <f>IFERROR(__xludf.DUMMYFUNCTION("""COMPUTED_VALUE"""),234.15)</f>
        <v>234.15</v>
      </c>
      <c r="E88" s="1">
        <f>IFERROR(__xludf.DUMMYFUNCTION("""COMPUTED_VALUE"""),234.79)</f>
        <v>234.79</v>
      </c>
      <c r="F88" s="1">
        <f>IFERROR(__xludf.DUMMYFUNCTION("""COMPUTED_VALUE"""),1.9734376E7)</f>
        <v>19734376</v>
      </c>
    </row>
    <row r="89">
      <c r="A89" s="2">
        <f>IFERROR(__xludf.DUMMYFUNCTION("""COMPUTED_VALUE"""),31537.666666666668)</f>
        <v>31537.66667</v>
      </c>
      <c r="B89" s="1">
        <f>IFERROR(__xludf.DUMMYFUNCTION("""COMPUTED_VALUE"""),234.79)</f>
        <v>234.79</v>
      </c>
      <c r="C89" s="1">
        <f>IFERROR(__xludf.DUMMYFUNCTION("""COMPUTED_VALUE"""),237.73)</f>
        <v>237.73</v>
      </c>
      <c r="D89" s="1">
        <f>IFERROR(__xludf.DUMMYFUNCTION("""COMPUTED_VALUE"""),234.79)</f>
        <v>234.79</v>
      </c>
      <c r="E89" s="1">
        <f>IFERROR(__xludf.DUMMYFUNCTION("""COMPUTED_VALUE"""),237.73)</f>
        <v>237.73</v>
      </c>
      <c r="F89" s="1">
        <f>IFERROR(__xludf.DUMMYFUNCTION("""COMPUTED_VALUE"""),1.6E7)</f>
        <v>16000000</v>
      </c>
    </row>
    <row r="90">
      <c r="A90" s="2">
        <f>IFERROR(__xludf.DUMMYFUNCTION("""COMPUTED_VALUE"""),31538.666666666668)</f>
        <v>31538.66667</v>
      </c>
      <c r="B90" s="1">
        <f>IFERROR(__xludf.DUMMYFUNCTION("""COMPUTED_VALUE"""),237.73)</f>
        <v>237.73</v>
      </c>
      <c r="C90" s="1">
        <f>IFERROR(__xludf.DUMMYFUNCTION("""COMPUTED_VALUE"""),238.28)</f>
        <v>238.28</v>
      </c>
      <c r="D90" s="1">
        <f>IFERROR(__xludf.DUMMYFUNCTION("""COMPUTED_VALUE"""),236.26)</f>
        <v>236.26</v>
      </c>
      <c r="E90" s="1">
        <f>IFERROR(__xludf.DUMMYFUNCTION("""COMPUTED_VALUE"""),237.24)</f>
        <v>237.24</v>
      </c>
      <c r="F90" s="1">
        <f>IFERROR(__xludf.DUMMYFUNCTION("""COMPUTED_VALUE"""),1.89375E7)</f>
        <v>18937500</v>
      </c>
    </row>
    <row r="91">
      <c r="A91" s="2">
        <f>IFERROR(__xludf.DUMMYFUNCTION("""COMPUTED_VALUE"""),31539.666666666668)</f>
        <v>31539.66667</v>
      </c>
      <c r="B91" s="1">
        <f>IFERROR(__xludf.DUMMYFUNCTION("""COMPUTED_VALUE"""),236.56)</f>
        <v>236.56</v>
      </c>
      <c r="C91" s="1">
        <f>IFERROR(__xludf.DUMMYFUNCTION("""COMPUTED_VALUE"""),237.24)</f>
        <v>237.24</v>
      </c>
      <c r="D91" s="1">
        <f>IFERROR(__xludf.DUMMYFUNCTION("""COMPUTED_VALUE"""),233.98)</f>
        <v>233.98</v>
      </c>
      <c r="E91" s="1">
        <f>IFERROR(__xludf.DUMMYFUNCTION("""COMPUTED_VALUE"""),236.08)</f>
        <v>236.08</v>
      </c>
      <c r="F91" s="1">
        <f>IFERROR(__xludf.DUMMYFUNCTION("""COMPUTED_VALUE"""),2.0296876E7)</f>
        <v>20296876</v>
      </c>
    </row>
    <row r="92">
      <c r="A92" s="2">
        <f>IFERROR(__xludf.DUMMYFUNCTION("""COMPUTED_VALUE"""),31540.666666666668)</f>
        <v>31540.66667</v>
      </c>
      <c r="B92" s="1">
        <f>IFERROR(__xludf.DUMMYFUNCTION("""COMPUTED_VALUE"""),236.08)</f>
        <v>236.08</v>
      </c>
      <c r="C92" s="1">
        <f>IFERROR(__xludf.DUMMYFUNCTION("""COMPUTED_VALUE"""),237.96)</f>
        <v>237.96</v>
      </c>
      <c r="D92" s="1">
        <f>IFERROR(__xludf.DUMMYFUNCTION("""COMPUTED_VALUE"""),236.08)</f>
        <v>236.08</v>
      </c>
      <c r="E92" s="1">
        <f>IFERROR(__xludf.DUMMYFUNCTION("""COMPUTED_VALUE"""),237.13)</f>
        <v>237.13</v>
      </c>
      <c r="F92" s="1">
        <f>IFERROR(__xludf.DUMMYFUNCTION("""COMPUTED_VALUE"""),2.125E7)</f>
        <v>21250000</v>
      </c>
    </row>
    <row r="93">
      <c r="A93" s="2">
        <f>IFERROR(__xludf.DUMMYFUNCTION("""COMPUTED_VALUE"""),31541.666666666668)</f>
        <v>31541.66667</v>
      </c>
      <c r="B93" s="1">
        <f>IFERROR(__xludf.DUMMYFUNCTION("""COMPUTED_VALUE"""),237.13)</f>
        <v>237.13</v>
      </c>
      <c r="C93" s="1">
        <f>IFERROR(__xludf.DUMMYFUNCTION("""COMPUTED_VALUE"""),238.01)</f>
        <v>238.01</v>
      </c>
      <c r="D93" s="1">
        <f>IFERROR(__xludf.DUMMYFUNCTION("""COMPUTED_VALUE"""),235.85)</f>
        <v>235.85</v>
      </c>
      <c r="E93" s="1">
        <f>IFERROR(__xludf.DUMMYFUNCTION("""COMPUTED_VALUE"""),237.85)</f>
        <v>237.85</v>
      </c>
      <c r="F93" s="1">
        <f>IFERROR(__xludf.DUMMYFUNCTION("""COMPUTED_VALUE"""),2.146875E7)</f>
        <v>21468750</v>
      </c>
    </row>
    <row r="94">
      <c r="A94" s="2">
        <f>IFERROR(__xludf.DUMMYFUNCTION("""COMPUTED_VALUE"""),31544.666666666668)</f>
        <v>31544.66667</v>
      </c>
      <c r="B94" s="1">
        <f>IFERROR(__xludf.DUMMYFUNCTION("""COMPUTED_VALUE"""),237.85)</f>
        <v>237.85</v>
      </c>
      <c r="C94" s="1">
        <f>IFERROR(__xludf.DUMMYFUNCTION("""COMPUTED_VALUE"""),238.53)</f>
        <v>238.53</v>
      </c>
      <c r="D94" s="1">
        <f>IFERROR(__xludf.DUMMYFUNCTION("""COMPUTED_VALUE"""),237.02)</f>
        <v>237.02</v>
      </c>
      <c r="E94" s="1">
        <f>IFERROR(__xludf.DUMMYFUNCTION("""COMPUTED_VALUE"""),237.58)</f>
        <v>237.58</v>
      </c>
      <c r="F94" s="1">
        <f>IFERROR(__xludf.DUMMYFUNCTION("""COMPUTED_VALUE"""),1.959375E7)</f>
        <v>19593750</v>
      </c>
    </row>
    <row r="95">
      <c r="A95" s="2">
        <f>IFERROR(__xludf.DUMMYFUNCTION("""COMPUTED_VALUE"""),31545.666666666668)</f>
        <v>31545.66667</v>
      </c>
      <c r="B95" s="1">
        <f>IFERROR(__xludf.DUMMYFUNCTION("""COMPUTED_VALUE"""),237.58)</f>
        <v>237.58</v>
      </c>
      <c r="C95" s="1">
        <f>IFERROR(__xludf.DUMMYFUNCTION("""COMPUTED_VALUE"""),237.87)</f>
        <v>237.87</v>
      </c>
      <c r="D95" s="1">
        <f>IFERROR(__xludf.DUMMYFUNCTION("""COMPUTED_VALUE"""),236.02)</f>
        <v>236.02</v>
      </c>
      <c r="E95" s="1">
        <f>IFERROR(__xludf.DUMMYFUNCTION("""COMPUTED_VALUE"""),236.41)</f>
        <v>236.41</v>
      </c>
      <c r="F95" s="1">
        <f>IFERROR(__xludf.DUMMYFUNCTION("""COMPUTED_VALUE"""),1.8625E7)</f>
        <v>18625000</v>
      </c>
    </row>
    <row r="96">
      <c r="A96" s="2">
        <f>IFERROR(__xludf.DUMMYFUNCTION("""COMPUTED_VALUE"""),31546.666666666668)</f>
        <v>31546.66667</v>
      </c>
      <c r="B96" s="1">
        <f>IFERROR(__xludf.DUMMYFUNCTION("""COMPUTED_VALUE"""),236.41)</f>
        <v>236.41</v>
      </c>
      <c r="C96" s="1">
        <f>IFERROR(__xludf.DUMMYFUNCTION("""COMPUTED_VALUE"""),237.54)</f>
        <v>237.54</v>
      </c>
      <c r="D96" s="1">
        <f>IFERROR(__xludf.DUMMYFUNCTION("""COMPUTED_VALUE"""),235.85)</f>
        <v>235.85</v>
      </c>
      <c r="E96" s="1">
        <f>IFERROR(__xludf.DUMMYFUNCTION("""COMPUTED_VALUE"""),237.54)</f>
        <v>237.54</v>
      </c>
      <c r="F96" s="1">
        <f>IFERROR(__xludf.DUMMYFUNCTION("""COMPUTED_VALUE"""),2.0640624E7)</f>
        <v>20640624</v>
      </c>
    </row>
    <row r="97">
      <c r="A97" s="2">
        <f>IFERROR(__xludf.DUMMYFUNCTION("""COMPUTED_VALUE"""),31547.666666666668)</f>
        <v>31547.66667</v>
      </c>
      <c r="B97" s="1">
        <f>IFERROR(__xludf.DUMMYFUNCTION("""COMPUTED_VALUE"""),237.54)</f>
        <v>237.54</v>
      </c>
      <c r="C97" s="1">
        <f>IFERROR(__xludf.DUMMYFUNCTION("""COMPUTED_VALUE"""),237.54)</f>
        <v>237.54</v>
      </c>
      <c r="D97" s="1">
        <f>IFERROR(__xludf.DUMMYFUNCTION("""COMPUTED_VALUE"""),233.93)</f>
        <v>233.93</v>
      </c>
      <c r="E97" s="1">
        <f>IFERROR(__xludf.DUMMYFUNCTION("""COMPUTED_VALUE"""),234.43)</f>
        <v>234.43</v>
      </c>
      <c r="F97" s="1">
        <f>IFERROR(__xludf.DUMMYFUNCTION("""COMPUTED_VALUE"""),2.05625E7)</f>
        <v>20562500</v>
      </c>
    </row>
    <row r="98">
      <c r="A98" s="2">
        <f>IFERROR(__xludf.DUMMYFUNCTION("""COMPUTED_VALUE"""),31548.666666666668)</f>
        <v>31548.66667</v>
      </c>
      <c r="B98" s="1">
        <f>IFERROR(__xludf.DUMMYFUNCTION("""COMPUTED_VALUE"""),234.43)</f>
        <v>234.43</v>
      </c>
      <c r="C98" s="1">
        <f>IFERROR(__xludf.DUMMYFUNCTION("""COMPUTED_VALUE"""),234.43)</f>
        <v>234.43</v>
      </c>
      <c r="D98" s="1">
        <f>IFERROR(__xludf.DUMMYFUNCTION("""COMPUTED_VALUE"""),232.26)</f>
        <v>232.26</v>
      </c>
      <c r="E98" s="1">
        <f>IFERROR(__xludf.DUMMYFUNCTION("""COMPUTED_VALUE"""),232.76)</f>
        <v>232.76</v>
      </c>
      <c r="F98" s="1">
        <f>IFERROR(__xludf.DUMMYFUNCTION("""COMPUTED_VALUE"""),1.7734376E7)</f>
        <v>17734376</v>
      </c>
    </row>
    <row r="99">
      <c r="A99" s="2">
        <f>IFERROR(__xludf.DUMMYFUNCTION("""COMPUTED_VALUE"""),31551.666666666668)</f>
        <v>31551.66667</v>
      </c>
      <c r="B99" s="1">
        <f>IFERROR(__xludf.DUMMYFUNCTION("""COMPUTED_VALUE"""),232.76)</f>
        <v>232.76</v>
      </c>
      <c r="C99" s="1">
        <f>IFERROR(__xludf.DUMMYFUNCTION("""COMPUTED_VALUE"""),233.54)</f>
        <v>233.54</v>
      </c>
      <c r="D99" s="1">
        <f>IFERROR(__xludf.DUMMYFUNCTION("""COMPUTED_VALUE"""),232.41)</f>
        <v>232.41</v>
      </c>
      <c r="E99" s="1">
        <f>IFERROR(__xludf.DUMMYFUNCTION("""COMPUTED_VALUE"""),233.2)</f>
        <v>233.2</v>
      </c>
      <c r="F99" s="1">
        <f>IFERROR(__xludf.DUMMYFUNCTION("""COMPUTED_VALUE"""),1.34125E7)</f>
        <v>13412500</v>
      </c>
    </row>
    <row r="100">
      <c r="A100" s="2">
        <f>IFERROR(__xludf.DUMMYFUNCTION("""COMPUTED_VALUE"""),31552.666666666668)</f>
        <v>31552.66667</v>
      </c>
      <c r="B100" s="1">
        <f>IFERROR(__xludf.DUMMYFUNCTION("""COMPUTED_VALUE"""),233.2)</f>
        <v>233.2</v>
      </c>
      <c r="C100" s="1">
        <f>IFERROR(__xludf.DUMMYFUNCTION("""COMPUTED_VALUE"""),236.12)</f>
        <v>236.12</v>
      </c>
      <c r="D100" s="1">
        <f>IFERROR(__xludf.DUMMYFUNCTION("""COMPUTED_VALUE"""),232.58)</f>
        <v>232.58</v>
      </c>
      <c r="E100" s="1">
        <f>IFERROR(__xludf.DUMMYFUNCTION("""COMPUTED_VALUE"""),236.11)</f>
        <v>236.11</v>
      </c>
      <c r="F100" s="1">
        <f>IFERROR(__xludf.DUMMYFUNCTION("""COMPUTED_VALUE"""),1.765625E7)</f>
        <v>17656250</v>
      </c>
    </row>
    <row r="101">
      <c r="A101" s="2">
        <f>IFERROR(__xludf.DUMMYFUNCTION("""COMPUTED_VALUE"""),31553.666666666668)</f>
        <v>31553.66667</v>
      </c>
      <c r="B101" s="1">
        <f>IFERROR(__xludf.DUMMYFUNCTION("""COMPUTED_VALUE"""),236.11)</f>
        <v>236.11</v>
      </c>
      <c r="C101" s="1">
        <f>IFERROR(__xludf.DUMMYFUNCTION("""COMPUTED_VALUE"""),236.83)</f>
        <v>236.83</v>
      </c>
      <c r="D101" s="1">
        <f>IFERROR(__xludf.DUMMYFUNCTION("""COMPUTED_VALUE"""),235.45)</f>
        <v>235.45</v>
      </c>
      <c r="E101" s="1">
        <f>IFERROR(__xludf.DUMMYFUNCTION("""COMPUTED_VALUE"""),235.45)</f>
        <v>235.45</v>
      </c>
      <c r="F101" s="1">
        <f>IFERROR(__xludf.DUMMYFUNCTION("""COMPUTED_VALUE"""),1.8296876E7)</f>
        <v>18296876</v>
      </c>
    </row>
    <row r="102">
      <c r="A102" s="2">
        <f>IFERROR(__xludf.DUMMYFUNCTION("""COMPUTED_VALUE"""),31554.666666666668)</f>
        <v>31554.66667</v>
      </c>
      <c r="B102" s="1">
        <f>IFERROR(__xludf.DUMMYFUNCTION("""COMPUTED_VALUE"""),235.45)</f>
        <v>235.45</v>
      </c>
      <c r="C102" s="1">
        <f>IFERROR(__xludf.DUMMYFUNCTION("""COMPUTED_VALUE"""),240.25)</f>
        <v>240.25</v>
      </c>
      <c r="D102" s="1">
        <f>IFERROR(__xludf.DUMMYFUNCTION("""COMPUTED_VALUE"""),235.45)</f>
        <v>235.45</v>
      </c>
      <c r="E102" s="1">
        <f>IFERROR(__xludf.DUMMYFUNCTION("""COMPUTED_VALUE"""),240.12)</f>
        <v>240.12</v>
      </c>
      <c r="F102" s="1">
        <f>IFERROR(__xludf.DUMMYFUNCTION("""COMPUTED_VALUE"""),2.2640624E7)</f>
        <v>22640624</v>
      </c>
    </row>
    <row r="103">
      <c r="A103" s="2">
        <f>IFERROR(__xludf.DUMMYFUNCTION("""COMPUTED_VALUE"""),31555.666666666668)</f>
        <v>31555.66667</v>
      </c>
      <c r="B103" s="1">
        <f>IFERROR(__xludf.DUMMYFUNCTION("""COMPUTED_VALUE"""),240.12)</f>
        <v>240.12</v>
      </c>
      <c r="C103" s="1">
        <f>IFERROR(__xludf.DUMMYFUNCTION("""COMPUTED_VALUE"""),242.16)</f>
        <v>242.16</v>
      </c>
      <c r="D103" s="1">
        <f>IFERROR(__xludf.DUMMYFUNCTION("""COMPUTED_VALUE"""),240.12)</f>
        <v>240.12</v>
      </c>
      <c r="E103" s="1">
        <f>IFERROR(__xludf.DUMMYFUNCTION("""COMPUTED_VALUE"""),241.35)</f>
        <v>241.35</v>
      </c>
      <c r="F103" s="1">
        <f>IFERROR(__xludf.DUMMYFUNCTION("""COMPUTED_VALUE"""),2.034375E7)</f>
        <v>20343750</v>
      </c>
    </row>
    <row r="104">
      <c r="A104" s="2">
        <f>IFERROR(__xludf.DUMMYFUNCTION("""COMPUTED_VALUE"""),31558.666666666668)</f>
        <v>31558.66667</v>
      </c>
      <c r="B104" s="1">
        <f>IFERROR(__xludf.DUMMYFUNCTION("""COMPUTED_VALUE"""),244.75)</f>
        <v>244.75</v>
      </c>
      <c r="C104" s="1">
        <f>IFERROR(__xludf.DUMMYFUNCTION("""COMPUTED_VALUE"""),244.75)</f>
        <v>244.75</v>
      </c>
      <c r="D104" s="1">
        <f>IFERROR(__xludf.DUMMYFUNCTION("""COMPUTED_VALUE"""),244.75)</f>
        <v>244.75</v>
      </c>
      <c r="E104" s="1">
        <f>IFERROR(__xludf.DUMMYFUNCTION("""COMPUTED_VALUE"""),244.75)</f>
        <v>244.75</v>
      </c>
      <c r="F104" s="1">
        <f>IFERROR(__xludf.DUMMYFUNCTION("""COMPUTED_VALUE"""),0.0)</f>
        <v>0</v>
      </c>
    </row>
    <row r="105">
      <c r="A105" s="2">
        <f>IFERROR(__xludf.DUMMYFUNCTION("""COMPUTED_VALUE"""),31559.666666666668)</f>
        <v>31559.66667</v>
      </c>
      <c r="B105" s="1">
        <f>IFERROR(__xludf.DUMMYFUNCTION("""COMPUTED_VALUE"""),241.35)</f>
        <v>241.35</v>
      </c>
      <c r="C105" s="1">
        <f>IFERROR(__xludf.DUMMYFUNCTION("""COMPUTED_VALUE"""),244.76)</f>
        <v>244.76</v>
      </c>
      <c r="D105" s="1">
        <f>IFERROR(__xludf.DUMMYFUNCTION("""COMPUTED_VALUE"""),241.35)</f>
        <v>241.35</v>
      </c>
      <c r="E105" s="1">
        <f>IFERROR(__xludf.DUMMYFUNCTION("""COMPUTED_VALUE"""),244.75)</f>
        <v>244.75</v>
      </c>
      <c r="F105" s="1">
        <f>IFERROR(__xludf.DUMMYFUNCTION("""COMPUTED_VALUE"""),1.89375E7)</f>
        <v>18937500</v>
      </c>
    </row>
    <row r="106">
      <c r="A106" s="2">
        <f>IFERROR(__xludf.DUMMYFUNCTION("""COMPUTED_VALUE"""),31560.666666666668)</f>
        <v>31560.66667</v>
      </c>
      <c r="B106" s="1">
        <f>IFERROR(__xludf.DUMMYFUNCTION("""COMPUTED_VALUE"""),244.75)</f>
        <v>244.75</v>
      </c>
      <c r="C106" s="1">
        <f>IFERROR(__xludf.DUMMYFUNCTION("""COMPUTED_VALUE"""),247.4)</f>
        <v>247.4</v>
      </c>
      <c r="D106" s="1">
        <f>IFERROR(__xludf.DUMMYFUNCTION("""COMPUTED_VALUE"""),244.75)</f>
        <v>244.75</v>
      </c>
      <c r="E106" s="1">
        <f>IFERROR(__xludf.DUMMYFUNCTION("""COMPUTED_VALUE"""),246.63)</f>
        <v>246.63</v>
      </c>
      <c r="F106" s="1">
        <f>IFERROR(__xludf.DUMMYFUNCTION("""COMPUTED_VALUE"""),2.49375E7)</f>
        <v>24937500</v>
      </c>
    </row>
    <row r="107">
      <c r="A107" s="2">
        <f>IFERROR(__xludf.DUMMYFUNCTION("""COMPUTED_VALUE"""),31561.666666666668)</f>
        <v>31561.66667</v>
      </c>
      <c r="B107" s="1">
        <f>IFERROR(__xludf.DUMMYFUNCTION("""COMPUTED_VALUE"""),246.63)</f>
        <v>246.63</v>
      </c>
      <c r="C107" s="1">
        <f>IFERROR(__xludf.DUMMYFUNCTION("""COMPUTED_VALUE"""),248.32)</f>
        <v>248.32</v>
      </c>
      <c r="D107" s="1">
        <f>IFERROR(__xludf.DUMMYFUNCTION("""COMPUTED_VALUE"""),245.29)</f>
        <v>245.29</v>
      </c>
      <c r="E107" s="1">
        <f>IFERROR(__xludf.DUMMYFUNCTION("""COMPUTED_VALUE"""),247.98)</f>
        <v>247.98</v>
      </c>
      <c r="F107" s="1">
        <f>IFERROR(__xludf.DUMMYFUNCTION("""COMPUTED_VALUE"""),2.1203124E7)</f>
        <v>21203124</v>
      </c>
    </row>
    <row r="108">
      <c r="A108" s="2">
        <f>IFERROR(__xludf.DUMMYFUNCTION("""COMPUTED_VALUE"""),31562.666666666668)</f>
        <v>31562.66667</v>
      </c>
      <c r="B108" s="1">
        <f>IFERROR(__xludf.DUMMYFUNCTION("""COMPUTED_VALUE"""),247.98)</f>
        <v>247.98</v>
      </c>
      <c r="C108" s="1">
        <f>IFERROR(__xludf.DUMMYFUNCTION("""COMPUTED_VALUE"""),249.19)</f>
        <v>249.19</v>
      </c>
      <c r="D108" s="1">
        <f>IFERROR(__xludf.DUMMYFUNCTION("""COMPUTED_VALUE"""),246.43)</f>
        <v>246.43</v>
      </c>
      <c r="E108" s="1">
        <f>IFERROR(__xludf.DUMMYFUNCTION("""COMPUTED_VALUE"""),247.35)</f>
        <v>247.35</v>
      </c>
      <c r="F108" s="1">
        <f>IFERROR(__xludf.DUMMYFUNCTION("""COMPUTED_VALUE"""),2.3625E7)</f>
        <v>23625000</v>
      </c>
    </row>
    <row r="109">
      <c r="A109" s="2">
        <f>IFERROR(__xludf.DUMMYFUNCTION("""COMPUTED_VALUE"""),31565.666666666668)</f>
        <v>31565.66667</v>
      </c>
      <c r="B109" s="1">
        <f>IFERROR(__xludf.DUMMYFUNCTION("""COMPUTED_VALUE"""),246.04)</f>
        <v>246.04</v>
      </c>
      <c r="C109" s="1">
        <f>IFERROR(__xludf.DUMMYFUNCTION("""COMPUTED_VALUE"""),247.74)</f>
        <v>247.74</v>
      </c>
      <c r="D109" s="1">
        <f>IFERROR(__xludf.DUMMYFUNCTION("""COMPUTED_VALUE"""),243.83)</f>
        <v>243.83</v>
      </c>
      <c r="E109" s="1">
        <f>IFERROR(__xludf.DUMMYFUNCTION("""COMPUTED_VALUE"""),245.04)</f>
        <v>245.04</v>
      </c>
      <c r="F109" s="1">
        <f>IFERROR(__xludf.DUMMYFUNCTION("""COMPUTED_VALUE"""),1.884375E7)</f>
        <v>18843750</v>
      </c>
    </row>
    <row r="110">
      <c r="A110" s="2">
        <f>IFERROR(__xludf.DUMMYFUNCTION("""COMPUTED_VALUE"""),31566.666666666668)</f>
        <v>31566.66667</v>
      </c>
      <c r="B110" s="1">
        <f>IFERROR(__xludf.DUMMYFUNCTION("""COMPUTED_VALUE"""),245.04)</f>
        <v>245.04</v>
      </c>
      <c r="C110" s="1">
        <f>IFERROR(__xludf.DUMMYFUNCTION("""COMPUTED_VALUE"""),245.51)</f>
        <v>245.51</v>
      </c>
      <c r="D110" s="1">
        <f>IFERROR(__xludf.DUMMYFUNCTION("""COMPUTED_VALUE"""),243.67)</f>
        <v>243.67</v>
      </c>
      <c r="E110" s="1">
        <f>IFERROR(__xludf.DUMMYFUNCTION("""COMPUTED_VALUE"""),245.51)</f>
        <v>245.51</v>
      </c>
      <c r="F110" s="1">
        <f>IFERROR(__xludf.DUMMYFUNCTION("""COMPUTED_VALUE"""),1.7921876E7)</f>
        <v>17921876</v>
      </c>
    </row>
    <row r="111">
      <c r="A111" s="2">
        <f>IFERROR(__xludf.DUMMYFUNCTION("""COMPUTED_VALUE"""),31567.666666666668)</f>
        <v>31567.66667</v>
      </c>
      <c r="B111" s="1">
        <f>IFERROR(__xludf.DUMMYFUNCTION("""COMPUTED_VALUE"""),245.51)</f>
        <v>245.51</v>
      </c>
      <c r="C111" s="1">
        <f>IFERROR(__xludf.DUMMYFUNCTION("""COMPUTED_VALUE"""),246.3)</f>
        <v>246.3</v>
      </c>
      <c r="D111" s="1">
        <f>IFERROR(__xludf.DUMMYFUNCTION("""COMPUTED_VALUE"""),242.59)</f>
        <v>242.59</v>
      </c>
      <c r="E111" s="1">
        <f>IFERROR(__xludf.DUMMYFUNCTION("""COMPUTED_VALUE"""),243.94)</f>
        <v>243.94</v>
      </c>
      <c r="F111" s="1">
        <f>IFERROR(__xludf.DUMMYFUNCTION("""COMPUTED_VALUE"""),1.828125E7)</f>
        <v>18281250</v>
      </c>
    </row>
    <row r="112">
      <c r="A112" s="2">
        <f>IFERROR(__xludf.DUMMYFUNCTION("""COMPUTED_VALUE"""),31568.666666666668)</f>
        <v>31568.66667</v>
      </c>
      <c r="B112" s="1">
        <f>IFERROR(__xludf.DUMMYFUNCTION("""COMPUTED_VALUE"""),243.94)</f>
        <v>243.94</v>
      </c>
      <c r="C112" s="1">
        <f>IFERROR(__xludf.DUMMYFUNCTION("""COMPUTED_VALUE"""),245.66)</f>
        <v>245.66</v>
      </c>
      <c r="D112" s="1">
        <f>IFERROR(__xludf.DUMMYFUNCTION("""COMPUTED_VALUE"""),243.41)</f>
        <v>243.41</v>
      </c>
      <c r="E112" s="1">
        <f>IFERROR(__xludf.DUMMYFUNCTION("""COMPUTED_VALUE"""),245.65)</f>
        <v>245.65</v>
      </c>
      <c r="F112" s="1">
        <f>IFERROR(__xludf.DUMMYFUNCTION("""COMPUTED_VALUE"""),1.7328124E7)</f>
        <v>17328124</v>
      </c>
    </row>
    <row r="113">
      <c r="A113" s="2">
        <f>IFERROR(__xludf.DUMMYFUNCTION("""COMPUTED_VALUE"""),31569.666666666668)</f>
        <v>31569.66667</v>
      </c>
      <c r="B113" s="1">
        <f>IFERROR(__xludf.DUMMYFUNCTION("""COMPUTED_VALUE"""),245.65)</f>
        <v>245.65</v>
      </c>
      <c r="C113" s="1">
        <f>IFERROR(__xludf.DUMMYFUNCTION("""COMPUTED_VALUE"""),246.07)</f>
        <v>246.07</v>
      </c>
      <c r="D113" s="1">
        <f>IFERROR(__xludf.DUMMYFUNCTION("""COMPUTED_VALUE"""),244.43)</f>
        <v>244.43</v>
      </c>
      <c r="E113" s="1">
        <f>IFERROR(__xludf.DUMMYFUNCTION("""COMPUTED_VALUE"""),245.67)</f>
        <v>245.67</v>
      </c>
      <c r="F113" s="1">
        <f>IFERROR(__xludf.DUMMYFUNCTION("""COMPUTED_VALUE"""),1.7328124E7)</f>
        <v>17328124</v>
      </c>
    </row>
    <row r="114">
      <c r="A114" s="2">
        <f>IFERROR(__xludf.DUMMYFUNCTION("""COMPUTED_VALUE"""),31572.666666666668)</f>
        <v>31572.66667</v>
      </c>
      <c r="B114" s="1">
        <f>IFERROR(__xludf.DUMMYFUNCTION("""COMPUTED_VALUE"""),245.67)</f>
        <v>245.67</v>
      </c>
      <c r="C114" s="1">
        <f>IFERROR(__xludf.DUMMYFUNCTION("""COMPUTED_VALUE"""),245.67)</f>
        <v>245.67</v>
      </c>
      <c r="D114" s="1">
        <f>IFERROR(__xludf.DUMMYFUNCTION("""COMPUTED_VALUE"""),239.68)</f>
        <v>239.68</v>
      </c>
      <c r="E114" s="1">
        <f>IFERROR(__xludf.DUMMYFUNCTION("""COMPUTED_VALUE"""),239.96)</f>
        <v>239.96</v>
      </c>
      <c r="F114" s="1">
        <f>IFERROR(__xludf.DUMMYFUNCTION("""COMPUTED_VALUE"""),1.9265624E7)</f>
        <v>19265624</v>
      </c>
    </row>
    <row r="115">
      <c r="A115" s="2">
        <f>IFERROR(__xludf.DUMMYFUNCTION("""COMPUTED_VALUE"""),31573.666666666668)</f>
        <v>31573.66667</v>
      </c>
      <c r="B115" s="1">
        <f>IFERROR(__xludf.DUMMYFUNCTION("""COMPUTED_VALUE"""),239.96)</f>
        <v>239.96</v>
      </c>
      <c r="C115" s="1">
        <f>IFERROR(__xludf.DUMMYFUNCTION("""COMPUTED_VALUE"""),240.08)</f>
        <v>240.08</v>
      </c>
      <c r="D115" s="1">
        <f>IFERROR(__xludf.DUMMYFUNCTION("""COMPUTED_VALUE"""),238.23)</f>
        <v>238.23</v>
      </c>
      <c r="E115" s="1">
        <f>IFERROR(__xludf.DUMMYFUNCTION("""COMPUTED_VALUE"""),239.58)</f>
        <v>239.58</v>
      </c>
      <c r="F115" s="1">
        <f>IFERROR(__xludf.DUMMYFUNCTION("""COMPUTED_VALUE"""),1.953125E7)</f>
        <v>19531250</v>
      </c>
    </row>
    <row r="116">
      <c r="A116" s="2">
        <f>IFERROR(__xludf.DUMMYFUNCTION("""COMPUTED_VALUE"""),31574.666666666668)</f>
        <v>31574.66667</v>
      </c>
      <c r="B116" s="1">
        <f>IFERROR(__xludf.DUMMYFUNCTION("""COMPUTED_VALUE"""),239.58)</f>
        <v>239.58</v>
      </c>
      <c r="C116" s="1">
        <f>IFERROR(__xludf.DUMMYFUNCTION("""COMPUTED_VALUE"""),241.13)</f>
        <v>241.13</v>
      </c>
      <c r="D116" s="1">
        <f>IFERROR(__xludf.DUMMYFUNCTION("""COMPUTED_VALUE"""),239.21)</f>
        <v>239.21</v>
      </c>
      <c r="E116" s="1">
        <f>IFERROR(__xludf.DUMMYFUNCTION("""COMPUTED_VALUE"""),241.13)</f>
        <v>241.13</v>
      </c>
      <c r="F116" s="1">
        <f>IFERROR(__xludf.DUMMYFUNCTION("""COMPUTED_VALUE"""),1.990625E7)</f>
        <v>19906250</v>
      </c>
    </row>
    <row r="117">
      <c r="A117" s="2">
        <f>IFERROR(__xludf.DUMMYFUNCTION("""COMPUTED_VALUE"""),31575.666666666668)</f>
        <v>31575.66667</v>
      </c>
      <c r="B117" s="1">
        <f>IFERROR(__xludf.DUMMYFUNCTION("""COMPUTED_VALUE"""),241.24)</f>
        <v>241.24</v>
      </c>
      <c r="C117" s="1">
        <f>IFERROR(__xludf.DUMMYFUNCTION("""COMPUTED_VALUE"""),241.64)</f>
        <v>241.64</v>
      </c>
      <c r="D117" s="1">
        <f>IFERROR(__xludf.DUMMYFUNCTION("""COMPUTED_VALUE"""),240.7)</f>
        <v>240.7</v>
      </c>
      <c r="E117" s="1">
        <f>IFERROR(__xludf.DUMMYFUNCTION("""COMPUTED_VALUE"""),241.49)</f>
        <v>241.49</v>
      </c>
      <c r="F117" s="1">
        <f>IFERROR(__xludf.DUMMYFUNCTION("""COMPUTED_VALUE"""),1.7046876E7)</f>
        <v>17046876</v>
      </c>
    </row>
    <row r="118">
      <c r="A118" s="2">
        <f>IFERROR(__xludf.DUMMYFUNCTION("""COMPUTED_VALUE"""),31576.666666666668)</f>
        <v>31576.66667</v>
      </c>
      <c r="B118" s="1">
        <f>IFERROR(__xludf.DUMMYFUNCTION("""COMPUTED_VALUE"""),241.71)</f>
        <v>241.71</v>
      </c>
      <c r="C118" s="1">
        <f>IFERROR(__xludf.DUMMYFUNCTION("""COMPUTED_VALUE"""),245.91)</f>
        <v>245.91</v>
      </c>
      <c r="D118" s="1">
        <f>IFERROR(__xludf.DUMMYFUNCTION("""COMPUTED_VALUE"""),241.71)</f>
        <v>241.71</v>
      </c>
      <c r="E118" s="1">
        <f>IFERROR(__xludf.DUMMYFUNCTION("""COMPUTED_VALUE"""),245.73)</f>
        <v>245.73</v>
      </c>
      <c r="F118" s="1">
        <f>IFERROR(__xludf.DUMMYFUNCTION("""COMPUTED_VALUE"""),2.20625E7)</f>
        <v>22062500</v>
      </c>
    </row>
    <row r="119">
      <c r="A119" s="2">
        <f>IFERROR(__xludf.DUMMYFUNCTION("""COMPUTED_VALUE"""),31579.666666666668)</f>
        <v>31579.66667</v>
      </c>
      <c r="B119" s="1">
        <f>IFERROR(__xludf.DUMMYFUNCTION("""COMPUTED_VALUE"""),245.73)</f>
        <v>245.73</v>
      </c>
      <c r="C119" s="1">
        <f>IFERROR(__xludf.DUMMYFUNCTION("""COMPUTED_VALUE"""),246.5)</f>
        <v>246.5</v>
      </c>
      <c r="D119" s="1">
        <f>IFERROR(__xludf.DUMMYFUNCTION("""COMPUTED_VALUE"""),245.17)</f>
        <v>245.17</v>
      </c>
      <c r="E119" s="1">
        <f>IFERROR(__xludf.DUMMYFUNCTION("""COMPUTED_VALUE"""),246.13)</f>
        <v>246.13</v>
      </c>
      <c r="F119" s="1">
        <f>IFERROR(__xludf.DUMMYFUNCTION("""COMPUTED_VALUE"""),1.7515624E7)</f>
        <v>17515624</v>
      </c>
    </row>
    <row r="120">
      <c r="A120" s="2">
        <f>IFERROR(__xludf.DUMMYFUNCTION("""COMPUTED_VALUE"""),31580.666666666668)</f>
        <v>31580.66667</v>
      </c>
      <c r="B120" s="1">
        <f>IFERROR(__xludf.DUMMYFUNCTION("""COMPUTED_VALUE"""),246.13)</f>
        <v>246.13</v>
      </c>
      <c r="C120" s="1">
        <f>IFERROR(__xludf.DUMMYFUNCTION("""COMPUTED_VALUE"""),246.26)</f>
        <v>246.26</v>
      </c>
      <c r="D120" s="1">
        <f>IFERROR(__xludf.DUMMYFUNCTION("""COMPUTED_VALUE"""),243.6)</f>
        <v>243.6</v>
      </c>
      <c r="E120" s="1">
        <f>IFERROR(__xludf.DUMMYFUNCTION("""COMPUTED_VALUE"""),244.35)</f>
        <v>244.35</v>
      </c>
      <c r="F120" s="1">
        <f>IFERROR(__xludf.DUMMYFUNCTION("""COMPUTED_VALUE"""),1.9234376E7)</f>
        <v>19234376</v>
      </c>
    </row>
    <row r="121">
      <c r="A121" s="2">
        <f>IFERROR(__xludf.DUMMYFUNCTION("""COMPUTED_VALUE"""),31581.666666666668)</f>
        <v>31581.66667</v>
      </c>
      <c r="B121" s="1">
        <f>IFERROR(__xludf.DUMMYFUNCTION("""COMPUTED_VALUE"""),244.35)</f>
        <v>244.35</v>
      </c>
      <c r="C121" s="1">
        <f>IFERROR(__xludf.DUMMYFUNCTION("""COMPUTED_VALUE"""),245.25)</f>
        <v>245.25</v>
      </c>
      <c r="D121" s="1">
        <f>IFERROR(__xludf.DUMMYFUNCTION("""COMPUTED_VALUE"""),242.57)</f>
        <v>242.57</v>
      </c>
      <c r="E121" s="1">
        <f>IFERROR(__xludf.DUMMYFUNCTION("""COMPUTED_VALUE"""),244.99)</f>
        <v>244.99</v>
      </c>
      <c r="F121" s="1">
        <f>IFERROR(__xludf.DUMMYFUNCTION("""COMPUTED_VALUE"""),1.828125E7)</f>
        <v>18281250</v>
      </c>
    </row>
    <row r="122">
      <c r="A122" s="2">
        <f>IFERROR(__xludf.DUMMYFUNCTION("""COMPUTED_VALUE"""),31582.666666666668)</f>
        <v>31582.66667</v>
      </c>
      <c r="B122" s="1">
        <f>IFERROR(__xludf.DUMMYFUNCTION("""COMPUTED_VALUE"""),244.99)</f>
        <v>244.99</v>
      </c>
      <c r="C122" s="1">
        <f>IFERROR(__xludf.DUMMYFUNCTION("""COMPUTED_VALUE"""),245.8)</f>
        <v>245.8</v>
      </c>
      <c r="D122" s="1">
        <f>IFERROR(__xludf.DUMMYFUNCTION("""COMPUTED_VALUE"""),244.05)</f>
        <v>244.05</v>
      </c>
      <c r="E122" s="1">
        <f>IFERROR(__xludf.DUMMYFUNCTION("""COMPUTED_VALUE"""),244.06)</f>
        <v>244.06</v>
      </c>
      <c r="F122" s="1">
        <f>IFERROR(__xludf.DUMMYFUNCTION("""COMPUTED_VALUE"""),2.015625E7)</f>
        <v>20156250</v>
      </c>
    </row>
    <row r="123">
      <c r="A123" s="2">
        <f>IFERROR(__xludf.DUMMYFUNCTION("""COMPUTED_VALUE"""),31583.666666666668)</f>
        <v>31583.66667</v>
      </c>
      <c r="B123" s="1">
        <f>IFERROR(__xludf.DUMMYFUNCTION("""COMPUTED_VALUE"""),244.06)</f>
        <v>244.06</v>
      </c>
      <c r="C123" s="1">
        <f>IFERROR(__xludf.DUMMYFUNCTION("""COMPUTED_VALUE"""),247.6)</f>
        <v>247.6</v>
      </c>
      <c r="D123" s="1">
        <f>IFERROR(__xludf.DUMMYFUNCTION("""COMPUTED_VALUE"""),243.98)</f>
        <v>243.98</v>
      </c>
      <c r="E123" s="1">
        <f>IFERROR(__xludf.DUMMYFUNCTION("""COMPUTED_VALUE"""),247.58)</f>
        <v>247.58</v>
      </c>
      <c r="F123" s="1">
        <f>IFERROR(__xludf.DUMMYFUNCTION("""COMPUTED_VALUE"""),2.3296876E7)</f>
        <v>23296876</v>
      </c>
    </row>
    <row r="124">
      <c r="A124" s="2">
        <f>IFERROR(__xludf.DUMMYFUNCTION("""COMPUTED_VALUE"""),31586.666666666668)</f>
        <v>31586.66667</v>
      </c>
      <c r="B124" s="1">
        <f>IFERROR(__xludf.DUMMYFUNCTION("""COMPUTED_VALUE"""),247.58)</f>
        <v>247.58</v>
      </c>
      <c r="C124" s="1">
        <f>IFERROR(__xludf.DUMMYFUNCTION("""COMPUTED_VALUE"""),247.58)</f>
        <v>247.58</v>
      </c>
      <c r="D124" s="1">
        <f>IFERROR(__xludf.DUMMYFUNCTION("""COMPUTED_VALUE"""),244.45)</f>
        <v>244.45</v>
      </c>
      <c r="E124" s="1">
        <f>IFERROR(__xludf.DUMMYFUNCTION("""COMPUTED_VALUE"""),245.26)</f>
        <v>245.26</v>
      </c>
      <c r="F124" s="1">
        <f>IFERROR(__xludf.DUMMYFUNCTION("""COMPUTED_VALUE"""),1.934375E7)</f>
        <v>19343750</v>
      </c>
    </row>
    <row r="125">
      <c r="A125" s="2">
        <f>IFERROR(__xludf.DUMMYFUNCTION("""COMPUTED_VALUE"""),31587.666666666668)</f>
        <v>31587.66667</v>
      </c>
      <c r="B125" s="1">
        <f>IFERROR(__xludf.DUMMYFUNCTION("""COMPUTED_VALUE"""),245.26)</f>
        <v>245.26</v>
      </c>
      <c r="C125" s="1">
        <f>IFERROR(__xludf.DUMMYFUNCTION("""COMPUTED_VALUE"""),248.26)</f>
        <v>248.26</v>
      </c>
      <c r="D125" s="1">
        <f>IFERROR(__xludf.DUMMYFUNCTION("""COMPUTED_VALUE"""),244.53)</f>
        <v>244.53</v>
      </c>
      <c r="E125" s="1">
        <f>IFERROR(__xludf.DUMMYFUNCTION("""COMPUTED_VALUE"""),247.03)</f>
        <v>247.03</v>
      </c>
      <c r="F125" s="1">
        <f>IFERROR(__xludf.DUMMYFUNCTION("""COMPUTED_VALUE"""),2.196875E7)</f>
        <v>21968750</v>
      </c>
    </row>
    <row r="126">
      <c r="A126" s="2">
        <f>IFERROR(__xludf.DUMMYFUNCTION("""COMPUTED_VALUE"""),31588.666666666668)</f>
        <v>31588.66667</v>
      </c>
      <c r="B126" s="1">
        <f>IFERROR(__xludf.DUMMYFUNCTION("""COMPUTED_VALUE"""),247.03)</f>
        <v>247.03</v>
      </c>
      <c r="C126" s="1">
        <f>IFERROR(__xludf.DUMMYFUNCTION("""COMPUTED_VALUE"""),250.13)</f>
        <v>250.13</v>
      </c>
      <c r="D126" s="1">
        <f>IFERROR(__xludf.DUMMYFUNCTION("""COMPUTED_VALUE"""),247.03)</f>
        <v>247.03</v>
      </c>
      <c r="E126" s="1">
        <f>IFERROR(__xludf.DUMMYFUNCTION("""COMPUTED_VALUE"""),248.93)</f>
        <v>248.93</v>
      </c>
      <c r="F126" s="1">
        <f>IFERROR(__xludf.DUMMYFUNCTION("""COMPUTED_VALUE"""),2.528125E7)</f>
        <v>25281250</v>
      </c>
    </row>
    <row r="127">
      <c r="A127" s="2">
        <f>IFERROR(__xludf.DUMMYFUNCTION("""COMPUTED_VALUE"""),31589.666666666668)</f>
        <v>31589.66667</v>
      </c>
      <c r="B127" s="1">
        <f>IFERROR(__xludf.DUMMYFUNCTION("""COMPUTED_VALUE"""),248.93)</f>
        <v>248.93</v>
      </c>
      <c r="C127" s="1">
        <f>IFERROR(__xludf.DUMMYFUNCTION("""COMPUTED_VALUE"""),249.43)</f>
        <v>249.43</v>
      </c>
      <c r="D127" s="1">
        <f>IFERROR(__xludf.DUMMYFUNCTION("""COMPUTED_VALUE"""),247.72)</f>
        <v>247.72</v>
      </c>
      <c r="E127" s="1">
        <f>IFERROR(__xludf.DUMMYFUNCTION("""COMPUTED_VALUE"""),248.74)</f>
        <v>248.74</v>
      </c>
      <c r="F127" s="1">
        <f>IFERROR(__xludf.DUMMYFUNCTION("""COMPUTED_VALUE"""),2.0953124E7)</f>
        <v>20953124</v>
      </c>
    </row>
    <row r="128">
      <c r="A128" s="2">
        <f>IFERROR(__xludf.DUMMYFUNCTION("""COMPUTED_VALUE"""),31590.666666666668)</f>
        <v>31590.66667</v>
      </c>
      <c r="B128" s="1">
        <f>IFERROR(__xludf.DUMMYFUNCTION("""COMPUTED_VALUE"""),248.74)</f>
        <v>248.74</v>
      </c>
      <c r="C128" s="1">
        <f>IFERROR(__xludf.DUMMYFUNCTION("""COMPUTED_VALUE"""),249.74)</f>
        <v>249.74</v>
      </c>
      <c r="D128" s="1">
        <f>IFERROR(__xludf.DUMMYFUNCTION("""COMPUTED_VALUE"""),248.74)</f>
        <v>248.74</v>
      </c>
      <c r="E128" s="1">
        <f>IFERROR(__xludf.DUMMYFUNCTION("""COMPUTED_VALUE"""),249.6)</f>
        <v>249.6</v>
      </c>
      <c r="F128" s="1">
        <f>IFERROR(__xludf.DUMMYFUNCTION("""COMPUTED_VALUE"""),1.934375E7)</f>
        <v>19343750</v>
      </c>
    </row>
    <row r="129">
      <c r="A129" s="2">
        <f>IFERROR(__xludf.DUMMYFUNCTION("""COMPUTED_VALUE"""),31593.666666666668)</f>
        <v>31593.66667</v>
      </c>
      <c r="B129" s="1">
        <f>IFERROR(__xludf.DUMMYFUNCTION("""COMPUTED_VALUE"""),249.6)</f>
        <v>249.6</v>
      </c>
      <c r="C129" s="1">
        <f>IFERROR(__xludf.DUMMYFUNCTION("""COMPUTED_VALUE"""),251.81)</f>
        <v>251.81</v>
      </c>
      <c r="D129" s="1">
        <f>IFERROR(__xludf.DUMMYFUNCTION("""COMPUTED_VALUE"""),249.6)</f>
        <v>249.6</v>
      </c>
      <c r="E129" s="1">
        <f>IFERROR(__xludf.DUMMYFUNCTION("""COMPUTED_VALUE"""),250.84)</f>
        <v>250.84</v>
      </c>
      <c r="F129" s="1">
        <f>IFERROR(__xludf.DUMMYFUNCTION("""COMPUTED_VALUE"""),2.1109376E7)</f>
        <v>21109376</v>
      </c>
    </row>
    <row r="130">
      <c r="A130" s="2">
        <f>IFERROR(__xludf.DUMMYFUNCTION("""COMPUTED_VALUE"""),31594.666666666668)</f>
        <v>31594.66667</v>
      </c>
      <c r="B130" s="1">
        <f>IFERROR(__xludf.DUMMYFUNCTION("""COMPUTED_VALUE"""),250.67)</f>
        <v>250.67</v>
      </c>
      <c r="C130" s="1">
        <f>IFERROR(__xludf.DUMMYFUNCTION("""COMPUTED_VALUE"""),252.04)</f>
        <v>252.04</v>
      </c>
      <c r="D130" s="1">
        <f>IFERROR(__xludf.DUMMYFUNCTION("""COMPUTED_VALUE"""),250.53)</f>
        <v>250.53</v>
      </c>
      <c r="E130" s="1">
        <f>IFERROR(__xludf.DUMMYFUNCTION("""COMPUTED_VALUE"""),252.04)</f>
        <v>252.04</v>
      </c>
      <c r="F130" s="1">
        <f>IFERROR(__xludf.DUMMYFUNCTION("""COMPUTED_VALUE"""),2.3078124E7)</f>
        <v>23078124</v>
      </c>
    </row>
    <row r="131">
      <c r="A131" s="2">
        <f>IFERROR(__xludf.DUMMYFUNCTION("""COMPUTED_VALUE"""),31595.666666666668)</f>
        <v>31595.66667</v>
      </c>
      <c r="B131" s="1">
        <f>IFERROR(__xludf.DUMMYFUNCTION("""COMPUTED_VALUE"""),252.04)</f>
        <v>252.04</v>
      </c>
      <c r="C131" s="1">
        <f>IFERROR(__xludf.DUMMYFUNCTION("""COMPUTED_VALUE"""),253.2)</f>
        <v>253.2</v>
      </c>
      <c r="D131" s="1">
        <f>IFERROR(__xludf.DUMMYFUNCTION("""COMPUTED_VALUE"""),251.79)</f>
        <v>251.79</v>
      </c>
      <c r="E131" s="1">
        <f>IFERROR(__xludf.DUMMYFUNCTION("""COMPUTED_VALUE"""),252.7)</f>
        <v>252.7</v>
      </c>
      <c r="F131" s="1">
        <f>IFERROR(__xludf.DUMMYFUNCTION("""COMPUTED_VALUE"""),2.34375E7)</f>
        <v>23437500</v>
      </c>
    </row>
    <row r="132">
      <c r="A132" s="2">
        <f>IFERROR(__xludf.DUMMYFUNCTION("""COMPUTED_VALUE"""),31596.666666666668)</f>
        <v>31596.66667</v>
      </c>
      <c r="B132" s="1">
        <f>IFERROR(__xludf.DUMMYFUNCTION("""COMPUTED_VALUE"""),252.7)</f>
        <v>252.7</v>
      </c>
      <c r="C132" s="1">
        <f>IFERROR(__xludf.DUMMYFUNCTION("""COMPUTED_VALUE"""),252.94)</f>
        <v>252.94</v>
      </c>
      <c r="D132" s="1">
        <f>IFERROR(__xludf.DUMMYFUNCTION("""COMPUTED_VALUE"""),251.23)</f>
        <v>251.23</v>
      </c>
      <c r="E132" s="1">
        <f>IFERROR(__xludf.DUMMYFUNCTION("""COMPUTED_VALUE"""),251.79)</f>
        <v>251.79</v>
      </c>
      <c r="F132" s="1">
        <f>IFERROR(__xludf.DUMMYFUNCTION("""COMPUTED_VALUE"""),1.6921876E7)</f>
        <v>16921876</v>
      </c>
    </row>
    <row r="133">
      <c r="A133" s="2">
        <f>IFERROR(__xludf.DUMMYFUNCTION("""COMPUTED_VALUE"""),31600.666666666668)</f>
        <v>31600.66667</v>
      </c>
      <c r="B133" s="1">
        <f>IFERROR(__xludf.DUMMYFUNCTION("""COMPUTED_VALUE"""),251.79)</f>
        <v>251.79</v>
      </c>
      <c r="C133" s="1">
        <f>IFERROR(__xludf.DUMMYFUNCTION("""COMPUTED_VALUE"""),251.81)</f>
        <v>251.81</v>
      </c>
      <c r="D133" s="1">
        <f>IFERROR(__xludf.DUMMYFUNCTION("""COMPUTED_VALUE"""),243.63)</f>
        <v>243.63</v>
      </c>
      <c r="E133" s="1">
        <f>IFERROR(__xludf.DUMMYFUNCTION("""COMPUTED_VALUE"""),244.05)</f>
        <v>244.05</v>
      </c>
      <c r="F133" s="1">
        <f>IFERROR(__xludf.DUMMYFUNCTION("""COMPUTED_VALUE"""),2.159375E7)</f>
        <v>21593750</v>
      </c>
    </row>
    <row r="134">
      <c r="A134" s="2">
        <f>IFERROR(__xludf.DUMMYFUNCTION("""COMPUTED_VALUE"""),31601.666666666668)</f>
        <v>31601.66667</v>
      </c>
      <c r="B134" s="1">
        <f>IFERROR(__xludf.DUMMYFUNCTION("""COMPUTED_VALUE"""),244.05)</f>
        <v>244.05</v>
      </c>
      <c r="C134" s="1">
        <f>IFERROR(__xludf.DUMMYFUNCTION("""COMPUTED_VALUE"""),244.06)</f>
        <v>244.06</v>
      </c>
      <c r="D134" s="1">
        <f>IFERROR(__xludf.DUMMYFUNCTION("""COMPUTED_VALUE"""),239.07)</f>
        <v>239.07</v>
      </c>
      <c r="E134" s="1">
        <f>IFERROR(__xludf.DUMMYFUNCTION("""COMPUTED_VALUE"""),241.59)</f>
        <v>241.59</v>
      </c>
      <c r="F134" s="1">
        <f>IFERROR(__xludf.DUMMYFUNCTION("""COMPUTED_VALUE"""),2.7203124E7)</f>
        <v>27203124</v>
      </c>
    </row>
    <row r="135">
      <c r="A135" s="2">
        <f>IFERROR(__xludf.DUMMYFUNCTION("""COMPUTED_VALUE"""),31602.666666666668)</f>
        <v>31602.66667</v>
      </c>
      <c r="B135" s="1">
        <f>IFERROR(__xludf.DUMMYFUNCTION("""COMPUTED_VALUE"""),241.59)</f>
        <v>241.59</v>
      </c>
      <c r="C135" s="1">
        <f>IFERROR(__xludf.DUMMYFUNCTION("""COMPUTED_VALUE"""),243.07)</f>
        <v>243.07</v>
      </c>
      <c r="D135" s="1">
        <f>IFERROR(__xludf.DUMMYFUNCTION("""COMPUTED_VALUE"""),241.46)</f>
        <v>241.46</v>
      </c>
      <c r="E135" s="1">
        <f>IFERROR(__xludf.DUMMYFUNCTION("""COMPUTED_VALUE"""),242.82)</f>
        <v>242.82</v>
      </c>
      <c r="F135" s="1">
        <f>IFERROR(__xludf.DUMMYFUNCTION("""COMPUTED_VALUE"""),2.2328124E7)</f>
        <v>22328124</v>
      </c>
    </row>
    <row r="136">
      <c r="A136" s="2">
        <f>IFERROR(__xludf.DUMMYFUNCTION("""COMPUTED_VALUE"""),31603.666666666668)</f>
        <v>31603.66667</v>
      </c>
      <c r="B136" s="1">
        <f>IFERROR(__xludf.DUMMYFUNCTION("""COMPUTED_VALUE"""),242.82)</f>
        <v>242.82</v>
      </c>
      <c r="C136" s="1">
        <f>IFERROR(__xludf.DUMMYFUNCTION("""COMPUTED_VALUE"""),243.44)</f>
        <v>243.44</v>
      </c>
      <c r="D136" s="1">
        <f>IFERROR(__xludf.DUMMYFUNCTION("""COMPUTED_VALUE"""),239.66)</f>
        <v>239.66</v>
      </c>
      <c r="E136" s="1">
        <f>IFERROR(__xludf.DUMMYFUNCTION("""COMPUTED_VALUE"""),243.01)</f>
        <v>243.01</v>
      </c>
      <c r="F136" s="1">
        <f>IFERROR(__xludf.DUMMYFUNCTION("""COMPUTED_VALUE"""),2.284375E7)</f>
        <v>22843750</v>
      </c>
    </row>
    <row r="137">
      <c r="A137" s="2">
        <f>IFERROR(__xludf.DUMMYFUNCTION("""COMPUTED_VALUE"""),31604.666666666668)</f>
        <v>31604.66667</v>
      </c>
      <c r="B137" s="1">
        <f>IFERROR(__xludf.DUMMYFUNCTION("""COMPUTED_VALUE"""),243.01)</f>
        <v>243.01</v>
      </c>
      <c r="C137" s="1">
        <f>IFERROR(__xludf.DUMMYFUNCTION("""COMPUTED_VALUE"""),243.48)</f>
        <v>243.48</v>
      </c>
      <c r="D137" s="1">
        <f>IFERROR(__xludf.DUMMYFUNCTION("""COMPUTED_VALUE"""),241.68)</f>
        <v>241.68</v>
      </c>
      <c r="E137" s="1">
        <f>IFERROR(__xludf.DUMMYFUNCTION("""COMPUTED_VALUE"""),242.22)</f>
        <v>242.22</v>
      </c>
      <c r="F137" s="1">
        <f>IFERROR(__xludf.DUMMYFUNCTION("""COMPUTED_VALUE"""),1.9453124E7)</f>
        <v>19453124</v>
      </c>
    </row>
    <row r="138">
      <c r="A138" s="2">
        <f>IFERROR(__xludf.DUMMYFUNCTION("""COMPUTED_VALUE"""),31607.666666666668)</f>
        <v>31607.66667</v>
      </c>
      <c r="B138" s="1">
        <f>IFERROR(__xludf.DUMMYFUNCTION("""COMPUTED_VALUE"""),242.22)</f>
        <v>242.22</v>
      </c>
      <c r="C138" s="1">
        <f>IFERROR(__xludf.DUMMYFUNCTION("""COMPUTED_VALUE"""),242.22)</f>
        <v>242.22</v>
      </c>
      <c r="D138" s="1">
        <f>IFERROR(__xludf.DUMMYFUNCTION("""COMPUTED_VALUE"""),238.04)</f>
        <v>238.04</v>
      </c>
      <c r="E138" s="1">
        <f>IFERROR(__xludf.DUMMYFUNCTION("""COMPUTED_VALUE"""),238.11)</f>
        <v>238.11</v>
      </c>
      <c r="F138" s="1">
        <f>IFERROR(__xludf.DUMMYFUNCTION("""COMPUTED_VALUE"""),1.925E7)</f>
        <v>19250000</v>
      </c>
    </row>
    <row r="139">
      <c r="A139" s="2">
        <f>IFERROR(__xludf.DUMMYFUNCTION("""COMPUTED_VALUE"""),31608.666666666668)</f>
        <v>31608.66667</v>
      </c>
      <c r="B139" s="1">
        <f>IFERROR(__xludf.DUMMYFUNCTION("""COMPUTED_VALUE"""),238.09)</f>
        <v>238.09</v>
      </c>
      <c r="C139" s="1">
        <f>IFERROR(__xludf.DUMMYFUNCTION("""COMPUTED_VALUE"""),238.12)</f>
        <v>238.12</v>
      </c>
      <c r="D139" s="1">
        <f>IFERROR(__xludf.DUMMYFUNCTION("""COMPUTED_VALUE"""),233.6)</f>
        <v>233.6</v>
      </c>
      <c r="E139" s="1">
        <f>IFERROR(__xludf.DUMMYFUNCTION("""COMPUTED_VALUE"""),233.66)</f>
        <v>233.66</v>
      </c>
      <c r="F139" s="1">
        <f>IFERROR(__xludf.DUMMYFUNCTION("""COMPUTED_VALUE"""),2.875E7)</f>
        <v>28750000</v>
      </c>
    </row>
    <row r="140">
      <c r="A140" s="2">
        <f>IFERROR(__xludf.DUMMYFUNCTION("""COMPUTED_VALUE"""),31609.666666666668)</f>
        <v>31609.66667</v>
      </c>
      <c r="B140" s="1">
        <f>IFERROR(__xludf.DUMMYFUNCTION("""COMPUTED_VALUE"""),233.66)</f>
        <v>233.66</v>
      </c>
      <c r="C140" s="1">
        <f>IFERROR(__xludf.DUMMYFUNCTION("""COMPUTED_VALUE"""),236.19)</f>
        <v>236.19</v>
      </c>
      <c r="D140" s="1">
        <f>IFERROR(__xludf.DUMMYFUNCTION("""COMPUTED_VALUE"""),233.66)</f>
        <v>233.66</v>
      </c>
      <c r="E140" s="1">
        <f>IFERROR(__xludf.DUMMYFUNCTION("""COMPUTED_VALUE"""),235.01)</f>
        <v>235.01</v>
      </c>
      <c r="F140" s="1">
        <f>IFERROR(__xludf.DUMMYFUNCTION("""COMPUTED_VALUE"""),2.5125E7)</f>
        <v>25125000</v>
      </c>
    </row>
    <row r="141">
      <c r="A141" s="2">
        <f>IFERROR(__xludf.DUMMYFUNCTION("""COMPUTED_VALUE"""),31610.666666666668)</f>
        <v>31610.66667</v>
      </c>
      <c r="B141" s="1">
        <f>IFERROR(__xludf.DUMMYFUNCTION("""COMPUTED_VALUE"""),235.01)</f>
        <v>235.01</v>
      </c>
      <c r="C141" s="1">
        <f>IFERROR(__xludf.DUMMYFUNCTION("""COMPUTED_VALUE"""),236.65)</f>
        <v>236.65</v>
      </c>
      <c r="D141" s="1">
        <f>IFERROR(__xludf.DUMMYFUNCTION("""COMPUTED_VALUE"""),235.01)</f>
        <v>235.01</v>
      </c>
      <c r="E141" s="1">
        <f>IFERROR(__xludf.DUMMYFUNCTION("""COMPUTED_VALUE"""),236.07)</f>
        <v>236.07</v>
      </c>
      <c r="F141" s="1">
        <f>IFERROR(__xludf.DUMMYFUNCTION("""COMPUTED_VALUE"""),2.06875E7)</f>
        <v>20687500</v>
      </c>
    </row>
    <row r="142">
      <c r="A142" s="2">
        <f>IFERROR(__xludf.DUMMYFUNCTION("""COMPUTED_VALUE"""),31611.666666666668)</f>
        <v>31611.66667</v>
      </c>
      <c r="B142" s="1">
        <f>IFERROR(__xludf.DUMMYFUNCTION("""COMPUTED_VALUE"""),236.07)</f>
        <v>236.07</v>
      </c>
      <c r="C142" s="1">
        <f>IFERROR(__xludf.DUMMYFUNCTION("""COMPUTED_VALUE"""),238.22)</f>
        <v>238.22</v>
      </c>
      <c r="D142" s="1">
        <f>IFERROR(__xludf.DUMMYFUNCTION("""COMPUTED_VALUE"""),233.94)</f>
        <v>233.94</v>
      </c>
      <c r="E142" s="1">
        <f>IFERROR(__xludf.DUMMYFUNCTION("""COMPUTED_VALUE"""),236.36)</f>
        <v>236.36</v>
      </c>
      <c r="F142" s="1">
        <f>IFERROR(__xludf.DUMMYFUNCTION("""COMPUTED_VALUE"""),2.3390624E7)</f>
        <v>23390624</v>
      </c>
    </row>
    <row r="143">
      <c r="A143" s="2">
        <f>IFERROR(__xludf.DUMMYFUNCTION("""COMPUTED_VALUE"""),31614.666666666668)</f>
        <v>31614.66667</v>
      </c>
      <c r="B143" s="1">
        <f>IFERROR(__xludf.DUMMYFUNCTION("""COMPUTED_VALUE"""),236.36)</f>
        <v>236.36</v>
      </c>
      <c r="C143" s="1">
        <f>IFERROR(__xludf.DUMMYFUNCTION("""COMPUTED_VALUE"""),236.45)</f>
        <v>236.45</v>
      </c>
      <c r="D143" s="1">
        <f>IFERROR(__xludf.DUMMYFUNCTION("""COMPUTED_VALUE"""),235.53)</f>
        <v>235.53</v>
      </c>
      <c r="E143" s="1">
        <f>IFERROR(__xludf.DUMMYFUNCTION("""COMPUTED_VALUE"""),236.24)</f>
        <v>236.24</v>
      </c>
      <c r="F143" s="1">
        <f>IFERROR(__xludf.DUMMYFUNCTION("""COMPUTED_VALUE"""),1.6609375E7)</f>
        <v>16609375</v>
      </c>
    </row>
    <row r="144">
      <c r="A144" s="2">
        <f>IFERROR(__xludf.DUMMYFUNCTION("""COMPUTED_VALUE"""),31615.666666666668)</f>
        <v>31615.66667</v>
      </c>
      <c r="B144" s="1">
        <f>IFERROR(__xludf.DUMMYFUNCTION("""COMPUTED_VALUE"""),236.24)</f>
        <v>236.24</v>
      </c>
      <c r="C144" s="1">
        <f>IFERROR(__xludf.DUMMYFUNCTION("""COMPUTED_VALUE"""),238.42)</f>
        <v>238.42</v>
      </c>
      <c r="D144" s="1">
        <f>IFERROR(__xludf.DUMMYFUNCTION("""COMPUTED_VALUE"""),235.92)</f>
        <v>235.92</v>
      </c>
      <c r="E144" s="1">
        <f>IFERROR(__xludf.DUMMYFUNCTION("""COMPUTED_VALUE"""),238.18)</f>
        <v>238.18</v>
      </c>
      <c r="F144" s="1">
        <f>IFERROR(__xludf.DUMMYFUNCTION("""COMPUTED_VALUE"""),2.1640624E7)</f>
        <v>21640624</v>
      </c>
    </row>
    <row r="145">
      <c r="A145" s="2">
        <f>IFERROR(__xludf.DUMMYFUNCTION("""COMPUTED_VALUE"""),31616.666666666668)</f>
        <v>31616.66667</v>
      </c>
      <c r="B145" s="1">
        <f>IFERROR(__xludf.DUMMYFUNCTION("""COMPUTED_VALUE"""),238.19)</f>
        <v>238.19</v>
      </c>
      <c r="C145" s="1">
        <f>IFERROR(__xludf.DUMMYFUNCTION("""COMPUTED_VALUE"""),239.25)</f>
        <v>239.25</v>
      </c>
      <c r="D145" s="1">
        <f>IFERROR(__xludf.DUMMYFUNCTION("""COMPUTED_VALUE"""),238.17)</f>
        <v>238.17</v>
      </c>
      <c r="E145" s="1">
        <f>IFERROR(__xludf.DUMMYFUNCTION("""COMPUTED_VALUE"""),238.67)</f>
        <v>238.67</v>
      </c>
      <c r="F145" s="1">
        <f>IFERROR(__xludf.DUMMYFUNCTION("""COMPUTED_VALUE"""),2.0828124E7)</f>
        <v>20828124</v>
      </c>
    </row>
    <row r="146">
      <c r="A146" s="2">
        <f>IFERROR(__xludf.DUMMYFUNCTION("""COMPUTED_VALUE"""),31617.666666666668)</f>
        <v>31617.66667</v>
      </c>
      <c r="B146" s="1">
        <f>IFERROR(__xludf.DUMMYFUNCTION("""COMPUTED_VALUE"""),238.69)</f>
        <v>238.69</v>
      </c>
      <c r="C146" s="1">
        <f>IFERROR(__xludf.DUMMYFUNCTION("""COMPUTED_VALUE"""),239.05)</f>
        <v>239.05</v>
      </c>
      <c r="D146" s="1">
        <f>IFERROR(__xludf.DUMMYFUNCTION("""COMPUTED_VALUE"""),237.32)</f>
        <v>237.32</v>
      </c>
      <c r="E146" s="1">
        <f>IFERROR(__xludf.DUMMYFUNCTION("""COMPUTED_VALUE"""),237.95)</f>
        <v>237.95</v>
      </c>
      <c r="F146" s="1">
        <f>IFERROR(__xludf.DUMMYFUNCTION("""COMPUTED_VALUE"""),2.1046876E7)</f>
        <v>21046876</v>
      </c>
    </row>
    <row r="147">
      <c r="A147" s="2">
        <f>IFERROR(__xludf.DUMMYFUNCTION("""COMPUTED_VALUE"""),31618.666666666668)</f>
        <v>31618.66667</v>
      </c>
      <c r="B147" s="1">
        <f>IFERROR(__xludf.DUMMYFUNCTION("""COMPUTED_VALUE"""),237.99)</f>
        <v>237.99</v>
      </c>
      <c r="C147" s="1">
        <f>IFERROR(__xludf.DUMMYFUNCTION("""COMPUTED_VALUE"""),240.36)</f>
        <v>240.36</v>
      </c>
      <c r="D147" s="1">
        <f>IFERROR(__xludf.DUMMYFUNCTION("""COMPUTED_VALUE"""),237.95)</f>
        <v>237.95</v>
      </c>
      <c r="E147" s="1">
        <f>IFERROR(__xludf.DUMMYFUNCTION("""COMPUTED_VALUE"""),240.22)</f>
        <v>240.22</v>
      </c>
      <c r="F147" s="1">
        <f>IFERROR(__xludf.DUMMYFUNCTION("""COMPUTED_VALUE"""),2.0625E7)</f>
        <v>20625000</v>
      </c>
    </row>
    <row r="148">
      <c r="A148" s="2">
        <f>IFERROR(__xludf.DUMMYFUNCTION("""COMPUTED_VALUE"""),31621.666666666668)</f>
        <v>31621.66667</v>
      </c>
      <c r="B148" s="1">
        <f>IFERROR(__xludf.DUMMYFUNCTION("""COMPUTED_VALUE"""),240.2)</f>
        <v>240.2</v>
      </c>
      <c r="C148" s="1">
        <f>IFERROR(__xludf.DUMMYFUNCTION("""COMPUTED_VALUE"""),240.25)</f>
        <v>240.25</v>
      </c>
      <c r="D148" s="1">
        <f>IFERROR(__xludf.DUMMYFUNCTION("""COMPUTED_VALUE"""),235.23)</f>
        <v>235.23</v>
      </c>
      <c r="E148" s="1">
        <f>IFERROR(__xludf.DUMMYFUNCTION("""COMPUTED_VALUE"""),236.01)</f>
        <v>236.01</v>
      </c>
      <c r="F148" s="1">
        <f>IFERROR(__xludf.DUMMYFUNCTION("""COMPUTED_VALUE"""),2.0E7)</f>
        <v>20000000</v>
      </c>
    </row>
    <row r="149">
      <c r="A149" s="2">
        <f>IFERROR(__xludf.DUMMYFUNCTION("""COMPUTED_VALUE"""),31622.666666666668)</f>
        <v>31622.66667</v>
      </c>
      <c r="B149" s="1">
        <f>IFERROR(__xludf.DUMMYFUNCTION("""COMPUTED_VALUE"""),235.72)</f>
        <v>235.72</v>
      </c>
      <c r="C149" s="1">
        <f>IFERROR(__xludf.DUMMYFUNCTION("""COMPUTED_VALUE"""),236.01)</f>
        <v>236.01</v>
      </c>
      <c r="D149" s="1">
        <f>IFERROR(__xludf.DUMMYFUNCTION("""COMPUTED_VALUE"""),234.4)</f>
        <v>234.4</v>
      </c>
      <c r="E149" s="1">
        <f>IFERROR(__xludf.DUMMYFUNCTION("""COMPUTED_VALUE"""),234.55)</f>
        <v>234.55</v>
      </c>
      <c r="F149" s="1">
        <f>IFERROR(__xludf.DUMMYFUNCTION("""COMPUTED_VALUE"""),1.8078124E7)</f>
        <v>18078124</v>
      </c>
    </row>
    <row r="150">
      <c r="A150" s="2">
        <f>IFERROR(__xludf.DUMMYFUNCTION("""COMPUTED_VALUE"""),31623.666666666668)</f>
        <v>31623.66667</v>
      </c>
      <c r="B150" s="1">
        <f>IFERROR(__xludf.DUMMYFUNCTION("""COMPUTED_VALUE"""),234.57)</f>
        <v>234.57</v>
      </c>
      <c r="C150" s="1">
        <f>IFERROR(__xludf.DUMMYFUNCTION("""COMPUTED_VALUE"""),237.38)</f>
        <v>237.38</v>
      </c>
      <c r="D150" s="1">
        <f>IFERROR(__xludf.DUMMYFUNCTION("""COMPUTED_VALUE"""),233.07)</f>
        <v>233.07</v>
      </c>
      <c r="E150" s="1">
        <f>IFERROR(__xludf.DUMMYFUNCTION("""COMPUTED_VALUE"""),236.59)</f>
        <v>236.59</v>
      </c>
      <c r="F150" s="1">
        <f>IFERROR(__xludf.DUMMYFUNCTION("""COMPUTED_VALUE"""),2.2921876E7)</f>
        <v>22921876</v>
      </c>
    </row>
    <row r="151">
      <c r="A151" s="2">
        <f>IFERROR(__xludf.DUMMYFUNCTION("""COMPUTED_VALUE"""),31624.666666666668)</f>
        <v>31624.66667</v>
      </c>
      <c r="B151" s="1">
        <f>IFERROR(__xludf.DUMMYFUNCTION("""COMPUTED_VALUE"""),236.59)</f>
        <v>236.59</v>
      </c>
      <c r="C151" s="1">
        <f>IFERROR(__xludf.DUMMYFUNCTION("""COMPUTED_VALUE"""),236.92)</f>
        <v>236.92</v>
      </c>
      <c r="D151" s="1">
        <f>IFERROR(__xludf.DUMMYFUNCTION("""COMPUTED_VALUE"""),235.89)</f>
        <v>235.89</v>
      </c>
      <c r="E151" s="1">
        <f>IFERROR(__xludf.DUMMYFUNCTION("""COMPUTED_VALUE"""),236.12)</f>
        <v>236.12</v>
      </c>
      <c r="F151" s="1">
        <f>IFERROR(__xludf.DUMMYFUNCTION("""COMPUTED_VALUE"""),1.7609376E7)</f>
        <v>17609376</v>
      </c>
    </row>
    <row r="152">
      <c r="A152" s="2">
        <f>IFERROR(__xludf.DUMMYFUNCTION("""COMPUTED_VALUE"""),31625.666666666668)</f>
        <v>31625.66667</v>
      </c>
      <c r="B152" s="1">
        <f>IFERROR(__xludf.DUMMYFUNCTION("""COMPUTED_VALUE"""),236.12)</f>
        <v>236.12</v>
      </c>
      <c r="C152" s="1">
        <f>IFERROR(__xludf.DUMMYFUNCTION("""COMPUTED_VALUE"""),236.89)</f>
        <v>236.89</v>
      </c>
      <c r="D152" s="1">
        <f>IFERROR(__xludf.DUMMYFUNCTION("""COMPUTED_VALUE"""),234.59)</f>
        <v>234.59</v>
      </c>
      <c r="E152" s="1">
        <f>IFERROR(__xludf.DUMMYFUNCTION("""COMPUTED_VALUE"""),234.91)</f>
        <v>234.91</v>
      </c>
      <c r="F152" s="1">
        <f>IFERROR(__xludf.DUMMYFUNCTION("""COMPUTED_VALUE"""),1.7953124E7)</f>
        <v>17953124</v>
      </c>
    </row>
    <row r="153">
      <c r="A153" s="2">
        <f>IFERROR(__xludf.DUMMYFUNCTION("""COMPUTED_VALUE"""),31628.666666666668)</f>
        <v>31628.66667</v>
      </c>
      <c r="B153" s="1">
        <f>IFERROR(__xludf.DUMMYFUNCTION("""COMPUTED_VALUE"""),234.91)</f>
        <v>234.91</v>
      </c>
      <c r="C153" s="1">
        <f>IFERROR(__xludf.DUMMYFUNCTION("""COMPUTED_VALUE"""),236.86)</f>
        <v>236.86</v>
      </c>
      <c r="D153" s="1">
        <f>IFERROR(__xludf.DUMMYFUNCTION("""COMPUTED_VALUE"""),231.92)</f>
        <v>231.92</v>
      </c>
      <c r="E153" s="1">
        <f>IFERROR(__xludf.DUMMYFUNCTION("""COMPUTED_VALUE"""),235.99)</f>
        <v>235.99</v>
      </c>
      <c r="F153" s="1">
        <f>IFERROR(__xludf.DUMMYFUNCTION("""COMPUTED_VALUE"""),2.03125E7)</f>
        <v>20312500</v>
      </c>
    </row>
    <row r="154">
      <c r="A154" s="2">
        <f>IFERROR(__xludf.DUMMYFUNCTION("""COMPUTED_VALUE"""),31629.666666666668)</f>
        <v>31629.66667</v>
      </c>
      <c r="B154" s="1">
        <f>IFERROR(__xludf.DUMMYFUNCTION("""COMPUTED_VALUE"""),235.99)</f>
        <v>235.99</v>
      </c>
      <c r="C154" s="1">
        <f>IFERROR(__xludf.DUMMYFUNCTION("""COMPUTED_VALUE"""),238.31)</f>
        <v>238.31</v>
      </c>
      <c r="D154" s="1">
        <f>IFERROR(__xludf.DUMMYFUNCTION("""COMPUTED_VALUE"""),235.97)</f>
        <v>235.97</v>
      </c>
      <c r="E154" s="1">
        <f>IFERROR(__xludf.DUMMYFUNCTION("""COMPUTED_VALUE"""),237.03)</f>
        <v>237.03</v>
      </c>
      <c r="F154" s="1">
        <f>IFERROR(__xludf.DUMMYFUNCTION("""COMPUTED_VALUE"""),2.3921876E7)</f>
        <v>23921876</v>
      </c>
    </row>
    <row r="155">
      <c r="A155" s="2">
        <f>IFERROR(__xludf.DUMMYFUNCTION("""COMPUTED_VALUE"""),31630.666666666668)</f>
        <v>31630.66667</v>
      </c>
      <c r="B155" s="1">
        <f>IFERROR(__xludf.DUMMYFUNCTION("""COMPUTED_VALUE"""),237.03)</f>
        <v>237.03</v>
      </c>
      <c r="C155" s="1">
        <f>IFERROR(__xludf.DUMMYFUNCTION("""COMPUTED_VALUE"""),237.35)</f>
        <v>237.35</v>
      </c>
      <c r="D155" s="1">
        <f>IFERROR(__xludf.DUMMYFUNCTION("""COMPUTED_VALUE"""),235.48)</f>
        <v>235.48</v>
      </c>
      <c r="E155" s="1">
        <f>IFERROR(__xludf.DUMMYFUNCTION("""COMPUTED_VALUE"""),236.84)</f>
        <v>236.84</v>
      </c>
      <c r="F155" s="1">
        <f>IFERROR(__xludf.DUMMYFUNCTION("""COMPUTED_VALUE"""),1.9921876E7)</f>
        <v>19921876</v>
      </c>
    </row>
    <row r="156">
      <c r="A156" s="2">
        <f>IFERROR(__xludf.DUMMYFUNCTION("""COMPUTED_VALUE"""),31631.666666666668)</f>
        <v>31631.66667</v>
      </c>
      <c r="B156" s="1">
        <f>IFERROR(__xludf.DUMMYFUNCTION("""COMPUTED_VALUE"""),236.84)</f>
        <v>236.84</v>
      </c>
      <c r="C156" s="1">
        <f>IFERROR(__xludf.DUMMYFUNCTION("""COMPUTED_VALUE"""),238.02)</f>
        <v>238.02</v>
      </c>
      <c r="D156" s="1">
        <f>IFERROR(__xludf.DUMMYFUNCTION("""COMPUTED_VALUE"""),236.31)</f>
        <v>236.31</v>
      </c>
      <c r="E156" s="1">
        <f>IFERROR(__xludf.DUMMYFUNCTION("""COMPUTED_VALUE"""),237.04)</f>
        <v>237.04</v>
      </c>
      <c r="F156" s="1">
        <f>IFERROR(__xludf.DUMMYFUNCTION("""COMPUTED_VALUE"""),1.9125E7)</f>
        <v>19125000</v>
      </c>
    </row>
    <row r="157">
      <c r="A157" s="2">
        <f>IFERROR(__xludf.DUMMYFUNCTION("""COMPUTED_VALUE"""),31632.666666666668)</f>
        <v>31632.66667</v>
      </c>
      <c r="B157" s="1">
        <f>IFERROR(__xludf.DUMMYFUNCTION("""COMPUTED_VALUE"""),237.04)</f>
        <v>237.04</v>
      </c>
      <c r="C157" s="1">
        <f>IFERROR(__xludf.DUMMYFUNCTION("""COMPUTED_VALUE"""),238.06)</f>
        <v>238.06</v>
      </c>
      <c r="D157" s="1">
        <f>IFERROR(__xludf.DUMMYFUNCTION("""COMPUTED_VALUE"""),236.37)</f>
        <v>236.37</v>
      </c>
      <c r="E157" s="1">
        <f>IFERROR(__xludf.DUMMYFUNCTION("""COMPUTED_VALUE"""),236.88)</f>
        <v>236.88</v>
      </c>
      <c r="F157" s="1">
        <f>IFERROR(__xludf.DUMMYFUNCTION("""COMPUTED_VALUE"""),1.6609375E7)</f>
        <v>16609375</v>
      </c>
    </row>
    <row r="158">
      <c r="A158" s="2">
        <f>IFERROR(__xludf.DUMMYFUNCTION("""COMPUTED_VALUE"""),31635.666666666668)</f>
        <v>31635.66667</v>
      </c>
      <c r="B158" s="1">
        <f>IFERROR(__xludf.DUMMYFUNCTION("""COMPUTED_VALUE"""),236.88)</f>
        <v>236.88</v>
      </c>
      <c r="C158" s="1">
        <f>IFERROR(__xludf.DUMMYFUNCTION("""COMPUTED_VALUE"""),241.2)</f>
        <v>241.2</v>
      </c>
      <c r="D158" s="1">
        <f>IFERROR(__xludf.DUMMYFUNCTION("""COMPUTED_VALUE"""),236.87)</f>
        <v>236.87</v>
      </c>
      <c r="E158" s="1">
        <f>IFERROR(__xludf.DUMMYFUNCTION("""COMPUTED_VALUE"""),240.68)</f>
        <v>240.68</v>
      </c>
      <c r="F158" s="1">
        <f>IFERROR(__xludf.DUMMYFUNCTION("""COMPUTED_VALUE"""),1.9625E7)</f>
        <v>19625000</v>
      </c>
    </row>
    <row r="159">
      <c r="A159" s="2">
        <f>IFERROR(__xludf.DUMMYFUNCTION("""COMPUTED_VALUE"""),31636.666666666668)</f>
        <v>31636.66667</v>
      </c>
      <c r="B159" s="1">
        <f>IFERROR(__xludf.DUMMYFUNCTION("""COMPUTED_VALUE"""),240.68)</f>
        <v>240.68</v>
      </c>
      <c r="C159" s="1">
        <f>IFERROR(__xludf.DUMMYFUNCTION("""COMPUTED_VALUE"""),243.37)</f>
        <v>243.37</v>
      </c>
      <c r="D159" s="1">
        <f>IFERROR(__xludf.DUMMYFUNCTION("""COMPUTED_VALUE"""),240.35)</f>
        <v>240.35</v>
      </c>
      <c r="E159" s="1">
        <f>IFERROR(__xludf.DUMMYFUNCTION("""COMPUTED_VALUE"""),243.34)</f>
        <v>243.34</v>
      </c>
      <c r="F159" s="1">
        <f>IFERROR(__xludf.DUMMYFUNCTION("""COMPUTED_VALUE"""),2.0578124E7)</f>
        <v>20578124</v>
      </c>
    </row>
    <row r="160">
      <c r="A160" s="2">
        <f>IFERROR(__xludf.DUMMYFUNCTION("""COMPUTED_VALUE"""),31637.666666666668)</f>
        <v>31637.66667</v>
      </c>
      <c r="B160" s="1">
        <f>IFERROR(__xludf.DUMMYFUNCTION("""COMPUTED_VALUE"""),243.34)</f>
        <v>243.34</v>
      </c>
      <c r="C160" s="1">
        <f>IFERROR(__xludf.DUMMYFUNCTION("""COMPUTED_VALUE"""),246.51)</f>
        <v>246.51</v>
      </c>
      <c r="D160" s="1">
        <f>IFERROR(__xludf.DUMMYFUNCTION("""COMPUTED_VALUE"""),243.06)</f>
        <v>243.06</v>
      </c>
      <c r="E160" s="1">
        <f>IFERROR(__xludf.DUMMYFUNCTION("""COMPUTED_VALUE"""),245.67)</f>
        <v>245.67</v>
      </c>
      <c r="F160" s="1">
        <f>IFERROR(__xludf.DUMMYFUNCTION("""COMPUTED_VALUE"""),2.44375E7)</f>
        <v>24437500</v>
      </c>
    </row>
    <row r="161">
      <c r="A161" s="2">
        <f>IFERROR(__xludf.DUMMYFUNCTION("""COMPUTED_VALUE"""),31638.666666666668)</f>
        <v>31638.66667</v>
      </c>
      <c r="B161" s="1">
        <f>IFERROR(__xludf.DUMMYFUNCTION("""COMPUTED_VALUE"""),245.67)</f>
        <v>245.67</v>
      </c>
      <c r="C161" s="1">
        <f>IFERROR(__xludf.DUMMYFUNCTION("""COMPUTED_VALUE"""),246.79)</f>
        <v>246.79</v>
      </c>
      <c r="D161" s="1">
        <f>IFERROR(__xludf.DUMMYFUNCTION("""COMPUTED_VALUE"""),245.53)</f>
        <v>245.53</v>
      </c>
      <c r="E161" s="1">
        <f>IFERROR(__xludf.DUMMYFUNCTION("""COMPUTED_VALUE"""),246.25)</f>
        <v>246.25</v>
      </c>
      <c r="F161" s="1">
        <f>IFERROR(__xludf.DUMMYFUNCTION("""COMPUTED_VALUE"""),1.934375E7)</f>
        <v>19343750</v>
      </c>
    </row>
    <row r="162">
      <c r="A162" s="2">
        <f>IFERROR(__xludf.DUMMYFUNCTION("""COMPUTED_VALUE"""),31639.666666666668)</f>
        <v>31639.66667</v>
      </c>
      <c r="B162" s="1">
        <f>IFERROR(__xludf.DUMMYFUNCTION("""COMPUTED_VALUE"""),246.25)</f>
        <v>246.25</v>
      </c>
      <c r="C162" s="1">
        <f>IFERROR(__xludf.DUMMYFUNCTION("""COMPUTED_VALUE"""),247.15)</f>
        <v>247.15</v>
      </c>
      <c r="D162" s="1">
        <f>IFERROR(__xludf.DUMMYFUNCTION("""COMPUTED_VALUE"""),245.7)</f>
        <v>245.7</v>
      </c>
      <c r="E162" s="1">
        <f>IFERROR(__xludf.DUMMYFUNCTION("""COMPUTED_VALUE"""),247.15)</f>
        <v>247.15</v>
      </c>
      <c r="F162" s="1">
        <f>IFERROR(__xludf.DUMMYFUNCTION("""COMPUTED_VALUE"""),1.9296876E7)</f>
        <v>19296876</v>
      </c>
    </row>
    <row r="163">
      <c r="A163" s="2">
        <f>IFERROR(__xludf.DUMMYFUNCTION("""COMPUTED_VALUE"""),31642.666666666668)</f>
        <v>31642.66667</v>
      </c>
      <c r="B163" s="1">
        <f>IFERROR(__xludf.DUMMYFUNCTION("""COMPUTED_VALUE"""),247.15)</f>
        <v>247.15</v>
      </c>
      <c r="C163" s="1">
        <f>IFERROR(__xludf.DUMMYFUNCTION("""COMPUTED_VALUE"""),247.83)</f>
        <v>247.83</v>
      </c>
      <c r="D163" s="1">
        <f>IFERROR(__xludf.DUMMYFUNCTION("""COMPUTED_VALUE"""),245.48)</f>
        <v>245.48</v>
      </c>
      <c r="E163" s="1">
        <f>IFERROR(__xludf.DUMMYFUNCTION("""COMPUTED_VALUE"""),247.38)</f>
        <v>247.38</v>
      </c>
      <c r="F163" s="1">
        <f>IFERROR(__xludf.DUMMYFUNCTION("""COMPUTED_VALUE"""),1.7625E7)</f>
        <v>17625000</v>
      </c>
    </row>
    <row r="164">
      <c r="A164" s="2">
        <f>IFERROR(__xludf.DUMMYFUNCTION("""COMPUTED_VALUE"""),31643.666666666668)</f>
        <v>31643.66667</v>
      </c>
      <c r="B164" s="1">
        <f>IFERROR(__xludf.DUMMYFUNCTION("""COMPUTED_VALUE"""),247.38)</f>
        <v>247.38</v>
      </c>
      <c r="C164" s="1">
        <f>IFERROR(__xludf.DUMMYFUNCTION("""COMPUTED_VALUE"""),247.42)</f>
        <v>247.42</v>
      </c>
      <c r="D164" s="1">
        <f>IFERROR(__xludf.DUMMYFUNCTION("""COMPUTED_VALUE"""),245.82)</f>
        <v>245.82</v>
      </c>
      <c r="E164" s="1">
        <f>IFERROR(__xludf.DUMMYFUNCTION("""COMPUTED_VALUE"""),246.51)</f>
        <v>246.51</v>
      </c>
      <c r="F164" s="1">
        <f>IFERROR(__xludf.DUMMYFUNCTION("""COMPUTED_VALUE"""),1.7078124E7)</f>
        <v>17078124</v>
      </c>
    </row>
    <row r="165">
      <c r="A165" s="2">
        <f>IFERROR(__xludf.DUMMYFUNCTION("""COMPUTED_VALUE"""),31644.666666666668)</f>
        <v>31644.66667</v>
      </c>
      <c r="B165" s="1">
        <f>IFERROR(__xludf.DUMMYFUNCTION("""COMPUTED_VALUE"""),246.53)</f>
        <v>246.53</v>
      </c>
      <c r="C165" s="1">
        <f>IFERROR(__xludf.DUMMYFUNCTION("""COMPUTED_VALUE"""),249.77)</f>
        <v>249.77</v>
      </c>
      <c r="D165" s="1">
        <f>IFERROR(__xludf.DUMMYFUNCTION("""COMPUTED_VALUE"""),246.51)</f>
        <v>246.51</v>
      </c>
      <c r="E165" s="1">
        <f>IFERROR(__xludf.DUMMYFUNCTION("""COMPUTED_VALUE"""),249.77)</f>
        <v>249.77</v>
      </c>
      <c r="F165" s="1">
        <f>IFERROR(__xludf.DUMMYFUNCTION("""COMPUTED_VALUE"""),2.446875E7)</f>
        <v>24468750</v>
      </c>
    </row>
    <row r="166">
      <c r="A166" s="2">
        <f>IFERROR(__xludf.DUMMYFUNCTION("""COMPUTED_VALUE"""),31645.666666666668)</f>
        <v>31645.66667</v>
      </c>
      <c r="B166" s="1">
        <f>IFERROR(__xludf.DUMMYFUNCTION("""COMPUTED_VALUE"""),249.77)</f>
        <v>249.77</v>
      </c>
      <c r="C166" s="1">
        <f>IFERROR(__xludf.DUMMYFUNCTION("""COMPUTED_VALUE"""),250.45)</f>
        <v>250.45</v>
      </c>
      <c r="D166" s="1">
        <f>IFERROR(__xludf.DUMMYFUNCTION("""COMPUTED_VALUE"""),249.11)</f>
        <v>249.11</v>
      </c>
      <c r="E166" s="1">
        <f>IFERROR(__xludf.DUMMYFUNCTION("""COMPUTED_VALUE"""),249.67)</f>
        <v>249.67</v>
      </c>
      <c r="F166" s="1">
        <f>IFERROR(__xludf.DUMMYFUNCTION("""COMPUTED_VALUE"""),2.1125E7)</f>
        <v>21125000</v>
      </c>
    </row>
    <row r="167">
      <c r="A167" s="2">
        <f>IFERROR(__xludf.DUMMYFUNCTION("""COMPUTED_VALUE"""),31646.666666666668)</f>
        <v>31646.66667</v>
      </c>
      <c r="B167" s="1">
        <f>IFERROR(__xludf.DUMMYFUNCTION("""COMPUTED_VALUE"""),249.67)</f>
        <v>249.67</v>
      </c>
      <c r="C167" s="1">
        <f>IFERROR(__xludf.DUMMYFUNCTION("""COMPUTED_VALUE"""),250.61)</f>
        <v>250.61</v>
      </c>
      <c r="D167" s="1">
        <f>IFERROR(__xludf.DUMMYFUNCTION("""COMPUTED_VALUE"""),249.27)</f>
        <v>249.27</v>
      </c>
      <c r="E167" s="1">
        <f>IFERROR(__xludf.DUMMYFUNCTION("""COMPUTED_VALUE"""),250.19)</f>
        <v>250.19</v>
      </c>
      <c r="F167" s="1">
        <f>IFERROR(__xludf.DUMMYFUNCTION("""COMPUTED_VALUE"""),1.8453124E7)</f>
        <v>18453124</v>
      </c>
    </row>
    <row r="168">
      <c r="A168" s="2">
        <f>IFERROR(__xludf.DUMMYFUNCTION("""COMPUTED_VALUE"""),31649.666666666668)</f>
        <v>31649.66667</v>
      </c>
      <c r="B168" s="1">
        <f>IFERROR(__xludf.DUMMYFUNCTION("""COMPUTED_VALUE"""),250.19)</f>
        <v>250.19</v>
      </c>
      <c r="C168" s="1">
        <f>IFERROR(__xludf.DUMMYFUNCTION("""COMPUTED_VALUE"""),250.26)</f>
        <v>250.26</v>
      </c>
      <c r="D168" s="1">
        <f>IFERROR(__xludf.DUMMYFUNCTION("""COMPUTED_VALUE"""),247.76)</f>
        <v>247.76</v>
      </c>
      <c r="E168" s="1">
        <f>IFERROR(__xludf.DUMMYFUNCTION("""COMPUTED_VALUE"""),247.81)</f>
        <v>247.81</v>
      </c>
      <c r="F168" s="1">
        <f>IFERROR(__xludf.DUMMYFUNCTION("""COMPUTED_VALUE"""),1.63125E7)</f>
        <v>16312500</v>
      </c>
    </row>
    <row r="169">
      <c r="A169" s="2">
        <f>IFERROR(__xludf.DUMMYFUNCTION("""COMPUTED_VALUE"""),31650.666666666668)</f>
        <v>31650.66667</v>
      </c>
      <c r="B169" s="1">
        <f>IFERROR(__xludf.DUMMYFUNCTION("""COMPUTED_VALUE"""),247.81)</f>
        <v>247.81</v>
      </c>
      <c r="C169" s="1">
        <f>IFERROR(__xludf.DUMMYFUNCTION("""COMPUTED_VALUE"""),252.91)</f>
        <v>252.91</v>
      </c>
      <c r="D169" s="1">
        <f>IFERROR(__xludf.DUMMYFUNCTION("""COMPUTED_VALUE"""),247.81)</f>
        <v>247.81</v>
      </c>
      <c r="E169" s="1">
        <f>IFERROR(__xludf.DUMMYFUNCTION("""COMPUTED_VALUE"""),252.84)</f>
        <v>252.84</v>
      </c>
      <c r="F169" s="1">
        <f>IFERROR(__xludf.DUMMYFUNCTION("""COMPUTED_VALUE"""),2.446875E7)</f>
        <v>24468750</v>
      </c>
    </row>
    <row r="170">
      <c r="A170" s="2">
        <f>IFERROR(__xludf.DUMMYFUNCTION("""COMPUTED_VALUE"""),31651.666666666668)</f>
        <v>31651.66667</v>
      </c>
      <c r="B170" s="1">
        <f>IFERROR(__xludf.DUMMYFUNCTION("""COMPUTED_VALUE"""),252.84)</f>
        <v>252.84</v>
      </c>
      <c r="C170" s="1">
        <f>IFERROR(__xludf.DUMMYFUNCTION("""COMPUTED_VALUE"""),254.24)</f>
        <v>254.24</v>
      </c>
      <c r="D170" s="1">
        <f>IFERROR(__xludf.DUMMYFUNCTION("""COMPUTED_VALUE"""),252.66)</f>
        <v>252.66</v>
      </c>
      <c r="E170" s="1">
        <f>IFERROR(__xludf.DUMMYFUNCTION("""COMPUTED_VALUE"""),253.3)</f>
        <v>253.3</v>
      </c>
      <c r="F170" s="1">
        <f>IFERROR(__xludf.DUMMYFUNCTION("""COMPUTED_VALUE"""),2.2390624E7)</f>
        <v>22390624</v>
      </c>
    </row>
    <row r="171">
      <c r="A171" s="2">
        <f>IFERROR(__xludf.DUMMYFUNCTION("""COMPUTED_VALUE"""),31652.666666666668)</f>
        <v>31652.66667</v>
      </c>
      <c r="B171" s="1">
        <f>IFERROR(__xludf.DUMMYFUNCTION("""COMPUTED_VALUE"""),253.3)</f>
        <v>253.3</v>
      </c>
      <c r="C171" s="1">
        <f>IFERROR(__xludf.DUMMYFUNCTION("""COMPUTED_VALUE"""),253.67)</f>
        <v>253.67</v>
      </c>
      <c r="D171" s="1">
        <f>IFERROR(__xludf.DUMMYFUNCTION("""COMPUTED_VALUE"""),251.91)</f>
        <v>251.91</v>
      </c>
      <c r="E171" s="1">
        <f>IFERROR(__xludf.DUMMYFUNCTION("""COMPUTED_VALUE"""),252.84)</f>
        <v>252.84</v>
      </c>
      <c r="F171" s="1">
        <f>IFERROR(__xludf.DUMMYFUNCTION("""COMPUTED_VALUE"""),1.9546876E7)</f>
        <v>19546876</v>
      </c>
    </row>
    <row r="172">
      <c r="A172" s="2">
        <f>IFERROR(__xludf.DUMMYFUNCTION("""COMPUTED_VALUE"""),31653.666666666668)</f>
        <v>31653.66667</v>
      </c>
      <c r="B172" s="1">
        <f>IFERROR(__xludf.DUMMYFUNCTION("""COMPUTED_VALUE"""),252.84)</f>
        <v>252.84</v>
      </c>
      <c r="C172" s="1">
        <f>IFERROR(__xludf.DUMMYFUNCTION("""COMPUTED_VALUE"""),254.07)</f>
        <v>254.07</v>
      </c>
      <c r="D172" s="1">
        <f>IFERROR(__xludf.DUMMYFUNCTION("""COMPUTED_VALUE"""),251.73)</f>
        <v>251.73</v>
      </c>
      <c r="E172" s="1">
        <f>IFERROR(__xludf.DUMMYFUNCTION("""COMPUTED_VALUE"""),252.93)</f>
        <v>252.93</v>
      </c>
      <c r="F172" s="1">
        <f>IFERROR(__xludf.DUMMYFUNCTION("""COMPUTED_VALUE"""),1.9578124E7)</f>
        <v>19578124</v>
      </c>
    </row>
    <row r="173">
      <c r="A173" s="2">
        <f>IFERROR(__xludf.DUMMYFUNCTION("""COMPUTED_VALUE"""),31657.666666666668)</f>
        <v>31657.66667</v>
      </c>
      <c r="B173" s="1">
        <f>IFERROR(__xludf.DUMMYFUNCTION("""COMPUTED_VALUE"""),252.93)</f>
        <v>252.93</v>
      </c>
      <c r="C173" s="1">
        <f>IFERROR(__xludf.DUMMYFUNCTION("""COMPUTED_VALUE"""),253.3)</f>
        <v>253.3</v>
      </c>
      <c r="D173" s="1">
        <f>IFERROR(__xludf.DUMMYFUNCTION("""COMPUTED_VALUE"""),248.14)</f>
        <v>248.14</v>
      </c>
      <c r="E173" s="1">
        <f>IFERROR(__xludf.DUMMYFUNCTION("""COMPUTED_VALUE"""),248.52)</f>
        <v>248.52</v>
      </c>
      <c r="F173" s="1">
        <f>IFERROR(__xludf.DUMMYFUNCTION("""COMPUTED_VALUE"""),2.1171876E7)</f>
        <v>21171876</v>
      </c>
    </row>
    <row r="174">
      <c r="A174" s="2">
        <f>IFERROR(__xludf.DUMMYFUNCTION("""COMPUTED_VALUE"""),31658.666666666668)</f>
        <v>31658.66667</v>
      </c>
      <c r="B174" s="1">
        <f>IFERROR(__xludf.DUMMYFUNCTION("""COMPUTED_VALUE"""),248.52)</f>
        <v>248.52</v>
      </c>
      <c r="C174" s="1">
        <f>IFERROR(__xludf.DUMMYFUNCTION("""COMPUTED_VALUE"""),250.08)</f>
        <v>250.08</v>
      </c>
      <c r="D174" s="1">
        <f>IFERROR(__xludf.DUMMYFUNCTION("""COMPUTED_VALUE"""),247.59)</f>
        <v>247.59</v>
      </c>
      <c r="E174" s="1">
        <f>IFERROR(__xludf.DUMMYFUNCTION("""COMPUTED_VALUE"""),250.08)</f>
        <v>250.08</v>
      </c>
      <c r="F174" s="1">
        <f>IFERROR(__xludf.DUMMYFUNCTION("""COMPUTED_VALUE"""),2.4109376E7)</f>
        <v>24109376</v>
      </c>
    </row>
    <row r="175">
      <c r="A175" s="2">
        <f>IFERROR(__xludf.DUMMYFUNCTION("""COMPUTED_VALUE"""),31659.666666666668)</f>
        <v>31659.66667</v>
      </c>
      <c r="B175" s="1">
        <f>IFERROR(__xludf.DUMMYFUNCTION("""COMPUTED_VALUE"""),250.08)</f>
        <v>250.08</v>
      </c>
      <c r="C175" s="1">
        <f>IFERROR(__xludf.DUMMYFUNCTION("""COMPUTED_VALUE"""),254.01)</f>
        <v>254.01</v>
      </c>
      <c r="D175" s="1">
        <f>IFERROR(__xludf.DUMMYFUNCTION("""COMPUTED_VALUE"""),250.03)</f>
        <v>250.03</v>
      </c>
      <c r="E175" s="1">
        <f>IFERROR(__xludf.DUMMYFUNCTION("""COMPUTED_VALUE"""),253.83)</f>
        <v>253.83</v>
      </c>
      <c r="F175" s="1">
        <f>IFERROR(__xludf.DUMMYFUNCTION("""COMPUTED_VALUE"""),2.959375E7)</f>
        <v>29593750</v>
      </c>
    </row>
    <row r="176">
      <c r="A176" s="2">
        <f>IFERROR(__xludf.DUMMYFUNCTION("""COMPUTED_VALUE"""),31660.666666666668)</f>
        <v>31660.66667</v>
      </c>
      <c r="B176" s="1">
        <f>IFERROR(__xludf.DUMMYFUNCTION("""COMPUTED_VALUE"""),253.83)</f>
        <v>253.83</v>
      </c>
      <c r="C176" s="1">
        <f>IFERROR(__xludf.DUMMYFUNCTION("""COMPUTED_VALUE"""),254.13)</f>
        <v>254.13</v>
      </c>
      <c r="D176" s="1">
        <f>IFERROR(__xludf.DUMMYFUNCTION("""COMPUTED_VALUE"""),250.33)</f>
        <v>250.33</v>
      </c>
      <c r="E176" s="1">
        <f>IFERROR(__xludf.DUMMYFUNCTION("""COMPUTED_VALUE"""),250.47)</f>
        <v>250.47</v>
      </c>
      <c r="F176" s="1">
        <f>IFERROR(__xludf.DUMMYFUNCTION("""COMPUTED_VALUE"""),2.821875E7)</f>
        <v>28218750</v>
      </c>
    </row>
    <row r="177">
      <c r="A177" s="2">
        <f>IFERROR(__xludf.DUMMYFUNCTION("""COMPUTED_VALUE"""),31663.666666666668)</f>
        <v>31663.66667</v>
      </c>
      <c r="B177" s="1">
        <f>IFERROR(__xludf.DUMMYFUNCTION("""COMPUTED_VALUE"""),250.47)</f>
        <v>250.47</v>
      </c>
      <c r="C177" s="1">
        <f>IFERROR(__xludf.DUMMYFUNCTION("""COMPUTED_VALUE"""),250.47)</f>
        <v>250.47</v>
      </c>
      <c r="D177" s="1">
        <f>IFERROR(__xludf.DUMMYFUNCTION("""COMPUTED_VALUE"""),247.02)</f>
        <v>247.02</v>
      </c>
      <c r="E177" s="1">
        <f>IFERROR(__xludf.DUMMYFUNCTION("""COMPUTED_VALUE"""),248.14)</f>
        <v>248.14</v>
      </c>
      <c r="F177" s="1">
        <f>IFERROR(__xludf.DUMMYFUNCTION("""COMPUTED_VALUE"""),2.3953124E7)</f>
        <v>23953124</v>
      </c>
    </row>
    <row r="178">
      <c r="A178" s="2">
        <f>IFERROR(__xludf.DUMMYFUNCTION("""COMPUTED_VALUE"""),31664.666666666668)</f>
        <v>31664.66667</v>
      </c>
      <c r="B178" s="1">
        <f>IFERROR(__xludf.DUMMYFUNCTION("""COMPUTED_VALUE"""),248.14)</f>
        <v>248.14</v>
      </c>
      <c r="C178" s="1">
        <f>IFERROR(__xludf.DUMMYFUNCTION("""COMPUTED_VALUE"""),250.21)</f>
        <v>250.21</v>
      </c>
      <c r="D178" s="1">
        <f>IFERROR(__xludf.DUMMYFUNCTION("""COMPUTED_VALUE"""),246.94)</f>
        <v>246.94</v>
      </c>
      <c r="E178" s="1">
        <f>IFERROR(__xludf.DUMMYFUNCTION("""COMPUTED_VALUE"""),247.67)</f>
        <v>247.67</v>
      </c>
      <c r="F178" s="1">
        <f>IFERROR(__xludf.DUMMYFUNCTION("""COMPUTED_VALUE"""),2.1484376E7)</f>
        <v>21484376</v>
      </c>
    </row>
    <row r="179">
      <c r="A179" s="2">
        <f>IFERROR(__xludf.DUMMYFUNCTION("""COMPUTED_VALUE"""),31665.666666666668)</f>
        <v>31665.66667</v>
      </c>
      <c r="B179" s="1">
        <f>IFERROR(__xludf.DUMMYFUNCTION("""COMPUTED_VALUE"""),247.67)</f>
        <v>247.67</v>
      </c>
      <c r="C179" s="1">
        <f>IFERROR(__xludf.DUMMYFUNCTION("""COMPUTED_VALUE"""),247.76)</f>
        <v>247.76</v>
      </c>
      <c r="D179" s="1">
        <f>IFERROR(__xludf.DUMMYFUNCTION("""COMPUTED_VALUE"""),246.11)</f>
        <v>246.11</v>
      </c>
      <c r="E179" s="1">
        <f>IFERROR(__xludf.DUMMYFUNCTION("""COMPUTED_VALUE"""),247.06)</f>
        <v>247.06</v>
      </c>
      <c r="F179" s="1">
        <f>IFERROR(__xludf.DUMMYFUNCTION("""COMPUTED_VALUE"""),2.1921876E7)</f>
        <v>21921876</v>
      </c>
    </row>
    <row r="180">
      <c r="A180" s="2">
        <f>IFERROR(__xludf.DUMMYFUNCTION("""COMPUTED_VALUE"""),31666.666666666668)</f>
        <v>31666.66667</v>
      </c>
      <c r="B180" s="1">
        <f>IFERROR(__xludf.DUMMYFUNCTION("""COMPUTED_VALUE"""),247.06)</f>
        <v>247.06</v>
      </c>
      <c r="C180" s="1">
        <f>IFERROR(__xludf.DUMMYFUNCTION("""COMPUTED_VALUE"""),247.06)</f>
        <v>247.06</v>
      </c>
      <c r="D180" s="1">
        <f>IFERROR(__xludf.DUMMYFUNCTION("""COMPUTED_VALUE"""),234.67)</f>
        <v>234.67</v>
      </c>
      <c r="E180" s="1">
        <f>IFERROR(__xludf.DUMMYFUNCTION("""COMPUTED_VALUE"""),235.18)</f>
        <v>235.18</v>
      </c>
      <c r="F180" s="1">
        <f>IFERROR(__xludf.DUMMYFUNCTION("""COMPUTED_VALUE"""),3.7125E7)</f>
        <v>37125000</v>
      </c>
    </row>
    <row r="181">
      <c r="A181" s="2">
        <f>IFERROR(__xludf.DUMMYFUNCTION("""COMPUTED_VALUE"""),31667.666666666668)</f>
        <v>31667.66667</v>
      </c>
      <c r="B181" s="1">
        <f>IFERROR(__xludf.DUMMYFUNCTION("""COMPUTED_VALUE"""),235.18)</f>
        <v>235.18</v>
      </c>
      <c r="C181" s="1">
        <f>IFERROR(__xludf.DUMMYFUNCTION("""COMPUTED_VALUE"""),235.45)</f>
        <v>235.45</v>
      </c>
      <c r="D181" s="1">
        <f>IFERROR(__xludf.DUMMYFUNCTION("""COMPUTED_VALUE"""),228.74)</f>
        <v>228.74</v>
      </c>
      <c r="E181" s="1">
        <f>IFERROR(__xludf.DUMMYFUNCTION("""COMPUTED_VALUE"""),230.67)</f>
        <v>230.67</v>
      </c>
      <c r="F181" s="1">
        <f>IFERROR(__xludf.DUMMYFUNCTION("""COMPUTED_VALUE"""),3.7578124E7)</f>
        <v>37578124</v>
      </c>
    </row>
    <row r="182">
      <c r="A182" s="2">
        <f>IFERROR(__xludf.DUMMYFUNCTION("""COMPUTED_VALUE"""),31670.666666666668)</f>
        <v>31670.66667</v>
      </c>
      <c r="B182" s="1">
        <f>IFERROR(__xludf.DUMMYFUNCTION("""COMPUTED_VALUE"""),230.67)</f>
        <v>230.67</v>
      </c>
      <c r="C182" s="1">
        <f>IFERROR(__xludf.DUMMYFUNCTION("""COMPUTED_VALUE"""),232.82)</f>
        <v>232.82</v>
      </c>
      <c r="D182" s="1">
        <f>IFERROR(__xludf.DUMMYFUNCTION("""COMPUTED_VALUE"""),229.44)</f>
        <v>229.44</v>
      </c>
      <c r="E182" s="1">
        <f>IFERROR(__xludf.DUMMYFUNCTION("""COMPUTED_VALUE"""),231.94)</f>
        <v>231.94</v>
      </c>
      <c r="F182" s="1">
        <f>IFERROR(__xludf.DUMMYFUNCTION("""COMPUTED_VALUE"""),2.43125E7)</f>
        <v>24312500</v>
      </c>
    </row>
    <row r="183">
      <c r="A183" s="2">
        <f>IFERROR(__xludf.DUMMYFUNCTION("""COMPUTED_VALUE"""),31671.666666666668)</f>
        <v>31671.66667</v>
      </c>
      <c r="B183" s="1">
        <f>IFERROR(__xludf.DUMMYFUNCTION("""COMPUTED_VALUE"""),231.93)</f>
        <v>231.93</v>
      </c>
      <c r="C183" s="1">
        <f>IFERROR(__xludf.DUMMYFUNCTION("""COMPUTED_VALUE"""),231.94)</f>
        <v>231.94</v>
      </c>
      <c r="D183" s="1">
        <f>IFERROR(__xludf.DUMMYFUNCTION("""COMPUTED_VALUE"""),228.32)</f>
        <v>228.32</v>
      </c>
      <c r="E183" s="1">
        <f>IFERROR(__xludf.DUMMYFUNCTION("""COMPUTED_VALUE"""),231.72)</f>
        <v>231.72</v>
      </c>
      <c r="F183" s="1">
        <f>IFERROR(__xludf.DUMMYFUNCTION("""COMPUTED_VALUE"""),2.05E7)</f>
        <v>20500000</v>
      </c>
    </row>
    <row r="184">
      <c r="A184" s="2">
        <f>IFERROR(__xludf.DUMMYFUNCTION("""COMPUTED_VALUE"""),31672.666666666668)</f>
        <v>31672.66667</v>
      </c>
      <c r="B184" s="1">
        <f>IFERROR(__xludf.DUMMYFUNCTION("""COMPUTED_VALUE"""),231.73)</f>
        <v>231.73</v>
      </c>
      <c r="C184" s="1">
        <f>IFERROR(__xludf.DUMMYFUNCTION("""COMPUTED_VALUE"""),233.81)</f>
        <v>233.81</v>
      </c>
      <c r="D184" s="1">
        <f>IFERROR(__xludf.DUMMYFUNCTION("""COMPUTED_VALUE"""),231.38)</f>
        <v>231.38</v>
      </c>
      <c r="E184" s="1">
        <f>IFERROR(__xludf.DUMMYFUNCTION("""COMPUTED_VALUE"""),231.68)</f>
        <v>231.68</v>
      </c>
      <c r="F184" s="1">
        <f>IFERROR(__xludf.DUMMYFUNCTION("""COMPUTED_VALUE"""),2.203125E7)</f>
        <v>22031250</v>
      </c>
    </row>
    <row r="185">
      <c r="A185" s="2">
        <f>IFERROR(__xludf.DUMMYFUNCTION("""COMPUTED_VALUE"""),31673.666666666668)</f>
        <v>31673.66667</v>
      </c>
      <c r="B185" s="1">
        <f>IFERROR(__xludf.DUMMYFUNCTION("""COMPUTED_VALUE"""),231.67)</f>
        <v>231.67</v>
      </c>
      <c r="C185" s="1">
        <f>IFERROR(__xludf.DUMMYFUNCTION("""COMPUTED_VALUE"""),232.87)</f>
        <v>232.87</v>
      </c>
      <c r="D185" s="1">
        <f>IFERROR(__xludf.DUMMYFUNCTION("""COMPUTED_VALUE"""),230.57)</f>
        <v>230.57</v>
      </c>
      <c r="E185" s="1">
        <f>IFERROR(__xludf.DUMMYFUNCTION("""COMPUTED_VALUE"""),232.31)</f>
        <v>232.31</v>
      </c>
      <c r="F185" s="1">
        <f>IFERROR(__xludf.DUMMYFUNCTION("""COMPUTED_VALUE"""),2.065625E7)</f>
        <v>20656250</v>
      </c>
    </row>
    <row r="186">
      <c r="A186" s="2">
        <f>IFERROR(__xludf.DUMMYFUNCTION("""COMPUTED_VALUE"""),31674.666666666668)</f>
        <v>31674.66667</v>
      </c>
      <c r="B186" s="1">
        <f>IFERROR(__xludf.DUMMYFUNCTION("""COMPUTED_VALUE"""),232.3)</f>
        <v>232.3</v>
      </c>
      <c r="C186" s="1">
        <f>IFERROR(__xludf.DUMMYFUNCTION("""COMPUTED_VALUE"""),232.31)</f>
        <v>232.31</v>
      </c>
      <c r="D186" s="1">
        <f>IFERROR(__xludf.DUMMYFUNCTION("""COMPUTED_VALUE"""),230.69)</f>
        <v>230.69</v>
      </c>
      <c r="E186" s="1">
        <f>IFERROR(__xludf.DUMMYFUNCTION("""COMPUTED_VALUE"""),232.21)</f>
        <v>232.21</v>
      </c>
      <c r="F186" s="1">
        <f>IFERROR(__xludf.DUMMYFUNCTION("""COMPUTED_VALUE"""),2.4046876E7)</f>
        <v>24046876</v>
      </c>
    </row>
    <row r="187">
      <c r="A187" s="2">
        <f>IFERROR(__xludf.DUMMYFUNCTION("""COMPUTED_VALUE"""),31677.666666666668)</f>
        <v>31677.66667</v>
      </c>
      <c r="B187" s="1">
        <f>IFERROR(__xludf.DUMMYFUNCTION("""COMPUTED_VALUE"""),232.2)</f>
        <v>232.2</v>
      </c>
      <c r="C187" s="1">
        <f>IFERROR(__xludf.DUMMYFUNCTION("""COMPUTED_VALUE"""),234.93)</f>
        <v>234.93</v>
      </c>
      <c r="D187" s="1">
        <f>IFERROR(__xludf.DUMMYFUNCTION("""COMPUTED_VALUE"""),232.2)</f>
        <v>232.2</v>
      </c>
      <c r="E187" s="1">
        <f>IFERROR(__xludf.DUMMYFUNCTION("""COMPUTED_VALUE"""),234.93)</f>
        <v>234.93</v>
      </c>
      <c r="F187" s="1">
        <f>IFERROR(__xludf.DUMMYFUNCTION("""COMPUTED_VALUE"""),1.9703124E7)</f>
        <v>19703124</v>
      </c>
    </row>
    <row r="188">
      <c r="A188" s="2">
        <f>IFERROR(__xludf.DUMMYFUNCTION("""COMPUTED_VALUE"""),31678.666666666668)</f>
        <v>31678.66667</v>
      </c>
      <c r="B188" s="1">
        <f>IFERROR(__xludf.DUMMYFUNCTION("""COMPUTED_VALUE"""),234.96)</f>
        <v>234.96</v>
      </c>
      <c r="C188" s="1">
        <f>IFERROR(__xludf.DUMMYFUNCTION("""COMPUTED_VALUE"""),235.88)</f>
        <v>235.88</v>
      </c>
      <c r="D188" s="1">
        <f>IFERROR(__xludf.DUMMYFUNCTION("""COMPUTED_VALUE"""),234.5)</f>
        <v>234.5</v>
      </c>
      <c r="E188" s="1">
        <f>IFERROR(__xludf.DUMMYFUNCTION("""COMPUTED_VALUE"""),235.67)</f>
        <v>235.67</v>
      </c>
      <c r="F188" s="1">
        <f>IFERROR(__xludf.DUMMYFUNCTION("""COMPUTED_VALUE"""),2.071875E7)</f>
        <v>20718750</v>
      </c>
    </row>
    <row r="189">
      <c r="A189" s="2">
        <f>IFERROR(__xludf.DUMMYFUNCTION("""COMPUTED_VALUE"""),31679.666666666668)</f>
        <v>31679.66667</v>
      </c>
      <c r="B189" s="1">
        <f>IFERROR(__xludf.DUMMYFUNCTION("""COMPUTED_VALUE"""),235.66)</f>
        <v>235.66</v>
      </c>
      <c r="C189" s="1">
        <f>IFERROR(__xludf.DUMMYFUNCTION("""COMPUTED_VALUE"""),237.06)</f>
        <v>237.06</v>
      </c>
      <c r="D189" s="1">
        <f>IFERROR(__xludf.DUMMYFUNCTION("""COMPUTED_VALUE"""),235.53)</f>
        <v>235.53</v>
      </c>
      <c r="E189" s="1">
        <f>IFERROR(__xludf.DUMMYFUNCTION("""COMPUTED_VALUE"""),236.28)</f>
        <v>236.28</v>
      </c>
      <c r="F189" s="1">
        <f>IFERROR(__xludf.DUMMYFUNCTION("""COMPUTED_VALUE"""),2.103125E7)</f>
        <v>21031250</v>
      </c>
    </row>
    <row r="190">
      <c r="A190" s="2">
        <f>IFERROR(__xludf.DUMMYFUNCTION("""COMPUTED_VALUE"""),31680.666666666668)</f>
        <v>31680.66667</v>
      </c>
      <c r="B190" s="1">
        <f>IFERROR(__xludf.DUMMYFUNCTION("""COMPUTED_VALUE"""),231.83)</f>
        <v>231.83</v>
      </c>
      <c r="C190" s="1">
        <f>IFERROR(__xludf.DUMMYFUNCTION("""COMPUTED_VALUE"""),236.28)</f>
        <v>236.28</v>
      </c>
      <c r="D190" s="1">
        <f>IFERROR(__xludf.DUMMYFUNCTION("""COMPUTED_VALUE"""),230.67)</f>
        <v>230.67</v>
      </c>
      <c r="E190" s="1">
        <f>IFERROR(__xludf.DUMMYFUNCTION("""COMPUTED_VALUE"""),231.83)</f>
        <v>231.83</v>
      </c>
      <c r="F190" s="1">
        <f>IFERROR(__xludf.DUMMYFUNCTION("""COMPUTED_VALUE"""),2.0984376E7)</f>
        <v>20984376</v>
      </c>
    </row>
    <row r="191">
      <c r="A191" s="2">
        <f>IFERROR(__xludf.DUMMYFUNCTION("""COMPUTED_VALUE"""),31681.666666666668)</f>
        <v>31681.66667</v>
      </c>
      <c r="B191" s="1">
        <f>IFERROR(__xludf.DUMMYFUNCTION("""COMPUTED_VALUE"""),231.83)</f>
        <v>231.83</v>
      </c>
      <c r="C191" s="1">
        <f>IFERROR(__xludf.DUMMYFUNCTION("""COMPUTED_VALUE"""),233.68)</f>
        <v>233.68</v>
      </c>
      <c r="D191" s="1">
        <f>IFERROR(__xludf.DUMMYFUNCTION("""COMPUTED_VALUE"""),230.64)</f>
        <v>230.64</v>
      </c>
      <c r="E191" s="1">
        <f>IFERROR(__xludf.DUMMYFUNCTION("""COMPUTED_VALUE"""),232.23)</f>
        <v>232.23</v>
      </c>
      <c r="F191" s="1">
        <f>IFERROR(__xludf.DUMMYFUNCTION("""COMPUTED_VALUE"""),1.8015624E7)</f>
        <v>18015624</v>
      </c>
    </row>
    <row r="192">
      <c r="A192" s="2">
        <f>IFERROR(__xludf.DUMMYFUNCTION("""COMPUTED_VALUE"""),31684.666666666668)</f>
        <v>31684.66667</v>
      </c>
      <c r="B192" s="1">
        <f>IFERROR(__xludf.DUMMYFUNCTION("""COMPUTED_VALUE"""),232.23)</f>
        <v>232.23</v>
      </c>
      <c r="C192" s="1">
        <f>IFERROR(__xludf.DUMMYFUNCTION("""COMPUTED_VALUE"""),232.23)</f>
        <v>232.23</v>
      </c>
      <c r="D192" s="1">
        <f>IFERROR(__xludf.DUMMYFUNCTION("""COMPUTED_VALUE"""),228.08)</f>
        <v>228.08</v>
      </c>
      <c r="E192" s="1">
        <f>IFERROR(__xludf.DUMMYFUNCTION("""COMPUTED_VALUE"""),229.91)</f>
        <v>229.91</v>
      </c>
      <c r="F192" s="1">
        <f>IFERROR(__xludf.DUMMYFUNCTION("""COMPUTED_VALUE"""),1.80625E7)</f>
        <v>18062500</v>
      </c>
    </row>
    <row r="193">
      <c r="A193" s="2">
        <f>IFERROR(__xludf.DUMMYFUNCTION("""COMPUTED_VALUE"""),31685.666666666668)</f>
        <v>31685.66667</v>
      </c>
      <c r="B193" s="1">
        <f>IFERROR(__xludf.DUMMYFUNCTION("""COMPUTED_VALUE"""),229.91)</f>
        <v>229.91</v>
      </c>
      <c r="C193" s="1">
        <f>IFERROR(__xludf.DUMMYFUNCTION("""COMPUTED_VALUE"""),233.01)</f>
        <v>233.01</v>
      </c>
      <c r="D193" s="1">
        <f>IFERROR(__xludf.DUMMYFUNCTION("""COMPUTED_VALUE"""),229.91)</f>
        <v>229.91</v>
      </c>
      <c r="E193" s="1">
        <f>IFERROR(__xludf.DUMMYFUNCTION("""COMPUTED_VALUE"""),231.32)</f>
        <v>231.32</v>
      </c>
      <c r="F193" s="1">
        <f>IFERROR(__xludf.DUMMYFUNCTION("""COMPUTED_VALUE"""),1.9515624E7)</f>
        <v>19515624</v>
      </c>
    </row>
    <row r="194">
      <c r="A194" s="2">
        <f>IFERROR(__xludf.DUMMYFUNCTION("""COMPUTED_VALUE"""),31686.666666666668)</f>
        <v>31686.66667</v>
      </c>
      <c r="B194" s="1">
        <f>IFERROR(__xludf.DUMMYFUNCTION("""COMPUTED_VALUE"""),231.32)</f>
        <v>231.32</v>
      </c>
      <c r="C194" s="1">
        <f>IFERROR(__xludf.DUMMYFUNCTION("""COMPUTED_VALUE"""),234.62)</f>
        <v>234.62</v>
      </c>
      <c r="D194" s="1">
        <f>IFERROR(__xludf.DUMMYFUNCTION("""COMPUTED_VALUE"""),231.32)</f>
        <v>231.32</v>
      </c>
      <c r="E194" s="1">
        <f>IFERROR(__xludf.DUMMYFUNCTION("""COMPUTED_VALUE"""),233.6)</f>
        <v>233.6</v>
      </c>
      <c r="F194" s="1">
        <f>IFERROR(__xludf.DUMMYFUNCTION("""COMPUTED_VALUE"""),2.24375E7)</f>
        <v>22437500</v>
      </c>
    </row>
    <row r="195">
      <c r="A195" s="2">
        <f>IFERROR(__xludf.DUMMYFUNCTION("""COMPUTED_VALUE"""),31687.666666666668)</f>
        <v>31687.66667</v>
      </c>
      <c r="B195" s="1">
        <f>IFERROR(__xludf.DUMMYFUNCTION("""COMPUTED_VALUE"""),233.6)</f>
        <v>233.6</v>
      </c>
      <c r="C195" s="1">
        <f>IFERROR(__xludf.DUMMYFUNCTION("""COMPUTED_VALUE"""),234.33)</f>
        <v>234.33</v>
      </c>
      <c r="D195" s="1">
        <f>IFERROR(__xludf.DUMMYFUNCTION("""COMPUTED_VALUE"""),232.77)</f>
        <v>232.77</v>
      </c>
      <c r="E195" s="1">
        <f>IFERROR(__xludf.DUMMYFUNCTION("""COMPUTED_VALUE"""),233.92)</f>
        <v>233.92</v>
      </c>
      <c r="F195" s="1">
        <f>IFERROR(__xludf.DUMMYFUNCTION("""COMPUTED_VALUE"""),2.0015624E7)</f>
        <v>20015624</v>
      </c>
    </row>
    <row r="196">
      <c r="A196" s="2">
        <f>IFERROR(__xludf.DUMMYFUNCTION("""COMPUTED_VALUE"""),31688.666666666668)</f>
        <v>31688.66667</v>
      </c>
      <c r="B196" s="1">
        <f>IFERROR(__xludf.DUMMYFUNCTION("""COMPUTED_VALUE"""),233.92)</f>
        <v>233.92</v>
      </c>
      <c r="C196" s="1">
        <f>IFERROR(__xludf.DUMMYFUNCTION("""COMPUTED_VALUE"""),236.16)</f>
        <v>236.16</v>
      </c>
      <c r="D196" s="1">
        <f>IFERROR(__xludf.DUMMYFUNCTION("""COMPUTED_VALUE"""),232.79)</f>
        <v>232.79</v>
      </c>
      <c r="E196" s="1">
        <f>IFERROR(__xludf.DUMMYFUNCTION("""COMPUTED_VALUE"""),233.71)</f>
        <v>233.71</v>
      </c>
      <c r="F196" s="1">
        <f>IFERROR(__xludf.DUMMYFUNCTION("""COMPUTED_VALUE"""),2.0015624E7)</f>
        <v>20015624</v>
      </c>
    </row>
    <row r="197">
      <c r="A197" s="2">
        <f>IFERROR(__xludf.DUMMYFUNCTION("""COMPUTED_VALUE"""),31691.666666666668)</f>
        <v>31691.66667</v>
      </c>
      <c r="B197" s="1">
        <f>IFERROR(__xludf.DUMMYFUNCTION("""COMPUTED_VALUE"""),233.71)</f>
        <v>233.71</v>
      </c>
      <c r="C197" s="1">
        <f>IFERROR(__xludf.DUMMYFUNCTION("""COMPUTED_VALUE"""),235.34)</f>
        <v>235.34</v>
      </c>
      <c r="D197" s="1">
        <f>IFERROR(__xludf.DUMMYFUNCTION("""COMPUTED_VALUE"""),233.17)</f>
        <v>233.17</v>
      </c>
      <c r="E197" s="1">
        <f>IFERROR(__xludf.DUMMYFUNCTION("""COMPUTED_VALUE"""),234.78)</f>
        <v>234.78</v>
      </c>
      <c r="F197" s="1">
        <f>IFERROR(__xludf.DUMMYFUNCTION("""COMPUTED_VALUE"""),1.3789062E7)</f>
        <v>13789062</v>
      </c>
    </row>
    <row r="198">
      <c r="A198" s="2">
        <f>IFERROR(__xludf.DUMMYFUNCTION("""COMPUTED_VALUE"""),31692.666666666668)</f>
        <v>31692.66667</v>
      </c>
      <c r="B198" s="1">
        <f>IFERROR(__xludf.DUMMYFUNCTION("""COMPUTED_VALUE"""),234.74)</f>
        <v>234.74</v>
      </c>
      <c r="C198" s="1">
        <f>IFERROR(__xludf.DUMMYFUNCTION("""COMPUTED_VALUE"""),235.18)</f>
        <v>235.18</v>
      </c>
      <c r="D198" s="1">
        <f>IFERROR(__xludf.DUMMYFUNCTION("""COMPUTED_VALUE"""),233.46)</f>
        <v>233.46</v>
      </c>
      <c r="E198" s="1">
        <f>IFERROR(__xludf.DUMMYFUNCTION("""COMPUTED_VALUE"""),234.41)</f>
        <v>234.41</v>
      </c>
      <c r="F198" s="1">
        <f>IFERROR(__xludf.DUMMYFUNCTION("""COMPUTED_VALUE"""),1.9546876E7)</f>
        <v>19546876</v>
      </c>
    </row>
    <row r="199">
      <c r="A199" s="2">
        <f>IFERROR(__xludf.DUMMYFUNCTION("""COMPUTED_VALUE"""),31693.666666666668)</f>
        <v>31693.66667</v>
      </c>
      <c r="B199" s="1">
        <f>IFERROR(__xludf.DUMMYFUNCTION("""COMPUTED_VALUE"""),234.41)</f>
        <v>234.41</v>
      </c>
      <c r="C199" s="1">
        <f>IFERROR(__xludf.DUMMYFUNCTION("""COMPUTED_VALUE"""),236.84)</f>
        <v>236.84</v>
      </c>
      <c r="D199" s="1">
        <f>IFERROR(__xludf.DUMMYFUNCTION("""COMPUTED_VALUE"""),233.68)</f>
        <v>233.68</v>
      </c>
      <c r="E199" s="1">
        <f>IFERROR(__xludf.DUMMYFUNCTION("""COMPUTED_VALUE"""),236.68)</f>
        <v>236.68</v>
      </c>
      <c r="F199" s="1">
        <f>IFERROR(__xludf.DUMMYFUNCTION("""COMPUTED_VALUE"""),2.2140624E7)</f>
        <v>22140624</v>
      </c>
    </row>
    <row r="200">
      <c r="A200" s="2">
        <f>IFERROR(__xludf.DUMMYFUNCTION("""COMPUTED_VALUE"""),31694.666666666668)</f>
        <v>31694.66667</v>
      </c>
      <c r="B200" s="1">
        <f>IFERROR(__xludf.DUMMYFUNCTION("""COMPUTED_VALUE"""),236.67)</f>
        <v>236.67</v>
      </c>
      <c r="C200" s="1">
        <f>IFERROR(__xludf.DUMMYFUNCTION("""COMPUTED_VALUE"""),238.2)</f>
        <v>238.2</v>
      </c>
      <c r="D200" s="1">
        <f>IFERROR(__xludf.DUMMYFUNCTION("""COMPUTED_VALUE"""),235.72)</f>
        <v>235.72</v>
      </c>
      <c r="E200" s="1">
        <f>IFERROR(__xludf.DUMMYFUNCTION("""COMPUTED_VALUE"""),235.85)</f>
        <v>235.85</v>
      </c>
      <c r="F200" s="1">
        <f>IFERROR(__xludf.DUMMYFUNCTION("""COMPUTED_VALUE"""),2.396875E7)</f>
        <v>23968750</v>
      </c>
    </row>
    <row r="201">
      <c r="A201" s="2">
        <f>IFERROR(__xludf.DUMMYFUNCTION("""COMPUTED_VALUE"""),31695.666666666668)</f>
        <v>31695.66667</v>
      </c>
      <c r="B201" s="1">
        <f>IFERROR(__xludf.DUMMYFUNCTION("""COMPUTED_VALUE"""),235.84)</f>
        <v>235.84</v>
      </c>
      <c r="C201" s="1">
        <f>IFERROR(__xludf.DUMMYFUNCTION("""COMPUTED_VALUE"""),236.27)</f>
        <v>236.27</v>
      </c>
      <c r="D201" s="1">
        <f>IFERROR(__xludf.DUMMYFUNCTION("""COMPUTED_VALUE"""),235.31)</f>
        <v>235.31</v>
      </c>
      <c r="E201" s="1">
        <f>IFERROR(__xludf.DUMMYFUNCTION("""COMPUTED_VALUE"""),235.48)</f>
        <v>235.48</v>
      </c>
      <c r="F201" s="1">
        <f>IFERROR(__xludf.DUMMYFUNCTION("""COMPUTED_VALUE"""),1.6421875E7)</f>
        <v>16421875</v>
      </c>
    </row>
    <row r="202">
      <c r="A202" s="2">
        <f>IFERROR(__xludf.DUMMYFUNCTION("""COMPUTED_VALUE"""),31698.666666666668)</f>
        <v>31698.66667</v>
      </c>
      <c r="B202" s="1">
        <f>IFERROR(__xludf.DUMMYFUNCTION("""COMPUTED_VALUE"""),235.52)</f>
        <v>235.52</v>
      </c>
      <c r="C202" s="1">
        <f>IFERROR(__xludf.DUMMYFUNCTION("""COMPUTED_VALUE"""),235.91)</f>
        <v>235.91</v>
      </c>
      <c r="D202" s="1">
        <f>IFERROR(__xludf.DUMMYFUNCTION("""COMPUTED_VALUE"""),235.02)</f>
        <v>235.02</v>
      </c>
      <c r="E202" s="1">
        <f>IFERROR(__xludf.DUMMYFUNCTION("""COMPUTED_VALUE"""),235.91)</f>
        <v>235.91</v>
      </c>
      <c r="F202" s="1">
        <f>IFERROR(__xludf.DUMMYFUNCTION("""COMPUTED_VALUE"""),8592188.0)</f>
        <v>8592188</v>
      </c>
    </row>
    <row r="203">
      <c r="A203" s="2">
        <f>IFERROR(__xludf.DUMMYFUNCTION("""COMPUTED_VALUE"""),31699.666666666668)</f>
        <v>31699.66667</v>
      </c>
      <c r="B203" s="1">
        <f>IFERROR(__xludf.DUMMYFUNCTION("""COMPUTED_VALUE"""),235.9)</f>
        <v>235.9</v>
      </c>
      <c r="C203" s="1">
        <f>IFERROR(__xludf.DUMMYFUNCTION("""COMPUTED_VALUE"""),236.37)</f>
        <v>236.37</v>
      </c>
      <c r="D203" s="1">
        <f>IFERROR(__xludf.DUMMYFUNCTION("""COMPUTED_VALUE"""),234.37)</f>
        <v>234.37</v>
      </c>
      <c r="E203" s="1">
        <f>IFERROR(__xludf.DUMMYFUNCTION("""COMPUTED_VALUE"""),235.37)</f>
        <v>235.37</v>
      </c>
      <c r="F203" s="1">
        <f>IFERROR(__xludf.DUMMYFUNCTION("""COMPUTED_VALUE"""),1.825E7)</f>
        <v>18250000</v>
      </c>
    </row>
    <row r="204">
      <c r="A204" s="2">
        <f>IFERROR(__xludf.DUMMYFUNCTION("""COMPUTED_VALUE"""),31700.666666666668)</f>
        <v>31700.66667</v>
      </c>
      <c r="B204" s="1">
        <f>IFERROR(__xludf.DUMMYFUNCTION("""COMPUTED_VALUE"""),235.36)</f>
        <v>235.36</v>
      </c>
      <c r="C204" s="1">
        <f>IFERROR(__xludf.DUMMYFUNCTION("""COMPUTED_VALUE"""),239.03)</f>
        <v>239.03</v>
      </c>
      <c r="D204" s="1">
        <f>IFERROR(__xludf.DUMMYFUNCTION("""COMPUTED_VALUE"""),235.27)</f>
        <v>235.27</v>
      </c>
      <c r="E204" s="1">
        <f>IFERROR(__xludf.DUMMYFUNCTION("""COMPUTED_VALUE"""),238.8)</f>
        <v>238.8</v>
      </c>
      <c r="F204" s="1">
        <f>IFERROR(__xludf.DUMMYFUNCTION("""COMPUTED_VALUE"""),2.2546876E7)</f>
        <v>22546876</v>
      </c>
    </row>
    <row r="205">
      <c r="A205" s="2">
        <f>IFERROR(__xludf.DUMMYFUNCTION("""COMPUTED_VALUE"""),31701.666666666668)</f>
        <v>31701.66667</v>
      </c>
      <c r="B205" s="1">
        <f>IFERROR(__xludf.DUMMYFUNCTION("""COMPUTED_VALUE"""),238.83)</f>
        <v>238.83</v>
      </c>
      <c r="C205" s="1">
        <f>IFERROR(__xludf.DUMMYFUNCTION("""COMPUTED_VALUE"""),240.18)</f>
        <v>240.18</v>
      </c>
      <c r="D205" s="1">
        <f>IFERROR(__xludf.DUMMYFUNCTION("""COMPUTED_VALUE"""),238.8)</f>
        <v>238.8</v>
      </c>
      <c r="E205" s="1">
        <f>IFERROR(__xludf.DUMMYFUNCTION("""COMPUTED_VALUE"""),239.53)</f>
        <v>239.53</v>
      </c>
      <c r="F205" s="1">
        <f>IFERROR(__xludf.DUMMYFUNCTION("""COMPUTED_VALUE"""),2.4515624E7)</f>
        <v>24515624</v>
      </c>
    </row>
    <row r="206">
      <c r="A206" s="2">
        <f>IFERROR(__xludf.DUMMYFUNCTION("""COMPUTED_VALUE"""),31702.666666666668)</f>
        <v>31702.66667</v>
      </c>
      <c r="B206" s="1">
        <f>IFERROR(__xludf.DUMMYFUNCTION("""COMPUTED_VALUE"""),239.5)</f>
        <v>239.5</v>
      </c>
      <c r="C206" s="1">
        <f>IFERROR(__xludf.DUMMYFUNCTION("""COMPUTED_VALUE"""),239.53)</f>
        <v>239.53</v>
      </c>
      <c r="D206" s="1">
        <f>IFERROR(__xludf.DUMMYFUNCTION("""COMPUTED_VALUE"""),237.71)</f>
        <v>237.71</v>
      </c>
      <c r="E206" s="1">
        <f>IFERROR(__xludf.DUMMYFUNCTION("""COMPUTED_VALUE"""),238.84)</f>
        <v>238.84</v>
      </c>
      <c r="F206" s="1">
        <f>IFERROR(__xludf.DUMMYFUNCTION("""COMPUTED_VALUE"""),1.9390624E7)</f>
        <v>19390624</v>
      </c>
    </row>
    <row r="207">
      <c r="A207" s="2">
        <f>IFERROR(__xludf.DUMMYFUNCTION("""COMPUTED_VALUE"""),31705.666666666668)</f>
        <v>31705.66667</v>
      </c>
      <c r="B207" s="1">
        <f>IFERROR(__xludf.DUMMYFUNCTION("""COMPUTED_VALUE"""),238.84)</f>
        <v>238.84</v>
      </c>
      <c r="C207" s="1">
        <f>IFERROR(__xludf.DUMMYFUNCTION("""COMPUTED_VALUE"""),238.84)</f>
        <v>238.84</v>
      </c>
      <c r="D207" s="1">
        <f>IFERROR(__xludf.DUMMYFUNCTION("""COMPUTED_VALUE"""),234.78)</f>
        <v>234.78</v>
      </c>
      <c r="E207" s="1">
        <f>IFERROR(__xludf.DUMMYFUNCTION("""COMPUTED_VALUE"""),235.97)</f>
        <v>235.97</v>
      </c>
      <c r="F207" s="1">
        <f>IFERROR(__xludf.DUMMYFUNCTION("""COMPUTED_VALUE"""),1.703125E7)</f>
        <v>17031250</v>
      </c>
    </row>
    <row r="208">
      <c r="A208" s="2">
        <f>IFERROR(__xludf.DUMMYFUNCTION("""COMPUTED_VALUE"""),31706.666666666668)</f>
        <v>31706.66667</v>
      </c>
      <c r="B208" s="1">
        <f>IFERROR(__xludf.DUMMYFUNCTION("""COMPUTED_VALUE"""),236.03)</f>
        <v>236.03</v>
      </c>
      <c r="C208" s="1">
        <f>IFERROR(__xludf.DUMMYFUNCTION("""COMPUTED_VALUE"""),236.49)</f>
        <v>236.49</v>
      </c>
      <c r="D208" s="1">
        <f>IFERROR(__xludf.DUMMYFUNCTION("""COMPUTED_VALUE"""),234.95)</f>
        <v>234.95</v>
      </c>
      <c r="E208" s="1">
        <f>IFERROR(__xludf.DUMMYFUNCTION("""COMPUTED_VALUE"""),235.88)</f>
        <v>235.88</v>
      </c>
      <c r="F208" s="1">
        <f>IFERROR(__xludf.DUMMYFUNCTION("""COMPUTED_VALUE"""),1.71875E7)</f>
        <v>17187500</v>
      </c>
    </row>
    <row r="209">
      <c r="A209" s="2">
        <f>IFERROR(__xludf.DUMMYFUNCTION("""COMPUTED_VALUE"""),31707.666666666668)</f>
        <v>31707.66667</v>
      </c>
      <c r="B209" s="1">
        <f>IFERROR(__xludf.DUMMYFUNCTION("""COMPUTED_VALUE"""),235.89)</f>
        <v>235.89</v>
      </c>
      <c r="C209" s="1">
        <f>IFERROR(__xludf.DUMMYFUNCTION("""COMPUTED_VALUE"""),236.64)</f>
        <v>236.64</v>
      </c>
      <c r="D209" s="1">
        <f>IFERROR(__xludf.DUMMYFUNCTION("""COMPUTED_VALUE"""),235.82)</f>
        <v>235.82</v>
      </c>
      <c r="E209" s="1">
        <f>IFERROR(__xludf.DUMMYFUNCTION("""COMPUTED_VALUE"""),236.26)</f>
        <v>236.26</v>
      </c>
      <c r="F209" s="1">
        <f>IFERROR(__xludf.DUMMYFUNCTION("""COMPUTED_VALUE"""),1.78125E7)</f>
        <v>17812500</v>
      </c>
    </row>
    <row r="210">
      <c r="A210" s="2">
        <f>IFERROR(__xludf.DUMMYFUNCTION("""COMPUTED_VALUE"""),31708.666666666668)</f>
        <v>31708.66667</v>
      </c>
      <c r="B210" s="1">
        <f>IFERROR(__xludf.DUMMYFUNCTION("""COMPUTED_VALUE"""),236.28)</f>
        <v>236.28</v>
      </c>
      <c r="C210" s="1">
        <f>IFERROR(__xludf.DUMMYFUNCTION("""COMPUTED_VALUE"""),239.76)</f>
        <v>239.76</v>
      </c>
      <c r="D210" s="1">
        <f>IFERROR(__xludf.DUMMYFUNCTION("""COMPUTED_VALUE"""),236.26)</f>
        <v>236.26</v>
      </c>
      <c r="E210" s="1">
        <f>IFERROR(__xludf.DUMMYFUNCTION("""COMPUTED_VALUE"""),239.28)</f>
        <v>239.28</v>
      </c>
      <c r="F210" s="1">
        <f>IFERROR(__xludf.DUMMYFUNCTION("""COMPUTED_VALUE"""),2.3578124E7)</f>
        <v>23578124</v>
      </c>
    </row>
    <row r="211">
      <c r="A211" s="2">
        <f>IFERROR(__xludf.DUMMYFUNCTION("""COMPUTED_VALUE"""),31709.666666666668)</f>
        <v>31709.66667</v>
      </c>
      <c r="B211" s="1">
        <f>IFERROR(__xludf.DUMMYFUNCTION("""COMPUTED_VALUE"""),239.3)</f>
        <v>239.3</v>
      </c>
      <c r="C211" s="1">
        <f>IFERROR(__xludf.DUMMYFUNCTION("""COMPUTED_VALUE"""),239.65)</f>
        <v>239.65</v>
      </c>
      <c r="D211" s="1">
        <f>IFERROR(__xludf.DUMMYFUNCTION("""COMPUTED_VALUE"""),238.25)</f>
        <v>238.25</v>
      </c>
      <c r="E211" s="1">
        <f>IFERROR(__xludf.DUMMYFUNCTION("""COMPUTED_VALUE"""),238.26)</f>
        <v>238.26</v>
      </c>
      <c r="F211" s="1">
        <f>IFERROR(__xludf.DUMMYFUNCTION("""COMPUTED_VALUE"""),2.1484376E7)</f>
        <v>21484376</v>
      </c>
    </row>
    <row r="212">
      <c r="A212" s="2">
        <f>IFERROR(__xludf.DUMMYFUNCTION("""COMPUTED_VALUE"""),31712.666666666668)</f>
        <v>31712.66667</v>
      </c>
      <c r="B212" s="1">
        <f>IFERROR(__xludf.DUMMYFUNCTION("""COMPUTED_VALUE"""),238.22)</f>
        <v>238.22</v>
      </c>
      <c r="C212" s="1">
        <f>IFERROR(__xludf.DUMMYFUNCTION("""COMPUTED_VALUE"""),238.77)</f>
        <v>238.77</v>
      </c>
      <c r="D212" s="1">
        <f>IFERROR(__xludf.DUMMYFUNCTION("""COMPUTED_VALUE"""),236.72)</f>
        <v>236.72</v>
      </c>
      <c r="E212" s="1">
        <f>IFERROR(__xludf.DUMMYFUNCTION("""COMPUTED_VALUE"""),238.77)</f>
        <v>238.77</v>
      </c>
      <c r="F212" s="1">
        <f>IFERROR(__xludf.DUMMYFUNCTION("""COMPUTED_VALUE"""),2.08125E7)</f>
        <v>20812500</v>
      </c>
    </row>
    <row r="213">
      <c r="A213" s="2">
        <f>IFERROR(__xludf.DUMMYFUNCTION("""COMPUTED_VALUE"""),31713.666666666668)</f>
        <v>31713.66667</v>
      </c>
      <c r="B213" s="1">
        <f>IFERROR(__xludf.DUMMYFUNCTION("""COMPUTED_VALUE"""),238.81)</f>
        <v>238.81</v>
      </c>
      <c r="C213" s="1">
        <f>IFERROR(__xludf.DUMMYFUNCTION("""COMPUTED_VALUE"""),240.58)</f>
        <v>240.58</v>
      </c>
      <c r="D213" s="1">
        <f>IFERROR(__xludf.DUMMYFUNCTION("""COMPUTED_VALUE"""),238.77)</f>
        <v>238.77</v>
      </c>
      <c r="E213" s="1">
        <f>IFERROR(__xludf.DUMMYFUNCTION("""COMPUTED_VALUE"""),239.26)</f>
        <v>239.26</v>
      </c>
      <c r="F213" s="1">
        <f>IFERROR(__xludf.DUMMYFUNCTION("""COMPUTED_VALUE"""),2.2796876E7)</f>
        <v>22796876</v>
      </c>
    </row>
    <row r="214">
      <c r="A214" s="2">
        <f>IFERROR(__xludf.DUMMYFUNCTION("""COMPUTED_VALUE"""),31714.666666666668)</f>
        <v>31714.66667</v>
      </c>
      <c r="B214" s="1">
        <f>IFERROR(__xludf.DUMMYFUNCTION("""COMPUTED_VALUE"""),239.23)</f>
        <v>239.23</v>
      </c>
      <c r="C214" s="1">
        <f>IFERROR(__xludf.DUMMYFUNCTION("""COMPUTED_VALUE"""),241.0)</f>
        <v>241</v>
      </c>
      <c r="D214" s="1">
        <f>IFERROR(__xludf.DUMMYFUNCTION("""COMPUTED_VALUE"""),238.98)</f>
        <v>238.98</v>
      </c>
      <c r="E214" s="1">
        <f>IFERROR(__xludf.DUMMYFUNCTION("""COMPUTED_VALUE"""),240.94)</f>
        <v>240.94</v>
      </c>
      <c r="F214" s="1">
        <f>IFERROR(__xludf.DUMMYFUNCTION("""COMPUTED_VALUE"""),2.56875E7)</f>
        <v>25687500</v>
      </c>
    </row>
    <row r="215">
      <c r="A215" s="2">
        <f>IFERROR(__xludf.DUMMYFUNCTION("""COMPUTED_VALUE"""),31715.666666666668)</f>
        <v>31715.66667</v>
      </c>
      <c r="B215" s="1">
        <f>IFERROR(__xludf.DUMMYFUNCTION("""COMPUTED_VALUE"""),240.97)</f>
        <v>240.97</v>
      </c>
      <c r="C215" s="1">
        <f>IFERROR(__xludf.DUMMYFUNCTION("""COMPUTED_VALUE"""),244.08)</f>
        <v>244.08</v>
      </c>
      <c r="D215" s="1">
        <f>IFERROR(__xludf.DUMMYFUNCTION("""COMPUTED_VALUE"""),240.94)</f>
        <v>240.94</v>
      </c>
      <c r="E215" s="1">
        <f>IFERROR(__xludf.DUMMYFUNCTION("""COMPUTED_VALUE"""),243.71)</f>
        <v>243.71</v>
      </c>
      <c r="F215" s="1">
        <f>IFERROR(__xludf.DUMMYFUNCTION("""COMPUTED_VALUE"""),3.034375E7)</f>
        <v>30343750</v>
      </c>
    </row>
    <row r="216">
      <c r="A216" s="2">
        <f>IFERROR(__xludf.DUMMYFUNCTION("""COMPUTED_VALUE"""),31716.666666666668)</f>
        <v>31716.66667</v>
      </c>
      <c r="B216" s="1">
        <f>IFERROR(__xludf.DUMMYFUNCTION("""COMPUTED_VALUE"""),243.7)</f>
        <v>243.7</v>
      </c>
      <c r="C216" s="1">
        <f>IFERROR(__xludf.DUMMYFUNCTION("""COMPUTED_VALUE"""),244.51)</f>
        <v>244.51</v>
      </c>
      <c r="D216" s="1">
        <f>IFERROR(__xludf.DUMMYFUNCTION("""COMPUTED_VALUE"""),242.95)</f>
        <v>242.95</v>
      </c>
      <c r="E216" s="1">
        <f>IFERROR(__xludf.DUMMYFUNCTION("""COMPUTED_VALUE"""),243.98)</f>
        <v>243.98</v>
      </c>
      <c r="F216" s="1">
        <f>IFERROR(__xludf.DUMMYFUNCTION("""COMPUTED_VALUE"""),2.3E7)</f>
        <v>23000000</v>
      </c>
    </row>
    <row r="217">
      <c r="A217" s="2">
        <f>IFERROR(__xludf.DUMMYFUNCTION("""COMPUTED_VALUE"""),31719.666666666668)</f>
        <v>31719.66667</v>
      </c>
      <c r="B217" s="1">
        <f>IFERROR(__xludf.DUMMYFUNCTION("""COMPUTED_VALUE"""),243.97)</f>
        <v>243.97</v>
      </c>
      <c r="C217" s="1">
        <f>IFERROR(__xludf.DUMMYFUNCTION("""COMPUTED_VALUE"""),245.8)</f>
        <v>245.8</v>
      </c>
      <c r="D217" s="1">
        <f>IFERROR(__xludf.DUMMYFUNCTION("""COMPUTED_VALUE"""),243.93)</f>
        <v>243.93</v>
      </c>
      <c r="E217" s="1">
        <f>IFERROR(__xludf.DUMMYFUNCTION("""COMPUTED_VALUE"""),245.8)</f>
        <v>245.8</v>
      </c>
      <c r="F217" s="1">
        <f>IFERROR(__xludf.DUMMYFUNCTION("""COMPUTED_VALUE"""),2.159375E7)</f>
        <v>21593750</v>
      </c>
    </row>
    <row r="218">
      <c r="A218" s="2">
        <f>IFERROR(__xludf.DUMMYFUNCTION("""COMPUTED_VALUE"""),31720.666666666668)</f>
        <v>31720.66667</v>
      </c>
      <c r="B218" s="1">
        <f>IFERROR(__xludf.DUMMYFUNCTION("""COMPUTED_VALUE"""),245.8)</f>
        <v>245.8</v>
      </c>
      <c r="C218" s="1">
        <f>IFERROR(__xludf.DUMMYFUNCTION("""COMPUTED_VALUE"""),246.43)</f>
        <v>246.43</v>
      </c>
      <c r="D218" s="1">
        <f>IFERROR(__xludf.DUMMYFUNCTION("""COMPUTED_VALUE"""),244.42)</f>
        <v>244.42</v>
      </c>
      <c r="E218" s="1">
        <f>IFERROR(__xludf.DUMMYFUNCTION("""COMPUTED_VALUE"""),246.2)</f>
        <v>246.2</v>
      </c>
      <c r="F218" s="1">
        <f>IFERROR(__xludf.DUMMYFUNCTION("""COMPUTED_VALUE"""),2.55E7)</f>
        <v>25500000</v>
      </c>
    </row>
    <row r="219">
      <c r="A219" s="2">
        <f>IFERROR(__xludf.DUMMYFUNCTION("""COMPUTED_VALUE"""),31721.666666666668)</f>
        <v>31721.66667</v>
      </c>
      <c r="B219" s="1">
        <f>IFERROR(__xludf.DUMMYFUNCTION("""COMPUTED_VALUE"""),246.09)</f>
        <v>246.09</v>
      </c>
      <c r="C219" s="1">
        <f>IFERROR(__xludf.DUMMYFUNCTION("""COMPUTED_VALUE"""),247.05)</f>
        <v>247.05</v>
      </c>
      <c r="D219" s="1">
        <f>IFERROR(__xludf.DUMMYFUNCTION("""COMPUTED_VALUE"""),245.21)</f>
        <v>245.21</v>
      </c>
      <c r="E219" s="1">
        <f>IFERROR(__xludf.DUMMYFUNCTION("""COMPUTED_VALUE"""),246.58)</f>
        <v>246.58</v>
      </c>
      <c r="F219" s="1">
        <f>IFERROR(__xludf.DUMMYFUNCTION("""COMPUTED_VALUE"""),2.8625E7)</f>
        <v>28625000</v>
      </c>
    </row>
    <row r="220">
      <c r="A220" s="2">
        <f>IFERROR(__xludf.DUMMYFUNCTION("""COMPUTED_VALUE"""),31722.666666666668)</f>
        <v>31722.66667</v>
      </c>
      <c r="B220" s="1">
        <f>IFERROR(__xludf.DUMMYFUNCTION("""COMPUTED_VALUE"""),246.54)</f>
        <v>246.54</v>
      </c>
      <c r="C220" s="1">
        <f>IFERROR(__xludf.DUMMYFUNCTION("""COMPUTED_VALUE"""),246.9)</f>
        <v>246.9</v>
      </c>
      <c r="D220" s="1">
        <f>IFERROR(__xludf.DUMMYFUNCTION("""COMPUTED_VALUE"""),244.3)</f>
        <v>244.3</v>
      </c>
      <c r="E220" s="1">
        <f>IFERROR(__xludf.DUMMYFUNCTION("""COMPUTED_VALUE"""),245.87)</f>
        <v>245.87</v>
      </c>
      <c r="F220" s="1">
        <f>IFERROR(__xludf.DUMMYFUNCTION("""COMPUTED_VALUE"""),2.5828124E7)</f>
        <v>25828124</v>
      </c>
    </row>
    <row r="221">
      <c r="A221" s="2">
        <f>IFERROR(__xludf.DUMMYFUNCTION("""COMPUTED_VALUE"""),31723.666666666668)</f>
        <v>31723.66667</v>
      </c>
      <c r="B221" s="1">
        <f>IFERROR(__xludf.DUMMYFUNCTION("""COMPUTED_VALUE"""),245.85)</f>
        <v>245.85</v>
      </c>
      <c r="C221" s="1">
        <f>IFERROR(__xludf.DUMMYFUNCTION("""COMPUTED_VALUE"""),246.13)</f>
        <v>246.13</v>
      </c>
      <c r="D221" s="1">
        <f>IFERROR(__xludf.DUMMYFUNCTION("""COMPUTED_VALUE"""),244.92)</f>
        <v>244.92</v>
      </c>
      <c r="E221" s="1">
        <f>IFERROR(__xludf.DUMMYFUNCTION("""COMPUTED_VALUE"""),245.77)</f>
        <v>245.77</v>
      </c>
      <c r="F221" s="1">
        <f>IFERROR(__xludf.DUMMYFUNCTION("""COMPUTED_VALUE"""),2.2234376E7)</f>
        <v>22234376</v>
      </c>
    </row>
    <row r="222">
      <c r="A222" s="2">
        <f>IFERROR(__xludf.DUMMYFUNCTION("""COMPUTED_VALUE"""),31726.666666666668)</f>
        <v>31726.66667</v>
      </c>
      <c r="B222" s="1">
        <f>IFERROR(__xludf.DUMMYFUNCTION("""COMPUTED_VALUE"""),245.75)</f>
        <v>245.75</v>
      </c>
      <c r="C222" s="1">
        <f>IFERROR(__xludf.DUMMYFUNCTION("""COMPUTED_VALUE"""),246.22)</f>
        <v>246.22</v>
      </c>
      <c r="D222" s="1">
        <f>IFERROR(__xludf.DUMMYFUNCTION("""COMPUTED_VALUE"""),244.68)</f>
        <v>244.68</v>
      </c>
      <c r="E222" s="1">
        <f>IFERROR(__xludf.DUMMYFUNCTION("""COMPUTED_VALUE"""),246.13)</f>
        <v>246.13</v>
      </c>
      <c r="F222" s="1">
        <f>IFERROR(__xludf.DUMMYFUNCTION("""COMPUTED_VALUE"""),1.878125E7)</f>
        <v>18781250</v>
      </c>
    </row>
    <row r="223">
      <c r="A223" s="2">
        <f>IFERROR(__xludf.DUMMYFUNCTION("""COMPUTED_VALUE"""),31727.666666666668)</f>
        <v>31727.66667</v>
      </c>
      <c r="B223" s="1">
        <f>IFERROR(__xludf.DUMMYFUNCTION("""COMPUTED_VALUE"""),246.15)</f>
        <v>246.15</v>
      </c>
      <c r="C223" s="1">
        <f>IFERROR(__xludf.DUMMYFUNCTION("""COMPUTED_VALUE"""),247.1)</f>
        <v>247.1</v>
      </c>
      <c r="D223" s="1">
        <f>IFERROR(__xludf.DUMMYFUNCTION("""COMPUTED_VALUE"""),246.12)</f>
        <v>246.12</v>
      </c>
      <c r="E223" s="1">
        <f>IFERROR(__xludf.DUMMYFUNCTION("""COMPUTED_VALUE"""),247.08)</f>
        <v>247.08</v>
      </c>
      <c r="F223" s="1">
        <f>IFERROR(__xludf.DUMMYFUNCTION("""COMPUTED_VALUE"""),1.8515624E7)</f>
        <v>18515624</v>
      </c>
    </row>
    <row r="224">
      <c r="A224" s="2">
        <f>IFERROR(__xludf.DUMMYFUNCTION("""COMPUTED_VALUE"""),31728.666666666668)</f>
        <v>31728.66667</v>
      </c>
      <c r="B224" s="1">
        <f>IFERROR(__xludf.DUMMYFUNCTION("""COMPUTED_VALUE"""),247.06)</f>
        <v>247.06</v>
      </c>
      <c r="C224" s="1">
        <f>IFERROR(__xludf.DUMMYFUNCTION("""COMPUTED_VALUE"""),247.67)</f>
        <v>247.67</v>
      </c>
      <c r="D224" s="1">
        <f>IFERROR(__xludf.DUMMYFUNCTION("""COMPUTED_VALUE"""),245.68)</f>
        <v>245.68</v>
      </c>
      <c r="E224" s="1">
        <f>IFERROR(__xludf.DUMMYFUNCTION("""COMPUTED_VALUE"""),246.64)</f>
        <v>246.64</v>
      </c>
      <c r="F224" s="1">
        <f>IFERROR(__xludf.DUMMYFUNCTION("""COMPUTED_VALUE"""),2.534375E7)</f>
        <v>25343750</v>
      </c>
    </row>
    <row r="225">
      <c r="A225" s="2">
        <f>IFERROR(__xludf.DUMMYFUNCTION("""COMPUTED_VALUE"""),31729.666666666668)</f>
        <v>31729.66667</v>
      </c>
      <c r="B225" s="1">
        <f>IFERROR(__xludf.DUMMYFUNCTION("""COMPUTED_VALUE"""),246.63)</f>
        <v>246.63</v>
      </c>
      <c r="C225" s="1">
        <f>IFERROR(__xludf.DUMMYFUNCTION("""COMPUTED_VALUE"""),246.66)</f>
        <v>246.66</v>
      </c>
      <c r="D225" s="1">
        <f>IFERROR(__xludf.DUMMYFUNCTION("""COMPUTED_VALUE"""),242.98)</f>
        <v>242.98</v>
      </c>
      <c r="E225" s="1">
        <f>IFERROR(__xludf.DUMMYFUNCTION("""COMPUTED_VALUE"""),243.02)</f>
        <v>243.02</v>
      </c>
      <c r="F225" s="1">
        <f>IFERROR(__xludf.DUMMYFUNCTION("""COMPUTED_VALUE"""),2.5625E7)</f>
        <v>25625000</v>
      </c>
    </row>
    <row r="226">
      <c r="A226" s="2">
        <f>IFERROR(__xludf.DUMMYFUNCTION("""COMPUTED_VALUE"""),31730.666666666668)</f>
        <v>31730.66667</v>
      </c>
      <c r="B226" s="1">
        <f>IFERROR(__xludf.DUMMYFUNCTION("""COMPUTED_VALUE"""),243.01)</f>
        <v>243.01</v>
      </c>
      <c r="C226" s="1">
        <f>IFERROR(__xludf.DUMMYFUNCTION("""COMPUTED_VALUE"""),244.51)</f>
        <v>244.51</v>
      </c>
      <c r="D226" s="1">
        <f>IFERROR(__xludf.DUMMYFUNCTION("""COMPUTED_VALUE"""),241.96)</f>
        <v>241.96</v>
      </c>
      <c r="E226" s="1">
        <f>IFERROR(__xludf.DUMMYFUNCTION("""COMPUTED_VALUE"""),244.5)</f>
        <v>244.5</v>
      </c>
      <c r="F226" s="1">
        <f>IFERROR(__xludf.DUMMYFUNCTION("""COMPUTED_VALUE"""),2.6890624E7)</f>
        <v>26890624</v>
      </c>
    </row>
    <row r="227">
      <c r="A227" s="2">
        <f>IFERROR(__xludf.DUMMYFUNCTION("""COMPUTED_VALUE"""),31733.666666666668)</f>
        <v>31733.66667</v>
      </c>
      <c r="B227" s="1">
        <f>IFERROR(__xludf.DUMMYFUNCTION("""COMPUTED_VALUE"""),244.5)</f>
        <v>244.5</v>
      </c>
      <c r="C227" s="1">
        <f>IFERROR(__xludf.DUMMYFUNCTION("""COMPUTED_VALUE"""),244.8)</f>
        <v>244.8</v>
      </c>
      <c r="D227" s="1">
        <f>IFERROR(__xludf.DUMMYFUNCTION("""COMPUTED_VALUE"""),242.29)</f>
        <v>242.29</v>
      </c>
      <c r="E227" s="1">
        <f>IFERROR(__xludf.DUMMYFUNCTION("""COMPUTED_VALUE"""),243.21)</f>
        <v>243.21</v>
      </c>
      <c r="F227" s="1">
        <f>IFERROR(__xludf.DUMMYFUNCTION("""COMPUTED_VALUE"""),2.0828124E7)</f>
        <v>20828124</v>
      </c>
    </row>
    <row r="228">
      <c r="A228" s="2">
        <f>IFERROR(__xludf.DUMMYFUNCTION("""COMPUTED_VALUE"""),31734.666666666668)</f>
        <v>31734.66667</v>
      </c>
      <c r="B228" s="1">
        <f>IFERROR(__xludf.DUMMYFUNCTION("""COMPUTED_VALUE"""),243.2)</f>
        <v>243.2</v>
      </c>
      <c r="C228" s="1">
        <f>IFERROR(__xludf.DUMMYFUNCTION("""COMPUTED_VALUE"""),243.23)</f>
        <v>243.23</v>
      </c>
      <c r="D228" s="1">
        <f>IFERROR(__xludf.DUMMYFUNCTION("""COMPUTED_VALUE"""),236.65)</f>
        <v>236.65</v>
      </c>
      <c r="E228" s="1">
        <f>IFERROR(__xludf.DUMMYFUNCTION("""COMPUTED_VALUE"""),236.78)</f>
        <v>236.78</v>
      </c>
      <c r="F228" s="1">
        <f>IFERROR(__xludf.DUMMYFUNCTION("""COMPUTED_VALUE"""),2.8953124E7)</f>
        <v>28953124</v>
      </c>
    </row>
    <row r="229">
      <c r="A229" s="2">
        <f>IFERROR(__xludf.DUMMYFUNCTION("""COMPUTED_VALUE"""),31735.666666666668)</f>
        <v>31735.66667</v>
      </c>
      <c r="B229" s="1">
        <f>IFERROR(__xludf.DUMMYFUNCTION("""COMPUTED_VALUE"""),236.77)</f>
        <v>236.77</v>
      </c>
      <c r="C229" s="1">
        <f>IFERROR(__xludf.DUMMYFUNCTION("""COMPUTED_VALUE"""),237.94)</f>
        <v>237.94</v>
      </c>
      <c r="D229" s="1">
        <f>IFERROR(__xludf.DUMMYFUNCTION("""COMPUTED_VALUE"""),235.51)</f>
        <v>235.51</v>
      </c>
      <c r="E229" s="1">
        <f>IFERROR(__xludf.DUMMYFUNCTION("""COMPUTED_VALUE"""),237.66)</f>
        <v>237.66</v>
      </c>
      <c r="F229" s="1">
        <f>IFERROR(__xludf.DUMMYFUNCTION("""COMPUTED_VALUE"""),2.8640624E7)</f>
        <v>28640624</v>
      </c>
    </row>
    <row r="230">
      <c r="A230" s="2">
        <f>IFERROR(__xludf.DUMMYFUNCTION("""COMPUTED_VALUE"""),31736.666666666668)</f>
        <v>31736.66667</v>
      </c>
      <c r="B230" s="1">
        <f>IFERROR(__xludf.DUMMYFUNCTION("""COMPUTED_VALUE"""),237.66)</f>
        <v>237.66</v>
      </c>
      <c r="C230" s="1">
        <f>IFERROR(__xludf.DUMMYFUNCTION("""COMPUTED_VALUE"""),242.05)</f>
        <v>242.05</v>
      </c>
      <c r="D230" s="1">
        <f>IFERROR(__xludf.DUMMYFUNCTION("""COMPUTED_VALUE"""),237.66)</f>
        <v>237.66</v>
      </c>
      <c r="E230" s="1">
        <f>IFERROR(__xludf.DUMMYFUNCTION("""COMPUTED_VALUE"""),242.05)</f>
        <v>242.05</v>
      </c>
      <c r="F230" s="1">
        <f>IFERROR(__xludf.DUMMYFUNCTION("""COMPUTED_VALUE"""),2.4703124E7)</f>
        <v>24703124</v>
      </c>
    </row>
    <row r="231">
      <c r="A231" s="2">
        <f>IFERROR(__xludf.DUMMYFUNCTION("""COMPUTED_VALUE"""),31737.666666666668)</f>
        <v>31737.66667</v>
      </c>
      <c r="B231" s="1">
        <f>IFERROR(__xludf.DUMMYFUNCTION("""COMPUTED_VALUE"""),242.03)</f>
        <v>242.03</v>
      </c>
      <c r="C231" s="1">
        <f>IFERROR(__xludf.DUMMYFUNCTION("""COMPUTED_VALUE"""),246.38)</f>
        <v>246.38</v>
      </c>
      <c r="D231" s="1">
        <f>IFERROR(__xludf.DUMMYFUNCTION("""COMPUTED_VALUE"""),241.97)</f>
        <v>241.97</v>
      </c>
      <c r="E231" s="1">
        <f>IFERROR(__xludf.DUMMYFUNCTION("""COMPUTED_VALUE"""),245.86)</f>
        <v>245.86</v>
      </c>
      <c r="F231" s="1">
        <f>IFERROR(__xludf.DUMMYFUNCTION("""COMPUTED_VALUE"""),3.1359376E7)</f>
        <v>31359376</v>
      </c>
    </row>
    <row r="232">
      <c r="A232" s="2">
        <f>IFERROR(__xludf.DUMMYFUNCTION("""COMPUTED_VALUE"""),31740.666666666668)</f>
        <v>31740.66667</v>
      </c>
      <c r="B232" s="1">
        <f>IFERROR(__xludf.DUMMYFUNCTION("""COMPUTED_VALUE"""),245.86)</f>
        <v>245.86</v>
      </c>
      <c r="C232" s="1">
        <f>IFERROR(__xludf.DUMMYFUNCTION("""COMPUTED_VALUE"""),248.0)</f>
        <v>248</v>
      </c>
      <c r="D232" s="1">
        <f>IFERROR(__xludf.DUMMYFUNCTION("""COMPUTED_VALUE"""),245.21)</f>
        <v>245.21</v>
      </c>
      <c r="E232" s="1">
        <f>IFERROR(__xludf.DUMMYFUNCTION("""COMPUTED_VALUE"""),247.45)</f>
        <v>247.45</v>
      </c>
      <c r="F232" s="1">
        <f>IFERROR(__xludf.DUMMYFUNCTION("""COMPUTED_VALUE"""),2.35625E7)</f>
        <v>23562500</v>
      </c>
    </row>
    <row r="233">
      <c r="A233" s="2">
        <f>IFERROR(__xludf.DUMMYFUNCTION("""COMPUTED_VALUE"""),31741.666666666668)</f>
        <v>31741.66667</v>
      </c>
      <c r="B233" s="1">
        <f>IFERROR(__xludf.DUMMYFUNCTION("""COMPUTED_VALUE"""),247.44)</f>
        <v>247.44</v>
      </c>
      <c r="C233" s="1">
        <f>IFERROR(__xludf.DUMMYFUNCTION("""COMPUTED_VALUE"""),248.18)</f>
        <v>248.18</v>
      </c>
      <c r="D233" s="1">
        <f>IFERROR(__xludf.DUMMYFUNCTION("""COMPUTED_VALUE"""),246.3)</f>
        <v>246.3</v>
      </c>
      <c r="E233" s="1">
        <f>IFERROR(__xludf.DUMMYFUNCTION("""COMPUTED_VALUE"""),248.17)</f>
        <v>248.17</v>
      </c>
      <c r="F233" s="1">
        <f>IFERROR(__xludf.DUMMYFUNCTION("""COMPUTED_VALUE"""),2.415625E7)</f>
        <v>24156250</v>
      </c>
    </row>
    <row r="234">
      <c r="A234" s="2">
        <f>IFERROR(__xludf.DUMMYFUNCTION("""COMPUTED_VALUE"""),31742.666666666668)</f>
        <v>31742.66667</v>
      </c>
      <c r="B234" s="1">
        <f>IFERROR(__xludf.DUMMYFUNCTION("""COMPUTED_VALUE"""),248.14)</f>
        <v>248.14</v>
      </c>
      <c r="C234" s="1">
        <f>IFERROR(__xludf.DUMMYFUNCTION("""COMPUTED_VALUE"""),248.9)</f>
        <v>248.9</v>
      </c>
      <c r="D234" s="1">
        <f>IFERROR(__xludf.DUMMYFUNCTION("""COMPUTED_VALUE"""),247.73)</f>
        <v>247.73</v>
      </c>
      <c r="E234" s="1">
        <f>IFERROR(__xludf.DUMMYFUNCTION("""COMPUTED_VALUE"""),248.77)</f>
        <v>248.77</v>
      </c>
      <c r="F234" s="1">
        <f>IFERROR(__xludf.DUMMYFUNCTION("""COMPUTED_VALUE"""),2.375E7)</f>
        <v>23750000</v>
      </c>
    </row>
    <row r="235">
      <c r="A235" s="2">
        <f>IFERROR(__xludf.DUMMYFUNCTION("""COMPUTED_VALUE"""),31744.666666666668)</f>
        <v>31744.66667</v>
      </c>
      <c r="B235" s="1">
        <f>IFERROR(__xludf.DUMMYFUNCTION("""COMPUTED_VALUE"""),248.82)</f>
        <v>248.82</v>
      </c>
      <c r="C235" s="1">
        <f>IFERROR(__xludf.DUMMYFUNCTION("""COMPUTED_VALUE"""),249.22)</f>
        <v>249.22</v>
      </c>
      <c r="D235" s="1">
        <f>IFERROR(__xludf.DUMMYFUNCTION("""COMPUTED_VALUE"""),248.07)</f>
        <v>248.07</v>
      </c>
      <c r="E235" s="1">
        <f>IFERROR(__xludf.DUMMYFUNCTION("""COMPUTED_VALUE"""),249.22)</f>
        <v>249.22</v>
      </c>
      <c r="F235" s="1">
        <f>IFERROR(__xludf.DUMMYFUNCTION("""COMPUTED_VALUE"""),1.4614062E7)</f>
        <v>14614062</v>
      </c>
    </row>
    <row r="236">
      <c r="A236" s="2">
        <f>IFERROR(__xludf.DUMMYFUNCTION("""COMPUTED_VALUE"""),31747.666666666668)</f>
        <v>31747.66667</v>
      </c>
      <c r="B236" s="1">
        <f>IFERROR(__xludf.DUMMYFUNCTION("""COMPUTED_VALUE"""),249.22)</f>
        <v>249.22</v>
      </c>
      <c r="C236" s="1">
        <f>IFERROR(__xludf.DUMMYFUNCTION("""COMPUTED_VALUE"""),249.22)</f>
        <v>249.22</v>
      </c>
      <c r="D236" s="1">
        <f>IFERROR(__xludf.DUMMYFUNCTION("""COMPUTED_VALUE"""),245.72)</f>
        <v>245.72</v>
      </c>
      <c r="E236" s="1">
        <f>IFERROR(__xludf.DUMMYFUNCTION("""COMPUTED_VALUE"""),249.05)</f>
        <v>249.05</v>
      </c>
      <c r="F236" s="1">
        <f>IFERROR(__xludf.DUMMYFUNCTION("""COMPUTED_VALUE"""),2.090625E7)</f>
        <v>20906250</v>
      </c>
    </row>
    <row r="237">
      <c r="A237" s="2">
        <f>IFERROR(__xludf.DUMMYFUNCTION("""COMPUTED_VALUE"""),31748.666666666668)</f>
        <v>31748.66667</v>
      </c>
      <c r="B237" s="1">
        <f>IFERROR(__xludf.DUMMYFUNCTION("""COMPUTED_VALUE"""),249.06)</f>
        <v>249.06</v>
      </c>
      <c r="C237" s="1">
        <f>IFERROR(__xludf.DUMMYFUNCTION("""COMPUTED_VALUE"""),254.0)</f>
        <v>254</v>
      </c>
      <c r="D237" s="1">
        <f>IFERROR(__xludf.DUMMYFUNCTION("""COMPUTED_VALUE"""),249.05)</f>
        <v>249.05</v>
      </c>
      <c r="E237" s="1">
        <f>IFERROR(__xludf.DUMMYFUNCTION("""COMPUTED_VALUE"""),254.0)</f>
        <v>254</v>
      </c>
      <c r="F237" s="1">
        <f>IFERROR(__xludf.DUMMYFUNCTION("""COMPUTED_VALUE"""),3.6E7)</f>
        <v>36000000</v>
      </c>
    </row>
    <row r="238">
      <c r="A238" s="2">
        <f>IFERROR(__xludf.DUMMYFUNCTION("""COMPUTED_VALUE"""),31749.666666666668)</f>
        <v>31749.66667</v>
      </c>
      <c r="B238" s="1">
        <f>IFERROR(__xludf.DUMMYFUNCTION("""COMPUTED_VALUE"""),254.0)</f>
        <v>254</v>
      </c>
      <c r="C238" s="1">
        <f>IFERROR(__xludf.DUMMYFUNCTION("""COMPUTED_VALUE"""),254.87)</f>
        <v>254.87</v>
      </c>
      <c r="D238" s="1">
        <f>IFERROR(__xludf.DUMMYFUNCTION("""COMPUTED_VALUE"""),253.24)</f>
        <v>253.24</v>
      </c>
      <c r="E238" s="1">
        <f>IFERROR(__xludf.DUMMYFUNCTION("""COMPUTED_VALUE"""),253.85)</f>
        <v>253.85</v>
      </c>
      <c r="F238" s="1">
        <f>IFERROR(__xludf.DUMMYFUNCTION("""COMPUTED_VALUE"""),3.1265624E7)</f>
        <v>31265624</v>
      </c>
    </row>
    <row r="239">
      <c r="A239" s="2">
        <f>IFERROR(__xludf.DUMMYFUNCTION("""COMPUTED_VALUE"""),31750.666666666668)</f>
        <v>31750.66667</v>
      </c>
      <c r="B239" s="1">
        <f>IFERROR(__xludf.DUMMYFUNCTION("""COMPUTED_VALUE"""),253.85)</f>
        <v>253.85</v>
      </c>
      <c r="C239" s="1">
        <f>IFERROR(__xludf.DUMMYFUNCTION("""COMPUTED_VALUE"""),254.42)</f>
        <v>254.42</v>
      </c>
      <c r="D239" s="1">
        <f>IFERROR(__xludf.DUMMYFUNCTION("""COMPUTED_VALUE"""),252.88)</f>
        <v>252.88</v>
      </c>
      <c r="E239" s="1">
        <f>IFERROR(__xludf.DUMMYFUNCTION("""COMPUTED_VALUE"""),253.04)</f>
        <v>253.04</v>
      </c>
      <c r="F239" s="1">
        <f>IFERROR(__xludf.DUMMYFUNCTION("""COMPUTED_VALUE"""),2.4515624E7)</f>
        <v>24515624</v>
      </c>
    </row>
    <row r="240">
      <c r="A240" s="2">
        <f>IFERROR(__xludf.DUMMYFUNCTION("""COMPUTED_VALUE"""),31751.666666666668)</f>
        <v>31751.66667</v>
      </c>
      <c r="B240" s="1">
        <f>IFERROR(__xludf.DUMMYFUNCTION("""COMPUTED_VALUE"""),253.05)</f>
        <v>253.05</v>
      </c>
      <c r="C240" s="1">
        <f>IFERROR(__xludf.DUMMYFUNCTION("""COMPUTED_VALUE"""),253.89)</f>
        <v>253.89</v>
      </c>
      <c r="D240" s="1">
        <f>IFERROR(__xludf.DUMMYFUNCTION("""COMPUTED_VALUE"""),250.71)</f>
        <v>250.71</v>
      </c>
      <c r="E240" s="1">
        <f>IFERROR(__xludf.DUMMYFUNCTION("""COMPUTED_VALUE"""),251.17)</f>
        <v>251.17</v>
      </c>
      <c r="F240" s="1">
        <f>IFERROR(__xludf.DUMMYFUNCTION("""COMPUTED_VALUE"""),2.184375E7)</f>
        <v>21843750</v>
      </c>
    </row>
    <row r="241">
      <c r="A241" s="2">
        <f>IFERROR(__xludf.DUMMYFUNCTION("""COMPUTED_VALUE"""),31754.666666666668)</f>
        <v>31754.66667</v>
      </c>
      <c r="B241" s="1">
        <f>IFERROR(__xludf.DUMMYFUNCTION("""COMPUTED_VALUE"""),251.16)</f>
        <v>251.16</v>
      </c>
      <c r="C241" s="1">
        <f>IFERROR(__xludf.DUMMYFUNCTION("""COMPUTED_VALUE"""),252.36)</f>
        <v>252.36</v>
      </c>
      <c r="D241" s="1">
        <f>IFERROR(__xludf.DUMMYFUNCTION("""COMPUTED_VALUE"""),248.82)</f>
        <v>248.82</v>
      </c>
      <c r="E241" s="1">
        <f>IFERROR(__xludf.DUMMYFUNCTION("""COMPUTED_VALUE"""),251.16)</f>
        <v>251.16</v>
      </c>
      <c r="F241" s="1">
        <f>IFERROR(__xludf.DUMMYFUNCTION("""COMPUTED_VALUE"""),2.484375E7)</f>
        <v>24843750</v>
      </c>
    </row>
    <row r="242">
      <c r="A242" s="2">
        <f>IFERROR(__xludf.DUMMYFUNCTION("""COMPUTED_VALUE"""),31755.666666666668)</f>
        <v>31755.66667</v>
      </c>
      <c r="B242" s="1">
        <f>IFERROR(__xludf.DUMMYFUNCTION("""COMPUTED_VALUE"""),251.16)</f>
        <v>251.16</v>
      </c>
      <c r="C242" s="1">
        <f>IFERROR(__xludf.DUMMYFUNCTION("""COMPUTED_VALUE"""),251.27)</f>
        <v>251.27</v>
      </c>
      <c r="D242" s="1">
        <f>IFERROR(__xludf.DUMMYFUNCTION("""COMPUTED_VALUE"""),249.25)</f>
        <v>249.25</v>
      </c>
      <c r="E242" s="1">
        <f>IFERROR(__xludf.DUMMYFUNCTION("""COMPUTED_VALUE"""),249.28)</f>
        <v>249.28</v>
      </c>
      <c r="F242" s="1">
        <f>IFERROR(__xludf.DUMMYFUNCTION("""COMPUTED_VALUE"""),2.0109376E7)</f>
        <v>20109376</v>
      </c>
    </row>
    <row r="243">
      <c r="A243" s="2">
        <f>IFERROR(__xludf.DUMMYFUNCTION("""COMPUTED_VALUE"""),31756.666666666668)</f>
        <v>31756.66667</v>
      </c>
      <c r="B243" s="1">
        <f>IFERROR(__xludf.DUMMYFUNCTION("""COMPUTED_VALUE"""),249.28)</f>
        <v>249.28</v>
      </c>
      <c r="C243" s="1">
        <f>IFERROR(__xludf.DUMMYFUNCTION("""COMPUTED_VALUE"""),251.53)</f>
        <v>251.53</v>
      </c>
      <c r="D243" s="1">
        <f>IFERROR(__xludf.DUMMYFUNCTION("""COMPUTED_VALUE"""),248.94)</f>
        <v>248.94</v>
      </c>
      <c r="E243" s="1">
        <f>IFERROR(__xludf.DUMMYFUNCTION("""COMPUTED_VALUE"""),250.96)</f>
        <v>250.96</v>
      </c>
      <c r="F243" s="1">
        <f>IFERROR(__xludf.DUMMYFUNCTION("""COMPUTED_VALUE"""),2.1828124E7)</f>
        <v>21828124</v>
      </c>
    </row>
    <row r="244">
      <c r="A244" s="2">
        <f>IFERROR(__xludf.DUMMYFUNCTION("""COMPUTED_VALUE"""),31757.666666666668)</f>
        <v>31757.66667</v>
      </c>
      <c r="B244" s="1">
        <f>IFERROR(__xludf.DUMMYFUNCTION("""COMPUTED_VALUE"""),250.97)</f>
        <v>250.97</v>
      </c>
      <c r="C244" s="1">
        <f>IFERROR(__xludf.DUMMYFUNCTION("""COMPUTED_VALUE"""),250.98)</f>
        <v>250.98</v>
      </c>
      <c r="D244" s="1">
        <f>IFERROR(__xludf.DUMMYFUNCTION("""COMPUTED_VALUE"""),247.15)</f>
        <v>247.15</v>
      </c>
      <c r="E244" s="1">
        <f>IFERROR(__xludf.DUMMYFUNCTION("""COMPUTED_VALUE"""),248.17)</f>
        <v>248.17</v>
      </c>
      <c r="F244" s="1">
        <f>IFERROR(__xludf.DUMMYFUNCTION("""COMPUTED_VALUE"""),2.125E7)</f>
        <v>21250000</v>
      </c>
    </row>
    <row r="245">
      <c r="A245" s="2">
        <f>IFERROR(__xludf.DUMMYFUNCTION("""COMPUTED_VALUE"""),31758.666666666668)</f>
        <v>31758.66667</v>
      </c>
      <c r="B245" s="1">
        <f>IFERROR(__xludf.DUMMYFUNCTION("""COMPUTED_VALUE"""),248.17)</f>
        <v>248.17</v>
      </c>
      <c r="C245" s="1">
        <f>IFERROR(__xludf.DUMMYFUNCTION("""COMPUTED_VALUE"""),248.31)</f>
        <v>248.31</v>
      </c>
      <c r="D245" s="1">
        <f>IFERROR(__xludf.DUMMYFUNCTION("""COMPUTED_VALUE"""),247.02)</f>
        <v>247.02</v>
      </c>
      <c r="E245" s="1">
        <f>IFERROR(__xludf.DUMMYFUNCTION("""COMPUTED_VALUE"""),247.35)</f>
        <v>247.35</v>
      </c>
      <c r="F245" s="1">
        <f>IFERROR(__xludf.DUMMYFUNCTION("""COMPUTED_VALUE"""),1.978125E7)</f>
        <v>19781250</v>
      </c>
    </row>
    <row r="246">
      <c r="A246" s="2">
        <f>IFERROR(__xludf.DUMMYFUNCTION("""COMPUTED_VALUE"""),31761.666666666668)</f>
        <v>31761.66667</v>
      </c>
      <c r="B246" s="1">
        <f>IFERROR(__xludf.DUMMYFUNCTION("""COMPUTED_VALUE"""),247.31)</f>
        <v>247.31</v>
      </c>
      <c r="C246" s="1">
        <f>IFERROR(__xludf.DUMMYFUNCTION("""COMPUTED_VALUE"""),248.23)</f>
        <v>248.23</v>
      </c>
      <c r="D246" s="1">
        <f>IFERROR(__xludf.DUMMYFUNCTION("""COMPUTED_VALUE"""),244.92)</f>
        <v>244.92</v>
      </c>
      <c r="E246" s="1">
        <f>IFERROR(__xludf.DUMMYFUNCTION("""COMPUTED_VALUE"""),248.21)</f>
        <v>248.21</v>
      </c>
      <c r="F246" s="1">
        <f>IFERROR(__xludf.DUMMYFUNCTION("""COMPUTED_VALUE"""),2.315625E7)</f>
        <v>23156250</v>
      </c>
    </row>
    <row r="247">
      <c r="A247" s="2">
        <f>IFERROR(__xludf.DUMMYFUNCTION("""COMPUTED_VALUE"""),31762.666666666668)</f>
        <v>31762.66667</v>
      </c>
      <c r="B247" s="1">
        <f>IFERROR(__xludf.DUMMYFUNCTION("""COMPUTED_VALUE"""),248.21)</f>
        <v>248.21</v>
      </c>
      <c r="C247" s="1">
        <f>IFERROR(__xludf.DUMMYFUNCTION("""COMPUTED_VALUE"""),250.04)</f>
        <v>250.04</v>
      </c>
      <c r="D247" s="1">
        <f>IFERROR(__xludf.DUMMYFUNCTION("""COMPUTED_VALUE"""),247.4)</f>
        <v>247.4</v>
      </c>
      <c r="E247" s="1">
        <f>IFERROR(__xludf.DUMMYFUNCTION("""COMPUTED_VALUE"""),250.04)</f>
        <v>250.04</v>
      </c>
      <c r="F247" s="1">
        <f>IFERROR(__xludf.DUMMYFUNCTION("""COMPUTED_VALUE"""),2.453125E7)</f>
        <v>24531250</v>
      </c>
    </row>
    <row r="248">
      <c r="A248" s="2">
        <f>IFERROR(__xludf.DUMMYFUNCTION("""COMPUTED_VALUE"""),31763.666666666668)</f>
        <v>31763.66667</v>
      </c>
      <c r="B248" s="1">
        <f>IFERROR(__xludf.DUMMYFUNCTION("""COMPUTED_VALUE"""),250.01)</f>
        <v>250.01</v>
      </c>
      <c r="C248" s="1">
        <f>IFERROR(__xludf.DUMMYFUNCTION("""COMPUTED_VALUE"""),250.04)</f>
        <v>250.04</v>
      </c>
      <c r="D248" s="1">
        <f>IFERROR(__xludf.DUMMYFUNCTION("""COMPUTED_VALUE"""),247.19)</f>
        <v>247.19</v>
      </c>
      <c r="E248" s="1">
        <f>IFERROR(__xludf.DUMMYFUNCTION("""COMPUTED_VALUE"""),247.56)</f>
        <v>247.56</v>
      </c>
      <c r="F248" s="1">
        <f>IFERROR(__xludf.DUMMYFUNCTION("""COMPUTED_VALUE"""),2.325E7)</f>
        <v>23250000</v>
      </c>
    </row>
    <row r="249">
      <c r="A249" s="2">
        <f>IFERROR(__xludf.DUMMYFUNCTION("""COMPUTED_VALUE"""),31764.666666666668)</f>
        <v>31764.66667</v>
      </c>
      <c r="B249" s="1">
        <f>IFERROR(__xludf.DUMMYFUNCTION("""COMPUTED_VALUE"""),247.56)</f>
        <v>247.56</v>
      </c>
      <c r="C249" s="1">
        <f>IFERROR(__xludf.DUMMYFUNCTION("""COMPUTED_VALUE"""),247.81)</f>
        <v>247.81</v>
      </c>
      <c r="D249" s="1">
        <f>IFERROR(__xludf.DUMMYFUNCTION("""COMPUTED_VALUE"""),246.45)</f>
        <v>246.45</v>
      </c>
      <c r="E249" s="1">
        <f>IFERROR(__xludf.DUMMYFUNCTION("""COMPUTED_VALUE"""),246.78)</f>
        <v>246.78</v>
      </c>
      <c r="F249" s="1">
        <f>IFERROR(__xludf.DUMMYFUNCTION("""COMPUTED_VALUE"""),2.428125E7)</f>
        <v>24281250</v>
      </c>
    </row>
    <row r="250">
      <c r="A250" s="2">
        <f>IFERROR(__xludf.DUMMYFUNCTION("""COMPUTED_VALUE"""),31765.666666666668)</f>
        <v>31765.66667</v>
      </c>
      <c r="B250" s="1">
        <f>IFERROR(__xludf.DUMMYFUNCTION("""COMPUTED_VALUE"""),246.79)</f>
        <v>246.79</v>
      </c>
      <c r="C250" s="1">
        <f>IFERROR(__xludf.DUMMYFUNCTION("""COMPUTED_VALUE"""),249.96)</f>
        <v>249.96</v>
      </c>
      <c r="D250" s="1">
        <f>IFERROR(__xludf.DUMMYFUNCTION("""COMPUTED_VALUE"""),245.89)</f>
        <v>245.89</v>
      </c>
      <c r="E250" s="1">
        <f>IFERROR(__xludf.DUMMYFUNCTION("""COMPUTED_VALUE"""),249.73)</f>
        <v>249.73</v>
      </c>
      <c r="F250" s="1">
        <f>IFERROR(__xludf.DUMMYFUNCTION("""COMPUTED_VALUE"""),3.8234376E7)</f>
        <v>38234376</v>
      </c>
    </row>
    <row r="251">
      <c r="A251" s="2">
        <f>IFERROR(__xludf.DUMMYFUNCTION("""COMPUTED_VALUE"""),31768.666666666668)</f>
        <v>31768.66667</v>
      </c>
      <c r="B251" s="1">
        <f>IFERROR(__xludf.DUMMYFUNCTION("""COMPUTED_VALUE"""),249.73)</f>
        <v>249.73</v>
      </c>
      <c r="C251" s="1">
        <f>IFERROR(__xludf.DUMMYFUNCTION("""COMPUTED_VALUE"""),249.73)</f>
        <v>249.73</v>
      </c>
      <c r="D251" s="1">
        <f>IFERROR(__xludf.DUMMYFUNCTION("""COMPUTED_VALUE"""),247.45)</f>
        <v>247.45</v>
      </c>
      <c r="E251" s="1">
        <f>IFERROR(__xludf.DUMMYFUNCTION("""COMPUTED_VALUE"""),248.75)</f>
        <v>248.75</v>
      </c>
      <c r="F251" s="1">
        <f>IFERROR(__xludf.DUMMYFUNCTION("""COMPUTED_VALUE"""),2.4625E7)</f>
        <v>24625000</v>
      </c>
    </row>
    <row r="252">
      <c r="A252" s="2">
        <f>IFERROR(__xludf.DUMMYFUNCTION("""COMPUTED_VALUE"""),31769.666666666668)</f>
        <v>31769.66667</v>
      </c>
      <c r="B252" s="1">
        <f>IFERROR(__xludf.DUMMYFUNCTION("""COMPUTED_VALUE"""),248.75)</f>
        <v>248.75</v>
      </c>
      <c r="C252" s="1">
        <f>IFERROR(__xludf.DUMMYFUNCTION("""COMPUTED_VALUE"""),248.75)</f>
        <v>248.75</v>
      </c>
      <c r="D252" s="1">
        <f>IFERROR(__xludf.DUMMYFUNCTION("""COMPUTED_VALUE"""),245.85)</f>
        <v>245.85</v>
      </c>
      <c r="E252" s="1">
        <f>IFERROR(__xludf.DUMMYFUNCTION("""COMPUTED_VALUE"""),246.34)</f>
        <v>246.34</v>
      </c>
      <c r="F252" s="1">
        <f>IFERROR(__xludf.DUMMYFUNCTION("""COMPUTED_VALUE"""),2.9484376E7)</f>
        <v>29484376</v>
      </c>
    </row>
    <row r="253">
      <c r="A253" s="2">
        <f>IFERROR(__xludf.DUMMYFUNCTION("""COMPUTED_VALUE"""),31770.666666666668)</f>
        <v>31770.66667</v>
      </c>
      <c r="B253" s="1">
        <f>IFERROR(__xludf.DUMMYFUNCTION("""COMPUTED_VALUE"""),246.34)</f>
        <v>246.34</v>
      </c>
      <c r="C253" s="1">
        <f>IFERROR(__xludf.DUMMYFUNCTION("""COMPUTED_VALUE"""),247.22)</f>
        <v>247.22</v>
      </c>
      <c r="D253" s="1">
        <f>IFERROR(__xludf.DUMMYFUNCTION("""COMPUTED_VALUE"""),246.02)</f>
        <v>246.02</v>
      </c>
      <c r="E253" s="1">
        <f>IFERROR(__xludf.DUMMYFUNCTION("""COMPUTED_VALUE"""),246.75)</f>
        <v>246.75</v>
      </c>
      <c r="F253" s="1">
        <f>IFERROR(__xludf.DUMMYFUNCTION("""COMPUTED_VALUE"""),1.4907812E7)</f>
        <v>14907812</v>
      </c>
    </row>
    <row r="254">
      <c r="A254" s="2">
        <f>IFERROR(__xludf.DUMMYFUNCTION("""COMPUTED_VALUE"""),31772.666666666668)</f>
        <v>31772.66667</v>
      </c>
      <c r="B254" s="1">
        <f>IFERROR(__xludf.DUMMYFUNCTION("""COMPUTED_VALUE"""),246.75)</f>
        <v>246.75</v>
      </c>
      <c r="C254" s="1">
        <f>IFERROR(__xludf.DUMMYFUNCTION("""COMPUTED_VALUE"""),247.09)</f>
        <v>247.09</v>
      </c>
      <c r="D254" s="1">
        <f>IFERROR(__xludf.DUMMYFUNCTION("""COMPUTED_VALUE"""),246.73)</f>
        <v>246.73</v>
      </c>
      <c r="E254" s="1">
        <f>IFERROR(__xludf.DUMMYFUNCTION("""COMPUTED_VALUE"""),246.92)</f>
        <v>246.92</v>
      </c>
      <c r="F254" s="1">
        <f>IFERROR(__xludf.DUMMYFUNCTION("""COMPUTED_VALUE"""),7634375.0)</f>
        <v>7634375</v>
      </c>
    </row>
    <row r="255">
      <c r="A255" s="2">
        <f>IFERROR(__xludf.DUMMYFUNCTION("""COMPUTED_VALUE"""),31775.666666666668)</f>
        <v>31775.66667</v>
      </c>
      <c r="B255" s="1">
        <f>IFERROR(__xludf.DUMMYFUNCTION("""COMPUTED_VALUE"""),246.9)</f>
        <v>246.9</v>
      </c>
      <c r="C255" s="1">
        <f>IFERROR(__xludf.DUMMYFUNCTION("""COMPUTED_VALUE"""),246.92)</f>
        <v>246.92</v>
      </c>
      <c r="D255" s="1">
        <f>IFERROR(__xludf.DUMMYFUNCTION("""COMPUTED_VALUE"""),244.31)</f>
        <v>244.31</v>
      </c>
      <c r="E255" s="1">
        <f>IFERROR(__xludf.DUMMYFUNCTION("""COMPUTED_VALUE"""),244.67)</f>
        <v>244.67</v>
      </c>
      <c r="F255" s="1">
        <f>IFERROR(__xludf.DUMMYFUNCTION("""COMPUTED_VALUE"""),1.559375E7)</f>
        <v>15593750</v>
      </c>
    </row>
    <row r="256">
      <c r="A256" s="2">
        <f>IFERROR(__xludf.DUMMYFUNCTION("""COMPUTED_VALUE"""),31776.666666666668)</f>
        <v>31776.66667</v>
      </c>
      <c r="B256" s="1">
        <f>IFERROR(__xludf.DUMMYFUNCTION("""COMPUTED_VALUE"""),244.66)</f>
        <v>244.66</v>
      </c>
      <c r="C256" s="1">
        <f>IFERROR(__xludf.DUMMYFUNCTION("""COMPUTED_VALUE"""),244.67)</f>
        <v>244.67</v>
      </c>
      <c r="D256" s="1">
        <f>IFERROR(__xludf.DUMMYFUNCTION("""COMPUTED_VALUE"""),243.04)</f>
        <v>243.04</v>
      </c>
      <c r="E256" s="1">
        <f>IFERROR(__xludf.DUMMYFUNCTION("""COMPUTED_VALUE"""),243.37)</f>
        <v>243.37</v>
      </c>
      <c r="F256" s="1">
        <f>IFERROR(__xludf.DUMMYFUNCTION("""COMPUTED_VALUE"""),1.971875E7)</f>
        <v>19718750</v>
      </c>
    </row>
    <row r="257">
      <c r="A257" s="2">
        <f>IFERROR(__xludf.DUMMYFUNCTION("""COMPUTED_VALUE"""),31777.666666666668)</f>
        <v>31777.66667</v>
      </c>
      <c r="B257" s="1">
        <f>IFERROR(__xludf.DUMMYFUNCTION("""COMPUTED_VALUE"""),243.37)</f>
        <v>243.37</v>
      </c>
      <c r="C257" s="1">
        <f>IFERROR(__xludf.DUMMYFUNCTION("""COMPUTED_VALUE"""),244.03)</f>
        <v>244.03</v>
      </c>
      <c r="D257" s="1">
        <f>IFERROR(__xludf.DUMMYFUNCTION("""COMPUTED_VALUE"""),241.28)</f>
        <v>241.28</v>
      </c>
      <c r="E257" s="1">
        <f>IFERROR(__xludf.DUMMYFUNCTION("""COMPUTED_VALUE"""),242.17)</f>
        <v>242.17</v>
      </c>
      <c r="F257" s="1">
        <f>IFERROR(__xludf.DUMMYFUNCTION("""COMPUTED_VALUE"""),2.175E7)</f>
        <v>21750000</v>
      </c>
    </row>
    <row r="258">
      <c r="A258" s="2">
        <f>IFERROR(__xludf.DUMMYFUNCTION("""COMPUTED_VALUE"""),31779.666666666668)</f>
        <v>31779.66667</v>
      </c>
      <c r="B258" s="1">
        <f>IFERROR(__xludf.DUMMYFUNCTION("""COMPUTED_VALUE"""),242.17)</f>
        <v>242.17</v>
      </c>
      <c r="C258" s="1">
        <f>IFERROR(__xludf.DUMMYFUNCTION("""COMPUTED_VALUE"""),246.45)</f>
        <v>246.45</v>
      </c>
      <c r="D258" s="1">
        <f>IFERROR(__xludf.DUMMYFUNCTION("""COMPUTED_VALUE"""),242.17)</f>
        <v>242.17</v>
      </c>
      <c r="E258" s="1">
        <f>IFERROR(__xludf.DUMMYFUNCTION("""COMPUTED_VALUE"""),246.45)</f>
        <v>246.45</v>
      </c>
      <c r="F258" s="1">
        <f>IFERROR(__xludf.DUMMYFUNCTION("""COMPUTED_VALUE"""),1.435625E7)</f>
        <v>14356250</v>
      </c>
    </row>
    <row r="259">
      <c r="A259" s="2">
        <f>IFERROR(__xludf.DUMMYFUNCTION("""COMPUTED_VALUE"""),31782.666666666668)</f>
        <v>31782.66667</v>
      </c>
      <c r="B259" s="1">
        <f>IFERROR(__xludf.DUMMYFUNCTION("""COMPUTED_VALUE"""),246.45)</f>
        <v>246.45</v>
      </c>
      <c r="C259" s="1">
        <f>IFERROR(__xludf.DUMMYFUNCTION("""COMPUTED_VALUE"""),252.57)</f>
        <v>252.57</v>
      </c>
      <c r="D259" s="1">
        <f>IFERROR(__xludf.DUMMYFUNCTION("""COMPUTED_VALUE"""),246.45)</f>
        <v>246.45</v>
      </c>
      <c r="E259" s="1">
        <f>IFERROR(__xludf.DUMMYFUNCTION("""COMPUTED_VALUE"""),252.19)</f>
        <v>252.19</v>
      </c>
      <c r="F259" s="1">
        <f>IFERROR(__xludf.DUMMYFUNCTION("""COMPUTED_VALUE"""),2.8421876E7)</f>
        <v>28421876</v>
      </c>
    </row>
    <row r="260">
      <c r="A260" s="2">
        <f>IFERROR(__xludf.DUMMYFUNCTION("""COMPUTED_VALUE"""),31783.666666666668)</f>
        <v>31783.66667</v>
      </c>
      <c r="B260" s="1">
        <f>IFERROR(__xludf.DUMMYFUNCTION("""COMPUTED_VALUE"""),252.2)</f>
        <v>252.2</v>
      </c>
      <c r="C260" s="1">
        <f>IFERROR(__xludf.DUMMYFUNCTION("""COMPUTED_VALUE"""),253.99)</f>
        <v>253.99</v>
      </c>
      <c r="D260" s="1">
        <f>IFERROR(__xludf.DUMMYFUNCTION("""COMPUTED_VALUE"""),252.14)</f>
        <v>252.14</v>
      </c>
      <c r="E260" s="1">
        <f>IFERROR(__xludf.DUMMYFUNCTION("""COMPUTED_VALUE"""),252.78)</f>
        <v>252.78</v>
      </c>
      <c r="F260" s="1">
        <f>IFERROR(__xludf.DUMMYFUNCTION("""COMPUTED_VALUE"""),2.9578124E7)</f>
        <v>29578124</v>
      </c>
    </row>
    <row r="261">
      <c r="A261" s="2">
        <f>IFERROR(__xludf.DUMMYFUNCTION("""COMPUTED_VALUE"""),31784.666666666668)</f>
        <v>31784.66667</v>
      </c>
      <c r="B261" s="1">
        <f>IFERROR(__xludf.DUMMYFUNCTION("""COMPUTED_VALUE"""),252.78)</f>
        <v>252.78</v>
      </c>
      <c r="C261" s="1">
        <f>IFERROR(__xludf.DUMMYFUNCTION("""COMPUTED_VALUE"""),255.72)</f>
        <v>255.72</v>
      </c>
      <c r="D261" s="1">
        <f>IFERROR(__xludf.DUMMYFUNCTION("""COMPUTED_VALUE"""),252.65)</f>
        <v>252.65</v>
      </c>
      <c r="E261" s="1">
        <f>IFERROR(__xludf.DUMMYFUNCTION("""COMPUTED_VALUE"""),255.33)</f>
        <v>255.33</v>
      </c>
      <c r="F261" s="1">
        <f>IFERROR(__xludf.DUMMYFUNCTION("""COMPUTED_VALUE"""),2.9828124E7)</f>
        <v>29828124</v>
      </c>
    </row>
    <row r="262">
      <c r="A262" s="2">
        <f>IFERROR(__xludf.DUMMYFUNCTION("""COMPUTED_VALUE"""),31785.666666666668)</f>
        <v>31785.66667</v>
      </c>
      <c r="B262" s="1">
        <f>IFERROR(__xludf.DUMMYFUNCTION("""COMPUTED_VALUE"""),255.36)</f>
        <v>255.36</v>
      </c>
      <c r="C262" s="1">
        <f>IFERROR(__xludf.DUMMYFUNCTION("""COMPUTED_VALUE"""),257.28)</f>
        <v>257.28</v>
      </c>
      <c r="D262" s="1">
        <f>IFERROR(__xludf.DUMMYFUNCTION("""COMPUTED_VALUE"""),254.97)</f>
        <v>254.97</v>
      </c>
      <c r="E262" s="1">
        <f>IFERROR(__xludf.DUMMYFUNCTION("""COMPUTED_VALUE"""),257.28)</f>
        <v>257.28</v>
      </c>
      <c r="F262" s="1">
        <f>IFERROR(__xludf.DUMMYFUNCTION("""COMPUTED_VALUE"""),3.0390624E7)</f>
        <v>30390624</v>
      </c>
    </row>
    <row r="263">
      <c r="A263" s="2">
        <f>IFERROR(__xludf.DUMMYFUNCTION("""COMPUTED_VALUE"""),31786.666666666668)</f>
        <v>31786.66667</v>
      </c>
      <c r="B263" s="1">
        <f>IFERROR(__xludf.DUMMYFUNCTION("""COMPUTED_VALUE"""),257.26)</f>
        <v>257.26</v>
      </c>
      <c r="C263" s="1">
        <f>IFERROR(__xludf.DUMMYFUNCTION("""COMPUTED_VALUE"""),259.2)</f>
        <v>259.2</v>
      </c>
      <c r="D263" s="1">
        <f>IFERROR(__xludf.DUMMYFUNCTION("""COMPUTED_VALUE"""),256.11)</f>
        <v>256.11</v>
      </c>
      <c r="E263" s="1">
        <f>IFERROR(__xludf.DUMMYFUNCTION("""COMPUTED_VALUE"""),258.73)</f>
        <v>258.73</v>
      </c>
      <c r="F263" s="1">
        <f>IFERROR(__xludf.DUMMYFUNCTION("""COMPUTED_VALUE"""),3.015625E7)</f>
        <v>30156250</v>
      </c>
    </row>
    <row r="264">
      <c r="A264" s="2">
        <f>IFERROR(__xludf.DUMMYFUNCTION("""COMPUTED_VALUE"""),31789.666666666668)</f>
        <v>31789.66667</v>
      </c>
      <c r="B264" s="1">
        <f>IFERROR(__xludf.DUMMYFUNCTION("""COMPUTED_VALUE"""),258.72)</f>
        <v>258.72</v>
      </c>
      <c r="C264" s="1">
        <f>IFERROR(__xludf.DUMMYFUNCTION("""COMPUTED_VALUE"""),261.36)</f>
        <v>261.36</v>
      </c>
      <c r="D264" s="1">
        <f>IFERROR(__xludf.DUMMYFUNCTION("""COMPUTED_VALUE"""),257.92)</f>
        <v>257.92</v>
      </c>
      <c r="E264" s="1">
        <f>IFERROR(__xludf.DUMMYFUNCTION("""COMPUTED_VALUE"""),260.3)</f>
        <v>260.3</v>
      </c>
      <c r="F264" s="1">
        <f>IFERROR(__xludf.DUMMYFUNCTION("""COMPUTED_VALUE"""),2.878125E7)</f>
        <v>28781250</v>
      </c>
    </row>
    <row r="265">
      <c r="A265" s="2">
        <f>IFERROR(__xludf.DUMMYFUNCTION("""COMPUTED_VALUE"""),31790.666666666668)</f>
        <v>31790.66667</v>
      </c>
      <c r="B265" s="1">
        <f>IFERROR(__xludf.DUMMYFUNCTION("""COMPUTED_VALUE"""),260.3)</f>
        <v>260.3</v>
      </c>
      <c r="C265" s="1">
        <f>IFERROR(__xludf.DUMMYFUNCTION("""COMPUTED_VALUE"""),260.45)</f>
        <v>260.45</v>
      </c>
      <c r="D265" s="1">
        <f>IFERROR(__xludf.DUMMYFUNCTION("""COMPUTED_VALUE"""),259.21)</f>
        <v>259.21</v>
      </c>
      <c r="E265" s="1">
        <f>IFERROR(__xludf.DUMMYFUNCTION("""COMPUTED_VALUE"""),259.95)</f>
        <v>259.95</v>
      </c>
      <c r="F265" s="1">
        <f>IFERROR(__xludf.DUMMYFUNCTION("""COMPUTED_VALUE"""),2.6703124E7)</f>
        <v>26703124</v>
      </c>
    </row>
    <row r="266">
      <c r="A266" s="2">
        <f>IFERROR(__xludf.DUMMYFUNCTION("""COMPUTED_VALUE"""),31791.666666666668)</f>
        <v>31791.66667</v>
      </c>
      <c r="B266" s="1">
        <f>IFERROR(__xludf.DUMMYFUNCTION("""COMPUTED_VALUE"""),259.95)</f>
        <v>259.95</v>
      </c>
      <c r="C266" s="1">
        <f>IFERROR(__xludf.DUMMYFUNCTION("""COMPUTED_VALUE"""),262.72)</f>
        <v>262.72</v>
      </c>
      <c r="D266" s="1">
        <f>IFERROR(__xludf.DUMMYFUNCTION("""COMPUTED_VALUE"""),259.62)</f>
        <v>259.62</v>
      </c>
      <c r="E266" s="1">
        <f>IFERROR(__xludf.DUMMYFUNCTION("""COMPUTED_VALUE"""),262.64)</f>
        <v>262.64</v>
      </c>
      <c r="F266" s="1">
        <f>IFERROR(__xludf.DUMMYFUNCTION("""COMPUTED_VALUE"""),3.346875E7)</f>
        <v>33468750</v>
      </c>
    </row>
    <row r="267">
      <c r="A267" s="2">
        <f>IFERROR(__xludf.DUMMYFUNCTION("""COMPUTED_VALUE"""),31792.666666666668)</f>
        <v>31792.66667</v>
      </c>
      <c r="B267" s="1">
        <f>IFERROR(__xludf.DUMMYFUNCTION("""COMPUTED_VALUE"""),262.65)</f>
        <v>262.65</v>
      </c>
      <c r="C267" s="1">
        <f>IFERROR(__xludf.DUMMYFUNCTION("""COMPUTED_VALUE"""),266.68)</f>
        <v>266.68</v>
      </c>
      <c r="D267" s="1">
        <f>IFERROR(__xludf.DUMMYFUNCTION("""COMPUTED_VALUE"""),262.64)</f>
        <v>262.64</v>
      </c>
      <c r="E267" s="1">
        <f>IFERROR(__xludf.DUMMYFUNCTION("""COMPUTED_VALUE"""),265.49)</f>
        <v>265.49</v>
      </c>
      <c r="F267" s="1">
        <f>IFERROR(__xludf.DUMMYFUNCTION("""COMPUTED_VALUE"""),3.9546876E7)</f>
        <v>39546876</v>
      </c>
    </row>
    <row r="268">
      <c r="A268" s="2">
        <f>IFERROR(__xludf.DUMMYFUNCTION("""COMPUTED_VALUE"""),31793.666666666668)</f>
        <v>31793.66667</v>
      </c>
      <c r="B268" s="1">
        <f>IFERROR(__xludf.DUMMYFUNCTION("""COMPUTED_VALUE"""),265.46)</f>
        <v>265.46</v>
      </c>
      <c r="C268" s="1">
        <f>IFERROR(__xludf.DUMMYFUNCTION("""COMPUTED_VALUE"""),267.24)</f>
        <v>267.24</v>
      </c>
      <c r="D268" s="1">
        <f>IFERROR(__xludf.DUMMYFUNCTION("""COMPUTED_VALUE"""),264.31)</f>
        <v>264.31</v>
      </c>
      <c r="E268" s="1">
        <f>IFERROR(__xludf.DUMMYFUNCTION("""COMPUTED_VALUE"""),266.28)</f>
        <v>266.28</v>
      </c>
      <c r="F268" s="1">
        <f>IFERROR(__xludf.DUMMYFUNCTION("""COMPUTED_VALUE"""),3.4125E7)</f>
        <v>34125000</v>
      </c>
    </row>
    <row r="269">
      <c r="A269" s="2">
        <f>IFERROR(__xludf.DUMMYFUNCTION("""COMPUTED_VALUE"""),31796.666666666668)</f>
        <v>31796.66667</v>
      </c>
      <c r="B269" s="1">
        <f>IFERROR(__xludf.DUMMYFUNCTION("""COMPUTED_VALUE"""),266.26)</f>
        <v>266.26</v>
      </c>
      <c r="C269" s="1">
        <f>IFERROR(__xludf.DUMMYFUNCTION("""COMPUTED_VALUE"""),269.34)</f>
        <v>269.34</v>
      </c>
      <c r="D269" s="1">
        <f>IFERROR(__xludf.DUMMYFUNCTION("""COMPUTED_VALUE"""),264.0)</f>
        <v>264</v>
      </c>
      <c r="E269" s="1">
        <f>IFERROR(__xludf.DUMMYFUNCTION("""COMPUTED_VALUE"""),269.34)</f>
        <v>269.34</v>
      </c>
      <c r="F269" s="1">
        <f>IFERROR(__xludf.DUMMYFUNCTION("""COMPUTED_VALUE"""),2.54375E7)</f>
        <v>25437500</v>
      </c>
    </row>
    <row r="270">
      <c r="A270" s="2">
        <f>IFERROR(__xludf.DUMMYFUNCTION("""COMPUTED_VALUE"""),31797.666666666668)</f>
        <v>31797.66667</v>
      </c>
      <c r="B270" s="1">
        <f>IFERROR(__xludf.DUMMYFUNCTION("""COMPUTED_VALUE"""),269.34)</f>
        <v>269.34</v>
      </c>
      <c r="C270" s="1">
        <f>IFERROR(__xludf.DUMMYFUNCTION("""COMPUTED_VALUE"""),271.03)</f>
        <v>271.03</v>
      </c>
      <c r="D270" s="1">
        <f>IFERROR(__xludf.DUMMYFUNCTION("""COMPUTED_VALUE"""),267.65)</f>
        <v>267.65</v>
      </c>
      <c r="E270" s="1">
        <f>IFERROR(__xludf.DUMMYFUNCTION("""COMPUTED_VALUE"""),269.04)</f>
        <v>269.04</v>
      </c>
      <c r="F270" s="1">
        <f>IFERROR(__xludf.DUMMYFUNCTION("""COMPUTED_VALUE"""),3.5125E7)</f>
        <v>35125000</v>
      </c>
    </row>
    <row r="271">
      <c r="A271" s="2">
        <f>IFERROR(__xludf.DUMMYFUNCTION("""COMPUTED_VALUE"""),31798.666666666668)</f>
        <v>31798.66667</v>
      </c>
      <c r="B271" s="1">
        <f>IFERROR(__xludf.DUMMYFUNCTION("""COMPUTED_VALUE"""),269.04)</f>
        <v>269.04</v>
      </c>
      <c r="C271" s="1">
        <f>IFERROR(__xludf.DUMMYFUNCTION("""COMPUTED_VALUE"""),270.87)</f>
        <v>270.87</v>
      </c>
      <c r="D271" s="1">
        <f>IFERROR(__xludf.DUMMYFUNCTION("""COMPUTED_VALUE"""),267.35)</f>
        <v>267.35</v>
      </c>
      <c r="E271" s="1">
        <f>IFERROR(__xludf.DUMMYFUNCTION("""COMPUTED_VALUE"""),267.84)</f>
        <v>267.84</v>
      </c>
      <c r="F271" s="1">
        <f>IFERROR(__xludf.DUMMYFUNCTION("""COMPUTED_VALUE"""),2.878125E7)</f>
        <v>28781250</v>
      </c>
    </row>
    <row r="272">
      <c r="A272" s="2">
        <f>IFERROR(__xludf.DUMMYFUNCTION("""COMPUTED_VALUE"""),31799.666666666668)</f>
        <v>31799.66667</v>
      </c>
      <c r="B272" s="1">
        <f>IFERROR(__xludf.DUMMYFUNCTION("""COMPUTED_VALUE"""),267.84)</f>
        <v>267.84</v>
      </c>
      <c r="C272" s="1">
        <f>IFERROR(__xludf.DUMMYFUNCTION("""COMPUTED_VALUE"""),274.05)</f>
        <v>274.05</v>
      </c>
      <c r="D272" s="1">
        <f>IFERROR(__xludf.DUMMYFUNCTION("""COMPUTED_VALUE"""),267.32)</f>
        <v>267.32</v>
      </c>
      <c r="E272" s="1">
        <f>IFERROR(__xludf.DUMMYFUNCTION("""COMPUTED_VALUE"""),273.91)</f>
        <v>273.91</v>
      </c>
      <c r="F272" s="1">
        <f>IFERROR(__xludf.DUMMYFUNCTION("""COMPUTED_VALUE"""),2.9484376E7)</f>
        <v>29484376</v>
      </c>
    </row>
    <row r="273">
      <c r="A273" s="2">
        <f>IFERROR(__xludf.DUMMYFUNCTION("""COMPUTED_VALUE"""),31800.666666666668)</f>
        <v>31800.66667</v>
      </c>
      <c r="B273" s="1">
        <f>IFERROR(__xludf.DUMMYFUNCTION("""COMPUTED_VALUE"""),273.91)</f>
        <v>273.91</v>
      </c>
      <c r="C273" s="1">
        <f>IFERROR(__xludf.DUMMYFUNCTION("""COMPUTED_VALUE"""),280.96)</f>
        <v>280.96</v>
      </c>
      <c r="D273" s="1">
        <f>IFERROR(__xludf.DUMMYFUNCTION("""COMPUTED_VALUE"""),268.41)</f>
        <v>268.41</v>
      </c>
      <c r="E273" s="1">
        <f>IFERROR(__xludf.DUMMYFUNCTION("""COMPUTED_VALUE"""),270.1)</f>
        <v>270.1</v>
      </c>
      <c r="F273" s="1">
        <f>IFERROR(__xludf.DUMMYFUNCTION("""COMPUTED_VALUE"""),4.725E7)</f>
        <v>47250000</v>
      </c>
    </row>
    <row r="274">
      <c r="A274" s="2">
        <f>IFERROR(__xludf.DUMMYFUNCTION("""COMPUTED_VALUE"""),31803.666666666668)</f>
        <v>31803.66667</v>
      </c>
      <c r="B274" s="1">
        <f>IFERROR(__xludf.DUMMYFUNCTION("""COMPUTED_VALUE"""),270.1)</f>
        <v>270.1</v>
      </c>
      <c r="C274" s="1">
        <f>IFERROR(__xludf.DUMMYFUNCTION("""COMPUTED_VALUE"""),270.4)</f>
        <v>270.4</v>
      </c>
      <c r="D274" s="1">
        <f>IFERROR(__xludf.DUMMYFUNCTION("""COMPUTED_VALUE"""),267.73)</f>
        <v>267.73</v>
      </c>
      <c r="E274" s="1">
        <f>IFERROR(__xludf.DUMMYFUNCTION("""COMPUTED_VALUE"""),269.61)</f>
        <v>269.61</v>
      </c>
      <c r="F274" s="1">
        <f>IFERROR(__xludf.DUMMYFUNCTION("""COMPUTED_VALUE"""),2.1703124E7)</f>
        <v>21703124</v>
      </c>
    </row>
    <row r="275">
      <c r="A275" s="2">
        <f>IFERROR(__xludf.DUMMYFUNCTION("""COMPUTED_VALUE"""),31804.666666666668)</f>
        <v>31804.66667</v>
      </c>
      <c r="B275" s="1">
        <f>IFERROR(__xludf.DUMMYFUNCTION("""COMPUTED_VALUE"""),269.61)</f>
        <v>269.61</v>
      </c>
      <c r="C275" s="1">
        <f>IFERROR(__xludf.DUMMYFUNCTION("""COMPUTED_VALUE"""),274.31)</f>
        <v>274.31</v>
      </c>
      <c r="D275" s="1">
        <f>IFERROR(__xludf.DUMMYFUNCTION("""COMPUTED_VALUE"""),269.61)</f>
        <v>269.61</v>
      </c>
      <c r="E275" s="1">
        <f>IFERROR(__xludf.DUMMYFUNCTION("""COMPUTED_VALUE"""),273.75)</f>
        <v>273.75</v>
      </c>
      <c r="F275" s="1">
        <f>IFERROR(__xludf.DUMMYFUNCTION("""COMPUTED_VALUE"""),3.0046876E7)</f>
        <v>30046876</v>
      </c>
    </row>
    <row r="276">
      <c r="A276" s="2">
        <f>IFERROR(__xludf.DUMMYFUNCTION("""COMPUTED_VALUE"""),31805.666666666668)</f>
        <v>31805.66667</v>
      </c>
      <c r="B276" s="1">
        <f>IFERROR(__xludf.DUMMYFUNCTION("""COMPUTED_VALUE"""),273.75)</f>
        <v>273.75</v>
      </c>
      <c r="C276" s="1">
        <f>IFERROR(__xludf.DUMMYFUNCTION("""COMPUTED_VALUE"""),275.71)</f>
        <v>275.71</v>
      </c>
      <c r="D276" s="1">
        <f>IFERROR(__xludf.DUMMYFUNCTION("""COMPUTED_VALUE"""),273.03)</f>
        <v>273.03</v>
      </c>
      <c r="E276" s="1">
        <f>IFERROR(__xludf.DUMMYFUNCTION("""COMPUTED_VALUE"""),275.4)</f>
        <v>275.4</v>
      </c>
      <c r="F276" s="1">
        <f>IFERROR(__xludf.DUMMYFUNCTION("""COMPUTED_VALUE"""),3.059375E7)</f>
        <v>30593750</v>
      </c>
    </row>
    <row r="277">
      <c r="A277" s="2">
        <f>IFERROR(__xludf.DUMMYFUNCTION("""COMPUTED_VALUE"""),31806.666666666668)</f>
        <v>31806.66667</v>
      </c>
      <c r="B277" s="1">
        <f>IFERROR(__xludf.DUMMYFUNCTION("""COMPUTED_VALUE"""),275.4)</f>
        <v>275.4</v>
      </c>
      <c r="C277" s="1">
        <f>IFERROR(__xludf.DUMMYFUNCTION("""COMPUTED_VALUE"""),276.85)</f>
        <v>276.85</v>
      </c>
      <c r="D277" s="1">
        <f>IFERROR(__xludf.DUMMYFUNCTION("""COMPUTED_VALUE"""),272.54)</f>
        <v>272.54</v>
      </c>
      <c r="E277" s="1">
        <f>IFERROR(__xludf.DUMMYFUNCTION("""COMPUTED_VALUE"""),274.24)</f>
        <v>274.24</v>
      </c>
      <c r="F277" s="1">
        <f>IFERROR(__xludf.DUMMYFUNCTION("""COMPUTED_VALUE"""),3.2078124E7)</f>
        <v>32078124</v>
      </c>
    </row>
    <row r="278">
      <c r="A278" s="2">
        <f>IFERROR(__xludf.DUMMYFUNCTION("""COMPUTED_VALUE"""),31807.666666666668)</f>
        <v>31807.66667</v>
      </c>
      <c r="B278" s="1">
        <f>IFERROR(__xludf.DUMMYFUNCTION("""COMPUTED_VALUE"""),274.24)</f>
        <v>274.24</v>
      </c>
      <c r="C278" s="1">
        <f>IFERROR(__xludf.DUMMYFUNCTION("""COMPUTED_VALUE"""),274.24)</f>
        <v>274.24</v>
      </c>
      <c r="D278" s="1">
        <f>IFERROR(__xludf.DUMMYFUNCTION("""COMPUTED_VALUE"""),271.38)</f>
        <v>271.38</v>
      </c>
      <c r="E278" s="1">
        <f>IFERROR(__xludf.DUMMYFUNCTION("""COMPUTED_VALUE"""),274.08)</f>
        <v>274.08</v>
      </c>
      <c r="F278" s="1">
        <f>IFERROR(__xludf.DUMMYFUNCTION("""COMPUTED_VALUE"""),2.553125E7)</f>
        <v>25531250</v>
      </c>
    </row>
    <row r="279">
      <c r="A279" s="2">
        <f>IFERROR(__xludf.DUMMYFUNCTION("""COMPUTED_VALUE"""),31810.666666666668)</f>
        <v>31810.66667</v>
      </c>
      <c r="B279" s="1">
        <f>IFERROR(__xludf.DUMMYFUNCTION("""COMPUTED_VALUE"""),274.08)</f>
        <v>274.08</v>
      </c>
      <c r="C279" s="1">
        <f>IFERROR(__xludf.DUMMYFUNCTION("""COMPUTED_VALUE"""),277.35)</f>
        <v>277.35</v>
      </c>
      <c r="D279" s="1">
        <f>IFERROR(__xludf.DUMMYFUNCTION("""COMPUTED_VALUE"""),273.16)</f>
        <v>273.16</v>
      </c>
      <c r="E279" s="1">
        <f>IFERROR(__xludf.DUMMYFUNCTION("""COMPUTED_VALUE"""),276.45)</f>
        <v>276.45</v>
      </c>
      <c r="F279" s="1">
        <f>IFERROR(__xludf.DUMMYFUNCTION("""COMPUTED_VALUE"""),2.771875E7)</f>
        <v>27718750</v>
      </c>
    </row>
    <row r="280">
      <c r="A280" s="2">
        <f>IFERROR(__xludf.DUMMYFUNCTION("""COMPUTED_VALUE"""),31811.666666666668)</f>
        <v>31811.66667</v>
      </c>
      <c r="B280" s="1">
        <f>IFERROR(__xludf.DUMMYFUNCTION("""COMPUTED_VALUE"""),276.45)</f>
        <v>276.45</v>
      </c>
      <c r="C280" s="1">
        <f>IFERROR(__xludf.DUMMYFUNCTION("""COMPUTED_VALUE"""),277.83)</f>
        <v>277.83</v>
      </c>
      <c r="D280" s="1">
        <f>IFERROR(__xludf.DUMMYFUNCTION("""COMPUTED_VALUE"""),275.84)</f>
        <v>275.84</v>
      </c>
      <c r="E280" s="1">
        <f>IFERROR(__xludf.DUMMYFUNCTION("""COMPUTED_VALUE"""),275.99)</f>
        <v>275.99</v>
      </c>
      <c r="F280" s="1">
        <f>IFERROR(__xludf.DUMMYFUNCTION("""COMPUTED_VALUE"""),3.0953124E7)</f>
        <v>30953124</v>
      </c>
    </row>
    <row r="281">
      <c r="A281" s="2">
        <f>IFERROR(__xludf.DUMMYFUNCTION("""COMPUTED_VALUE"""),31812.666666666668)</f>
        <v>31812.66667</v>
      </c>
      <c r="B281" s="1">
        <f>IFERROR(__xludf.DUMMYFUNCTION("""COMPUTED_VALUE"""),275.99)</f>
        <v>275.99</v>
      </c>
      <c r="C281" s="1">
        <f>IFERROR(__xludf.DUMMYFUNCTION("""COMPUTED_VALUE"""),279.65)</f>
        <v>279.65</v>
      </c>
      <c r="D281" s="1">
        <f>IFERROR(__xludf.DUMMYFUNCTION("""COMPUTED_VALUE"""),275.35)</f>
        <v>275.35</v>
      </c>
      <c r="E281" s="1">
        <f>IFERROR(__xludf.DUMMYFUNCTION("""COMPUTED_VALUE"""),279.64)</f>
        <v>279.64</v>
      </c>
      <c r="F281" s="1">
        <f>IFERROR(__xludf.DUMMYFUNCTION("""COMPUTED_VALUE"""),3.475E7)</f>
        <v>34750000</v>
      </c>
    </row>
    <row r="282">
      <c r="A282" s="2">
        <f>IFERROR(__xludf.DUMMYFUNCTION("""COMPUTED_VALUE"""),31813.666666666668)</f>
        <v>31813.66667</v>
      </c>
      <c r="B282" s="1">
        <f>IFERROR(__xludf.DUMMYFUNCTION("""COMPUTED_VALUE"""),279.64)</f>
        <v>279.64</v>
      </c>
      <c r="C282" s="1">
        <f>IFERROR(__xludf.DUMMYFUNCTION("""COMPUTED_VALUE"""),282.26)</f>
        <v>282.26</v>
      </c>
      <c r="D282" s="1">
        <f>IFERROR(__xludf.DUMMYFUNCTION("""COMPUTED_VALUE"""),278.66)</f>
        <v>278.66</v>
      </c>
      <c r="E282" s="1">
        <f>IFERROR(__xludf.DUMMYFUNCTION("""COMPUTED_VALUE"""),281.16)</f>
        <v>281.16</v>
      </c>
      <c r="F282" s="1">
        <f>IFERROR(__xludf.DUMMYFUNCTION("""COMPUTED_VALUE"""),4.0109376E7)</f>
        <v>40109376</v>
      </c>
    </row>
    <row r="283">
      <c r="A283" s="2">
        <f>IFERROR(__xludf.DUMMYFUNCTION("""COMPUTED_VALUE"""),31814.666666666668)</f>
        <v>31814.66667</v>
      </c>
      <c r="B283" s="1">
        <f>IFERROR(__xludf.DUMMYFUNCTION("""COMPUTED_VALUE"""),281.16)</f>
        <v>281.16</v>
      </c>
      <c r="C283" s="1">
        <f>IFERROR(__xludf.DUMMYFUNCTION("""COMPUTED_VALUE"""),281.79)</f>
        <v>281.79</v>
      </c>
      <c r="D283" s="1">
        <f>IFERROR(__xludf.DUMMYFUNCTION("""COMPUTED_VALUE"""),279.87)</f>
        <v>279.87</v>
      </c>
      <c r="E283" s="1">
        <f>IFERROR(__xludf.DUMMYFUNCTION("""COMPUTED_VALUE"""),280.04)</f>
        <v>280.04</v>
      </c>
      <c r="F283" s="1">
        <f>IFERROR(__xludf.DUMMYFUNCTION("""COMPUTED_VALUE"""),2.8765624E7)</f>
        <v>28765624</v>
      </c>
    </row>
    <row r="284">
      <c r="A284" s="2">
        <f>IFERROR(__xludf.DUMMYFUNCTION("""COMPUTED_VALUE"""),31817.666666666668)</f>
        <v>31817.66667</v>
      </c>
      <c r="B284" s="1">
        <f>IFERROR(__xludf.DUMMYFUNCTION("""COMPUTED_VALUE"""),280.04)</f>
        <v>280.04</v>
      </c>
      <c r="C284" s="1">
        <f>IFERROR(__xludf.DUMMYFUNCTION("""COMPUTED_VALUE"""),280.04)</f>
        <v>280.04</v>
      </c>
      <c r="D284" s="1">
        <f>IFERROR(__xludf.DUMMYFUNCTION("""COMPUTED_VALUE"""),277.24)</f>
        <v>277.24</v>
      </c>
      <c r="E284" s="1">
        <f>IFERROR(__xludf.DUMMYFUNCTION("""COMPUTED_VALUE"""),278.16)</f>
        <v>278.16</v>
      </c>
      <c r="F284" s="1">
        <f>IFERROR(__xludf.DUMMYFUNCTION("""COMPUTED_VALUE"""),2.2390624E7)</f>
        <v>22390624</v>
      </c>
    </row>
    <row r="285">
      <c r="A285" s="2">
        <f>IFERROR(__xludf.DUMMYFUNCTION("""COMPUTED_VALUE"""),31818.666666666668)</f>
        <v>31818.66667</v>
      </c>
      <c r="B285" s="1">
        <f>IFERROR(__xludf.DUMMYFUNCTION("""COMPUTED_VALUE"""),278.16)</f>
        <v>278.16</v>
      </c>
      <c r="C285" s="1">
        <f>IFERROR(__xludf.DUMMYFUNCTION("""COMPUTED_VALUE"""),278.16)</f>
        <v>278.16</v>
      </c>
      <c r="D285" s="1">
        <f>IFERROR(__xludf.DUMMYFUNCTION("""COMPUTED_VALUE"""),273.49)</f>
        <v>273.49</v>
      </c>
      <c r="E285" s="1">
        <f>IFERROR(__xludf.DUMMYFUNCTION("""COMPUTED_VALUE"""),275.07)</f>
        <v>275.07</v>
      </c>
      <c r="F285" s="1">
        <f>IFERROR(__xludf.DUMMYFUNCTION("""COMPUTED_VALUE"""),2.6296876E7)</f>
        <v>26296876</v>
      </c>
    </row>
    <row r="286">
      <c r="A286" s="2">
        <f>IFERROR(__xludf.DUMMYFUNCTION("""COMPUTED_VALUE"""),31819.666666666668)</f>
        <v>31819.66667</v>
      </c>
      <c r="B286" s="1">
        <f>IFERROR(__xludf.DUMMYFUNCTION("""COMPUTED_VALUE"""),275.07)</f>
        <v>275.07</v>
      </c>
      <c r="C286" s="1">
        <f>IFERROR(__xludf.DUMMYFUNCTION("""COMPUTED_VALUE"""),277.71)</f>
        <v>277.71</v>
      </c>
      <c r="D286" s="1">
        <f>IFERROR(__xludf.DUMMYFUNCTION("""COMPUTED_VALUE"""),274.71)</f>
        <v>274.71</v>
      </c>
      <c r="E286" s="1">
        <f>IFERROR(__xludf.DUMMYFUNCTION("""COMPUTED_VALUE"""),277.54)</f>
        <v>277.54</v>
      </c>
      <c r="F286" s="1">
        <f>IFERROR(__xludf.DUMMYFUNCTION("""COMPUTED_VALUE"""),2.69375E7)</f>
        <v>26937500</v>
      </c>
    </row>
    <row r="287">
      <c r="A287" s="2">
        <f>IFERROR(__xludf.DUMMYFUNCTION("""COMPUTED_VALUE"""),31820.666666666668)</f>
        <v>31820.66667</v>
      </c>
      <c r="B287" s="1">
        <f>IFERROR(__xludf.DUMMYFUNCTION("""COMPUTED_VALUE"""),277.54)</f>
        <v>277.54</v>
      </c>
      <c r="C287" s="1">
        <f>IFERROR(__xludf.DUMMYFUNCTION("""COMPUTED_VALUE"""),278.04)</f>
        <v>278.04</v>
      </c>
      <c r="D287" s="1">
        <f>IFERROR(__xludf.DUMMYFUNCTION("""COMPUTED_VALUE"""),273.89)</f>
        <v>273.89</v>
      </c>
      <c r="E287" s="1">
        <f>IFERROR(__xludf.DUMMYFUNCTION("""COMPUTED_VALUE"""),275.62)</f>
        <v>275.62</v>
      </c>
      <c r="F287" s="1">
        <f>IFERROR(__xludf.DUMMYFUNCTION("""COMPUTED_VALUE"""),3.13125E7)</f>
        <v>31312500</v>
      </c>
    </row>
    <row r="288">
      <c r="A288" s="2">
        <f>IFERROR(__xludf.DUMMYFUNCTION("""COMPUTED_VALUE"""),31821.666666666668)</f>
        <v>31821.66667</v>
      </c>
      <c r="B288" s="1">
        <f>IFERROR(__xludf.DUMMYFUNCTION("""COMPUTED_VALUE"""),275.62)</f>
        <v>275.62</v>
      </c>
      <c r="C288" s="1">
        <f>IFERROR(__xludf.DUMMYFUNCTION("""COMPUTED_VALUE"""),280.91)</f>
        <v>280.91</v>
      </c>
      <c r="D288" s="1">
        <f>IFERROR(__xludf.DUMMYFUNCTION("""COMPUTED_VALUE"""),275.01)</f>
        <v>275.01</v>
      </c>
      <c r="E288" s="1">
        <f>IFERROR(__xludf.DUMMYFUNCTION("""COMPUTED_VALUE"""),279.7)</f>
        <v>279.7</v>
      </c>
      <c r="F288" s="1">
        <f>IFERROR(__xludf.DUMMYFUNCTION("""COMPUTED_VALUE"""),2.88125E7)</f>
        <v>28812500</v>
      </c>
    </row>
    <row r="289">
      <c r="A289" s="2">
        <f>IFERROR(__xludf.DUMMYFUNCTION("""COMPUTED_VALUE"""),31825.666666666668)</f>
        <v>31825.66667</v>
      </c>
      <c r="B289" s="1">
        <f>IFERROR(__xludf.DUMMYFUNCTION("""COMPUTED_VALUE"""),279.7)</f>
        <v>279.7</v>
      </c>
      <c r="C289" s="1">
        <f>IFERROR(__xludf.DUMMYFUNCTION("""COMPUTED_VALUE"""),285.49)</f>
        <v>285.49</v>
      </c>
      <c r="D289" s="1">
        <f>IFERROR(__xludf.DUMMYFUNCTION("""COMPUTED_VALUE"""),279.7)</f>
        <v>279.7</v>
      </c>
      <c r="E289" s="1">
        <f>IFERROR(__xludf.DUMMYFUNCTION("""COMPUTED_VALUE"""),285.49)</f>
        <v>285.49</v>
      </c>
      <c r="F289" s="1">
        <f>IFERROR(__xludf.DUMMYFUNCTION("""COMPUTED_VALUE"""),2.934375E7)</f>
        <v>29343750</v>
      </c>
    </row>
    <row r="290">
      <c r="A290" s="2">
        <f>IFERROR(__xludf.DUMMYFUNCTION("""COMPUTED_VALUE"""),31826.666666666668)</f>
        <v>31826.66667</v>
      </c>
      <c r="B290" s="1">
        <f>IFERROR(__xludf.DUMMYFUNCTION("""COMPUTED_VALUE"""),285.49)</f>
        <v>285.49</v>
      </c>
      <c r="C290" s="1">
        <f>IFERROR(__xludf.DUMMYFUNCTION("""COMPUTED_VALUE"""),287.55)</f>
        <v>287.55</v>
      </c>
      <c r="D290" s="1">
        <f>IFERROR(__xludf.DUMMYFUNCTION("""COMPUTED_VALUE"""),282.97)</f>
        <v>282.97</v>
      </c>
      <c r="E290" s="1">
        <f>IFERROR(__xludf.DUMMYFUNCTION("""COMPUTED_VALUE"""),285.42)</f>
        <v>285.42</v>
      </c>
      <c r="F290" s="1">
        <f>IFERROR(__xludf.DUMMYFUNCTION("""COMPUTED_VALUE"""),3.4093752E7)</f>
        <v>34093752</v>
      </c>
    </row>
    <row r="291">
      <c r="A291" s="2">
        <f>IFERROR(__xludf.DUMMYFUNCTION("""COMPUTED_VALUE"""),31827.666666666668)</f>
        <v>31827.66667</v>
      </c>
      <c r="B291" s="1">
        <f>IFERROR(__xludf.DUMMYFUNCTION("""COMPUTED_VALUE"""),285.42)</f>
        <v>285.42</v>
      </c>
      <c r="C291" s="1">
        <f>IFERROR(__xludf.DUMMYFUNCTION("""COMPUTED_VALUE"""),286.24)</f>
        <v>286.24</v>
      </c>
      <c r="D291" s="1">
        <f>IFERROR(__xludf.DUMMYFUNCTION("""COMPUTED_VALUE"""),283.84)</f>
        <v>283.84</v>
      </c>
      <c r="E291" s="1">
        <f>IFERROR(__xludf.DUMMYFUNCTION("""COMPUTED_VALUE"""),285.57)</f>
        <v>285.57</v>
      </c>
      <c r="F291" s="1">
        <f>IFERROR(__xludf.DUMMYFUNCTION("""COMPUTED_VALUE"""),2.8359376E7)</f>
        <v>28359376</v>
      </c>
    </row>
    <row r="292">
      <c r="A292" s="2">
        <f>IFERROR(__xludf.DUMMYFUNCTION("""COMPUTED_VALUE"""),31828.666666666668)</f>
        <v>31828.66667</v>
      </c>
      <c r="B292" s="1">
        <f>IFERROR(__xludf.DUMMYFUNCTION("""COMPUTED_VALUE"""),285.57)</f>
        <v>285.57</v>
      </c>
      <c r="C292" s="1">
        <f>IFERROR(__xludf.DUMMYFUNCTION("""COMPUTED_VALUE"""),285.98)</f>
        <v>285.98</v>
      </c>
      <c r="D292" s="1">
        <f>IFERROR(__xludf.DUMMYFUNCTION("""COMPUTED_VALUE"""),284.31)</f>
        <v>284.31</v>
      </c>
      <c r="E292" s="1">
        <f>IFERROR(__xludf.DUMMYFUNCTION("""COMPUTED_VALUE"""),285.48)</f>
        <v>285.48</v>
      </c>
      <c r="F292" s="1">
        <f>IFERROR(__xludf.DUMMYFUNCTION("""COMPUTED_VALUE"""),2.746875E7)</f>
        <v>27468750</v>
      </c>
    </row>
    <row r="293">
      <c r="A293" s="2">
        <f>IFERROR(__xludf.DUMMYFUNCTION("""COMPUTED_VALUE"""),31831.666666666668)</f>
        <v>31831.66667</v>
      </c>
      <c r="B293" s="1">
        <f>IFERROR(__xludf.DUMMYFUNCTION("""COMPUTED_VALUE"""),285.48)</f>
        <v>285.48</v>
      </c>
      <c r="C293" s="1">
        <f>IFERROR(__xludf.DUMMYFUNCTION("""COMPUTED_VALUE"""),285.5)</f>
        <v>285.5</v>
      </c>
      <c r="D293" s="1">
        <f>IFERROR(__xludf.DUMMYFUNCTION("""COMPUTED_VALUE"""),279.37)</f>
        <v>279.37</v>
      </c>
      <c r="E293" s="1">
        <f>IFERROR(__xludf.DUMMYFUNCTION("""COMPUTED_VALUE"""),282.38)</f>
        <v>282.38</v>
      </c>
      <c r="F293" s="1">
        <f>IFERROR(__xludf.DUMMYFUNCTION("""COMPUTED_VALUE"""),2.6640624E7)</f>
        <v>26640624</v>
      </c>
    </row>
    <row r="294">
      <c r="A294" s="2">
        <f>IFERROR(__xludf.DUMMYFUNCTION("""COMPUTED_VALUE"""),31832.666666666668)</f>
        <v>31832.66667</v>
      </c>
      <c r="B294" s="1">
        <f>IFERROR(__xludf.DUMMYFUNCTION("""COMPUTED_VALUE"""),282.38)</f>
        <v>282.38</v>
      </c>
      <c r="C294" s="1">
        <f>IFERROR(__xludf.DUMMYFUNCTION("""COMPUTED_VALUE"""),283.33)</f>
        <v>283.33</v>
      </c>
      <c r="D294" s="1">
        <f>IFERROR(__xludf.DUMMYFUNCTION("""COMPUTED_VALUE"""),281.45)</f>
        <v>281.45</v>
      </c>
      <c r="E294" s="1">
        <f>IFERROR(__xludf.DUMMYFUNCTION("""COMPUTED_VALUE"""),282.88)</f>
        <v>282.88</v>
      </c>
      <c r="F294" s="1">
        <f>IFERROR(__xludf.DUMMYFUNCTION("""COMPUTED_VALUE"""),2.3640624E7)</f>
        <v>23640624</v>
      </c>
    </row>
    <row r="295">
      <c r="A295" s="2">
        <f>IFERROR(__xludf.DUMMYFUNCTION("""COMPUTED_VALUE"""),31833.666666666668)</f>
        <v>31833.66667</v>
      </c>
      <c r="B295" s="1">
        <f>IFERROR(__xludf.DUMMYFUNCTION("""COMPUTED_VALUE"""),282.88)</f>
        <v>282.88</v>
      </c>
      <c r="C295" s="1">
        <f>IFERROR(__xludf.DUMMYFUNCTION("""COMPUTED_VALUE"""),285.35)</f>
        <v>285.35</v>
      </c>
      <c r="D295" s="1">
        <f>IFERROR(__xludf.DUMMYFUNCTION("""COMPUTED_VALUE"""),282.14)</f>
        <v>282.14</v>
      </c>
      <c r="E295" s="1">
        <f>IFERROR(__xludf.DUMMYFUNCTION("""COMPUTED_VALUE"""),284.0)</f>
        <v>284</v>
      </c>
      <c r="F295" s="1">
        <f>IFERROR(__xludf.DUMMYFUNCTION("""COMPUTED_VALUE"""),2.8765624E7)</f>
        <v>28765624</v>
      </c>
    </row>
    <row r="296">
      <c r="A296" s="2">
        <f>IFERROR(__xludf.DUMMYFUNCTION("""COMPUTED_VALUE"""),31834.666666666668)</f>
        <v>31834.66667</v>
      </c>
      <c r="B296" s="1">
        <f>IFERROR(__xludf.DUMMYFUNCTION("""COMPUTED_VALUE"""),284.0)</f>
        <v>284</v>
      </c>
      <c r="C296" s="1">
        <f>IFERROR(__xludf.DUMMYFUNCTION("""COMPUTED_VALUE"""),284.4)</f>
        <v>284.4</v>
      </c>
      <c r="D296" s="1">
        <f>IFERROR(__xludf.DUMMYFUNCTION("""COMPUTED_VALUE"""),280.73)</f>
        <v>280.73</v>
      </c>
      <c r="E296" s="1">
        <f>IFERROR(__xludf.DUMMYFUNCTION("""COMPUTED_VALUE"""),282.96)</f>
        <v>282.96</v>
      </c>
      <c r="F296" s="1">
        <f>IFERROR(__xludf.DUMMYFUNCTION("""COMPUTED_VALUE"""),2.590625E7)</f>
        <v>25906250</v>
      </c>
    </row>
    <row r="297">
      <c r="A297" s="2">
        <f>IFERROR(__xludf.DUMMYFUNCTION("""COMPUTED_VALUE"""),31835.666666666668)</f>
        <v>31835.66667</v>
      </c>
      <c r="B297" s="1">
        <f>IFERROR(__xludf.DUMMYFUNCTION("""COMPUTED_VALUE"""),282.96)</f>
        <v>282.96</v>
      </c>
      <c r="C297" s="1">
        <f>IFERROR(__xludf.DUMMYFUNCTION("""COMPUTED_VALUE"""),284.55)</f>
        <v>284.55</v>
      </c>
      <c r="D297" s="1">
        <f>IFERROR(__xludf.DUMMYFUNCTION("""COMPUTED_VALUE"""),282.77)</f>
        <v>282.77</v>
      </c>
      <c r="E297" s="1">
        <f>IFERROR(__xludf.DUMMYFUNCTION("""COMPUTED_VALUE"""),284.2)</f>
        <v>284.2</v>
      </c>
      <c r="F297" s="1">
        <f>IFERROR(__xludf.DUMMYFUNCTION("""COMPUTED_VALUE"""),2.23125E7)</f>
        <v>22312500</v>
      </c>
    </row>
    <row r="298">
      <c r="A298" s="2">
        <f>IFERROR(__xludf.DUMMYFUNCTION("""COMPUTED_VALUE"""),31838.666666666668)</f>
        <v>31838.66667</v>
      </c>
      <c r="B298" s="1">
        <f>IFERROR(__xludf.DUMMYFUNCTION("""COMPUTED_VALUE"""),284.17)</f>
        <v>284.17</v>
      </c>
      <c r="C298" s="1">
        <f>IFERROR(__xludf.DUMMYFUNCTION("""COMPUTED_VALUE"""),284.83)</f>
        <v>284.83</v>
      </c>
      <c r="D298" s="1">
        <f>IFERROR(__xludf.DUMMYFUNCTION("""COMPUTED_VALUE"""),282.3)</f>
        <v>282.3</v>
      </c>
      <c r="E298" s="1">
        <f>IFERROR(__xludf.DUMMYFUNCTION("""COMPUTED_VALUE"""),283.0)</f>
        <v>283</v>
      </c>
      <c r="F298" s="1">
        <f>IFERROR(__xludf.DUMMYFUNCTION("""COMPUTED_VALUE"""),2.4484376E7)</f>
        <v>24484376</v>
      </c>
    </row>
    <row r="299">
      <c r="A299" s="2">
        <f>IFERROR(__xludf.DUMMYFUNCTION("""COMPUTED_VALUE"""),31839.666666666668)</f>
        <v>31839.66667</v>
      </c>
      <c r="B299" s="1">
        <f>IFERROR(__xludf.DUMMYFUNCTION("""COMPUTED_VALUE"""),283.0)</f>
        <v>283</v>
      </c>
      <c r="C299" s="1">
        <f>IFERROR(__xludf.DUMMYFUNCTION("""COMPUTED_VALUE"""),284.19)</f>
        <v>284.19</v>
      </c>
      <c r="D299" s="1">
        <f>IFERROR(__xludf.DUMMYFUNCTION("""COMPUTED_VALUE"""),282.92)</f>
        <v>282.92</v>
      </c>
      <c r="E299" s="1">
        <f>IFERROR(__xludf.DUMMYFUNCTION("""COMPUTED_VALUE"""),284.12)</f>
        <v>284.12</v>
      </c>
      <c r="F299" s="1">
        <f>IFERROR(__xludf.DUMMYFUNCTION("""COMPUTED_VALUE"""),2.33125E7)</f>
        <v>23312500</v>
      </c>
    </row>
    <row r="300">
      <c r="A300" s="2">
        <f>IFERROR(__xludf.DUMMYFUNCTION("""COMPUTED_VALUE"""),31840.666666666668)</f>
        <v>31840.66667</v>
      </c>
      <c r="B300" s="1">
        <f>IFERROR(__xludf.DUMMYFUNCTION("""COMPUTED_VALUE"""),284.12)</f>
        <v>284.12</v>
      </c>
      <c r="C300" s="1">
        <f>IFERROR(__xludf.DUMMYFUNCTION("""COMPUTED_VALUE"""),288.62)</f>
        <v>288.62</v>
      </c>
      <c r="D300" s="1">
        <f>IFERROR(__xludf.DUMMYFUNCTION("""COMPUTED_VALUE"""),284.12)</f>
        <v>284.12</v>
      </c>
      <c r="E300" s="1">
        <f>IFERROR(__xludf.DUMMYFUNCTION("""COMPUTED_VALUE"""),288.62)</f>
        <v>288.62</v>
      </c>
      <c r="F300" s="1">
        <f>IFERROR(__xludf.DUMMYFUNCTION("""COMPUTED_VALUE"""),3.1E7)</f>
        <v>31000000</v>
      </c>
    </row>
    <row r="301">
      <c r="A301" s="2">
        <f>IFERROR(__xludf.DUMMYFUNCTION("""COMPUTED_VALUE"""),31841.666666666668)</f>
        <v>31841.66667</v>
      </c>
      <c r="B301" s="1">
        <f>IFERROR(__xludf.DUMMYFUNCTION("""COMPUTED_VALUE"""),288.62)</f>
        <v>288.62</v>
      </c>
      <c r="C301" s="1">
        <f>IFERROR(__xludf.DUMMYFUNCTION("""COMPUTED_VALUE"""),291.24)</f>
        <v>291.24</v>
      </c>
      <c r="D301" s="1">
        <f>IFERROR(__xludf.DUMMYFUNCTION("""COMPUTED_VALUE"""),288.6)</f>
        <v>288.6</v>
      </c>
      <c r="E301" s="1">
        <f>IFERROR(__xludf.DUMMYFUNCTION("""COMPUTED_VALUE"""),290.52)</f>
        <v>290.52</v>
      </c>
      <c r="F301" s="1">
        <f>IFERROR(__xludf.DUMMYFUNCTION("""COMPUTED_VALUE"""),3.209375E7)</f>
        <v>32093750</v>
      </c>
    </row>
    <row r="302">
      <c r="A302" s="2">
        <f>IFERROR(__xludf.DUMMYFUNCTION("""COMPUTED_VALUE"""),31842.666666666668)</f>
        <v>31842.66667</v>
      </c>
      <c r="B302" s="1">
        <f>IFERROR(__xludf.DUMMYFUNCTION("""COMPUTED_VALUE"""),290.52)</f>
        <v>290.52</v>
      </c>
      <c r="C302" s="1">
        <f>IFERROR(__xludf.DUMMYFUNCTION("""COMPUTED_VALUE"""),290.67)</f>
        <v>290.67</v>
      </c>
      <c r="D302" s="1">
        <f>IFERROR(__xludf.DUMMYFUNCTION("""COMPUTED_VALUE"""),288.77)</f>
        <v>288.77</v>
      </c>
      <c r="E302" s="1">
        <f>IFERROR(__xludf.DUMMYFUNCTION("""COMPUTED_VALUE"""),290.66)</f>
        <v>290.66</v>
      </c>
      <c r="F302" s="1">
        <f>IFERROR(__xludf.DUMMYFUNCTION("""COMPUTED_VALUE"""),2.8375E7)</f>
        <v>28375000</v>
      </c>
    </row>
    <row r="303">
      <c r="A303" s="2">
        <f>IFERROR(__xludf.DUMMYFUNCTION("""COMPUTED_VALUE"""),31845.666666666668)</f>
        <v>31845.66667</v>
      </c>
      <c r="B303" s="1">
        <f>IFERROR(__xludf.DUMMYFUNCTION("""COMPUTED_VALUE"""),290.66)</f>
        <v>290.66</v>
      </c>
      <c r="C303" s="1">
        <f>IFERROR(__xludf.DUMMYFUNCTION("""COMPUTED_VALUE"""),290.66)</f>
        <v>290.66</v>
      </c>
      <c r="D303" s="1">
        <f>IFERROR(__xludf.DUMMYFUNCTION("""COMPUTED_VALUE"""),287.12)</f>
        <v>287.12</v>
      </c>
      <c r="E303" s="1">
        <f>IFERROR(__xludf.DUMMYFUNCTION("""COMPUTED_VALUE"""),288.3)</f>
        <v>288.3</v>
      </c>
      <c r="F303" s="1">
        <f>IFERROR(__xludf.DUMMYFUNCTION("""COMPUTED_VALUE"""),2.584375E7)</f>
        <v>25843750</v>
      </c>
    </row>
    <row r="304">
      <c r="A304" s="2">
        <f>IFERROR(__xludf.DUMMYFUNCTION("""COMPUTED_VALUE"""),31846.666666666668)</f>
        <v>31846.66667</v>
      </c>
      <c r="B304" s="1">
        <f>IFERROR(__xludf.DUMMYFUNCTION("""COMPUTED_VALUE"""),288.3)</f>
        <v>288.3</v>
      </c>
      <c r="C304" s="1">
        <f>IFERROR(__xludf.DUMMYFUNCTION("""COMPUTED_VALUE"""),290.87)</f>
        <v>290.87</v>
      </c>
      <c r="D304" s="1">
        <f>IFERROR(__xludf.DUMMYFUNCTION("""COMPUTED_VALUE"""),287.89)</f>
        <v>287.89</v>
      </c>
      <c r="E304" s="1">
        <f>IFERROR(__xludf.DUMMYFUNCTION("""COMPUTED_VALUE"""),290.86)</f>
        <v>290.86</v>
      </c>
      <c r="F304" s="1">
        <f>IFERROR(__xludf.DUMMYFUNCTION("""COMPUTED_VALUE"""),2.73125E7)</f>
        <v>27312500</v>
      </c>
    </row>
    <row r="305">
      <c r="A305" s="2">
        <f>IFERROR(__xludf.DUMMYFUNCTION("""COMPUTED_VALUE"""),31847.666666666668)</f>
        <v>31847.66667</v>
      </c>
      <c r="B305" s="1">
        <f>IFERROR(__xludf.DUMMYFUNCTION("""COMPUTED_VALUE"""),290.87)</f>
        <v>290.87</v>
      </c>
      <c r="C305" s="1">
        <f>IFERROR(__xludf.DUMMYFUNCTION("""COMPUTED_VALUE"""),292.51)</f>
        <v>292.51</v>
      </c>
      <c r="D305" s="1">
        <f>IFERROR(__xludf.DUMMYFUNCTION("""COMPUTED_VALUE"""),289.33)</f>
        <v>289.33</v>
      </c>
      <c r="E305" s="1">
        <f>IFERROR(__xludf.DUMMYFUNCTION("""COMPUTED_VALUE"""),290.31)</f>
        <v>290.31</v>
      </c>
      <c r="F305" s="1">
        <f>IFERROR(__xludf.DUMMYFUNCTION("""COMPUTED_VALUE"""),2.9203124E7)</f>
        <v>29203124</v>
      </c>
    </row>
    <row r="306">
      <c r="A306" s="2">
        <f>IFERROR(__xludf.DUMMYFUNCTION("""COMPUTED_VALUE"""),31848.666666666668)</f>
        <v>31848.66667</v>
      </c>
      <c r="B306" s="1">
        <f>IFERROR(__xludf.DUMMYFUNCTION("""COMPUTED_VALUE"""),290.33)</f>
        <v>290.33</v>
      </c>
      <c r="C306" s="1">
        <f>IFERROR(__xludf.DUMMYFUNCTION("""COMPUTED_VALUE"""),291.91)</f>
        <v>291.91</v>
      </c>
      <c r="D306" s="1">
        <f>IFERROR(__xludf.DUMMYFUNCTION("""COMPUTED_VALUE"""),289.66)</f>
        <v>289.66</v>
      </c>
      <c r="E306" s="1">
        <f>IFERROR(__xludf.DUMMYFUNCTION("""COMPUTED_VALUE"""),291.22)</f>
        <v>291.22</v>
      </c>
      <c r="F306" s="1">
        <f>IFERROR(__xludf.DUMMYFUNCTION("""COMPUTED_VALUE"""),2.7265624E7)</f>
        <v>27265624</v>
      </c>
    </row>
    <row r="307">
      <c r="A307" s="2">
        <f>IFERROR(__xludf.DUMMYFUNCTION("""COMPUTED_VALUE"""),31849.666666666668)</f>
        <v>31849.66667</v>
      </c>
      <c r="B307" s="1">
        <f>IFERROR(__xludf.DUMMYFUNCTION("""COMPUTED_VALUE"""),291.22)</f>
        <v>291.22</v>
      </c>
      <c r="C307" s="1">
        <f>IFERROR(__xludf.DUMMYFUNCTION("""COMPUTED_VALUE"""),291.79)</f>
        <v>291.79</v>
      </c>
      <c r="D307" s="1">
        <f>IFERROR(__xludf.DUMMYFUNCTION("""COMPUTED_VALUE"""),289.88)</f>
        <v>289.88</v>
      </c>
      <c r="E307" s="1">
        <f>IFERROR(__xludf.DUMMYFUNCTION("""COMPUTED_VALUE"""),289.89)</f>
        <v>289.89</v>
      </c>
      <c r="F307" s="1">
        <f>IFERROR(__xludf.DUMMYFUNCTION("""COMPUTED_VALUE"""),2.3578124E7)</f>
        <v>23578124</v>
      </c>
    </row>
    <row r="308">
      <c r="A308" s="2">
        <f>IFERROR(__xludf.DUMMYFUNCTION("""COMPUTED_VALUE"""),31852.666666666668)</f>
        <v>31852.66667</v>
      </c>
      <c r="B308" s="1">
        <f>IFERROR(__xludf.DUMMYFUNCTION("""COMPUTED_VALUE"""),289.88)</f>
        <v>289.88</v>
      </c>
      <c r="C308" s="1">
        <f>IFERROR(__xludf.DUMMYFUNCTION("""COMPUTED_VALUE"""),289.89)</f>
        <v>289.89</v>
      </c>
      <c r="D308" s="1">
        <f>IFERROR(__xludf.DUMMYFUNCTION("""COMPUTED_VALUE"""),286.64)</f>
        <v>286.64</v>
      </c>
      <c r="E308" s="1">
        <f>IFERROR(__xludf.DUMMYFUNCTION("""COMPUTED_VALUE"""),288.23)</f>
        <v>288.23</v>
      </c>
      <c r="F308" s="1">
        <f>IFERROR(__xludf.DUMMYFUNCTION("""COMPUTED_VALUE"""),2.1078124E7)</f>
        <v>21078124</v>
      </c>
    </row>
    <row r="309">
      <c r="A309" s="2">
        <f>IFERROR(__xludf.DUMMYFUNCTION("""COMPUTED_VALUE"""),31853.666666666668)</f>
        <v>31853.66667</v>
      </c>
      <c r="B309" s="1">
        <f>IFERROR(__xludf.DUMMYFUNCTION("""COMPUTED_VALUE"""),288.09)</f>
        <v>288.09</v>
      </c>
      <c r="C309" s="1">
        <f>IFERROR(__xludf.DUMMYFUNCTION("""COMPUTED_VALUE"""),292.47)</f>
        <v>292.47</v>
      </c>
      <c r="D309" s="1">
        <f>IFERROR(__xludf.DUMMYFUNCTION("""COMPUTED_VALUE"""),287.96)</f>
        <v>287.96</v>
      </c>
      <c r="E309" s="1">
        <f>IFERROR(__xludf.DUMMYFUNCTION("""COMPUTED_VALUE"""),292.47)</f>
        <v>292.47</v>
      </c>
      <c r="F309" s="1">
        <f>IFERROR(__xludf.DUMMYFUNCTION("""COMPUTED_VALUE"""),2.7703124E7)</f>
        <v>27703124</v>
      </c>
    </row>
    <row r="310">
      <c r="A310" s="2">
        <f>IFERROR(__xludf.DUMMYFUNCTION("""COMPUTED_VALUE"""),31854.666666666668)</f>
        <v>31854.66667</v>
      </c>
      <c r="B310" s="1">
        <f>IFERROR(__xludf.DUMMYFUNCTION("""COMPUTED_VALUE"""),292.49)</f>
        <v>292.49</v>
      </c>
      <c r="C310" s="1">
        <f>IFERROR(__xludf.DUMMYFUNCTION("""COMPUTED_VALUE"""),294.58)</f>
        <v>294.58</v>
      </c>
      <c r="D310" s="1">
        <f>IFERROR(__xludf.DUMMYFUNCTION("""COMPUTED_VALUE"""),290.87)</f>
        <v>290.87</v>
      </c>
      <c r="E310" s="1">
        <f>IFERROR(__xludf.DUMMYFUNCTION("""COMPUTED_VALUE"""),292.78)</f>
        <v>292.78</v>
      </c>
      <c r="F310" s="1">
        <f>IFERROR(__xludf.DUMMYFUNCTION("""COMPUTED_VALUE"""),3.0953124E7)</f>
        <v>30953124</v>
      </c>
    </row>
    <row r="311">
      <c r="A311" s="2">
        <f>IFERROR(__xludf.DUMMYFUNCTION("""COMPUTED_VALUE"""),31855.666666666668)</f>
        <v>31855.66667</v>
      </c>
      <c r="B311" s="1">
        <f>IFERROR(__xludf.DUMMYFUNCTION("""COMPUTED_VALUE"""),292.73)</f>
        <v>292.73</v>
      </c>
      <c r="C311" s="1">
        <f>IFERROR(__xludf.DUMMYFUNCTION("""COMPUTED_VALUE"""),294.46)</f>
        <v>294.46</v>
      </c>
      <c r="D311" s="1">
        <f>IFERROR(__xludf.DUMMYFUNCTION("""COMPUTED_VALUE"""),292.26)</f>
        <v>292.26</v>
      </c>
      <c r="E311" s="1">
        <f>IFERROR(__xludf.DUMMYFUNCTION("""COMPUTED_VALUE"""),294.08)</f>
        <v>294.08</v>
      </c>
      <c r="F311" s="1">
        <f>IFERROR(__xludf.DUMMYFUNCTION("""COMPUTED_VALUE"""),2.5953124E7)</f>
        <v>25953124</v>
      </c>
    </row>
    <row r="312">
      <c r="A312" s="2">
        <f>IFERROR(__xludf.DUMMYFUNCTION("""COMPUTED_VALUE"""),31856.666666666668)</f>
        <v>31856.66667</v>
      </c>
      <c r="B312" s="1">
        <f>IFERROR(__xludf.DUMMYFUNCTION("""COMPUTED_VALUE"""),294.08)</f>
        <v>294.08</v>
      </c>
      <c r="C312" s="1">
        <f>IFERROR(__xludf.DUMMYFUNCTION("""COMPUTED_VALUE"""),298.17)</f>
        <v>298.17</v>
      </c>
      <c r="D312" s="1">
        <f>IFERROR(__xludf.DUMMYFUNCTION("""COMPUTED_VALUE"""),294.08)</f>
        <v>294.08</v>
      </c>
      <c r="E312" s="1">
        <f>IFERROR(__xludf.DUMMYFUNCTION("""COMPUTED_VALUE"""),298.17)</f>
        <v>298.17</v>
      </c>
      <c r="F312" s="1">
        <f>IFERROR(__xludf.DUMMYFUNCTION("""COMPUTED_VALUE"""),3.65625E7)</f>
        <v>36562500</v>
      </c>
    </row>
    <row r="313">
      <c r="A313" s="2">
        <f>IFERROR(__xludf.DUMMYFUNCTION("""COMPUTED_VALUE"""),31859.666666666668)</f>
        <v>31859.66667</v>
      </c>
      <c r="B313" s="1">
        <f>IFERROR(__xludf.DUMMYFUNCTION("""COMPUTED_VALUE"""),298.16)</f>
        <v>298.16</v>
      </c>
      <c r="C313" s="1">
        <f>IFERROR(__xludf.DUMMYFUNCTION("""COMPUTED_VALUE"""),301.17)</f>
        <v>301.17</v>
      </c>
      <c r="D313" s="1">
        <f>IFERROR(__xludf.DUMMYFUNCTION("""COMPUTED_VALUE"""),297.5)</f>
        <v>297.5</v>
      </c>
      <c r="E313" s="1">
        <f>IFERROR(__xludf.DUMMYFUNCTION("""COMPUTED_VALUE"""),301.16)</f>
        <v>301.16</v>
      </c>
      <c r="F313" s="1">
        <f>IFERROR(__xludf.DUMMYFUNCTION("""COMPUTED_VALUE"""),2.9546876E7)</f>
        <v>29546876</v>
      </c>
    </row>
    <row r="314">
      <c r="A314" s="2">
        <f>IFERROR(__xludf.DUMMYFUNCTION("""COMPUTED_VALUE"""),31860.666666666668)</f>
        <v>31860.66667</v>
      </c>
      <c r="B314" s="1">
        <f>IFERROR(__xludf.DUMMYFUNCTION("""COMPUTED_VALUE"""),301.17)</f>
        <v>301.17</v>
      </c>
      <c r="C314" s="1">
        <f>IFERROR(__xludf.DUMMYFUNCTION("""COMPUTED_VALUE"""),301.92)</f>
        <v>301.92</v>
      </c>
      <c r="D314" s="1">
        <f>IFERROR(__xludf.DUMMYFUNCTION("""COMPUTED_VALUE"""),300.14)</f>
        <v>300.14</v>
      </c>
      <c r="E314" s="1">
        <f>IFERROR(__xludf.DUMMYFUNCTION("""COMPUTED_VALUE"""),301.64)</f>
        <v>301.64</v>
      </c>
      <c r="F314" s="1">
        <f>IFERROR(__xludf.DUMMYFUNCTION("""COMPUTED_VALUE"""),2.9671876E7)</f>
        <v>29671876</v>
      </c>
    </row>
    <row r="315">
      <c r="A315" s="2">
        <f>IFERROR(__xludf.DUMMYFUNCTION("""COMPUTED_VALUE"""),31861.666666666668)</f>
        <v>31861.66667</v>
      </c>
      <c r="B315" s="1">
        <f>IFERROR(__xludf.DUMMYFUNCTION("""COMPUTED_VALUE"""),301.52)</f>
        <v>301.52</v>
      </c>
      <c r="C315" s="1">
        <f>IFERROR(__xludf.DUMMYFUNCTION("""COMPUTED_VALUE"""),301.85)</f>
        <v>301.85</v>
      </c>
      <c r="D315" s="1">
        <f>IFERROR(__xludf.DUMMYFUNCTION("""COMPUTED_VALUE"""),299.36)</f>
        <v>299.36</v>
      </c>
      <c r="E315" s="1">
        <f>IFERROR(__xludf.DUMMYFUNCTION("""COMPUTED_VALUE"""),300.38)</f>
        <v>300.38</v>
      </c>
      <c r="F315" s="1">
        <f>IFERROR(__xludf.DUMMYFUNCTION("""COMPUTED_VALUE"""),2.6765624E7)</f>
        <v>26765624</v>
      </c>
    </row>
    <row r="316">
      <c r="A316" s="2">
        <f>IFERROR(__xludf.DUMMYFUNCTION("""COMPUTED_VALUE"""),31862.666666666668)</f>
        <v>31862.66667</v>
      </c>
      <c r="B316" s="1">
        <f>IFERROR(__xludf.DUMMYFUNCTION("""COMPUTED_VALUE"""),300.39)</f>
        <v>300.39</v>
      </c>
      <c r="C316" s="1">
        <f>IFERROR(__xludf.DUMMYFUNCTION("""COMPUTED_VALUE"""),302.72)</f>
        <v>302.72</v>
      </c>
      <c r="D316" s="1">
        <f>IFERROR(__xludf.DUMMYFUNCTION("""COMPUTED_VALUE"""),300.38)</f>
        <v>300.38</v>
      </c>
      <c r="E316" s="1">
        <f>IFERROR(__xludf.DUMMYFUNCTION("""COMPUTED_VALUE"""),300.93)</f>
        <v>300.93</v>
      </c>
      <c r="F316" s="1">
        <f>IFERROR(__xludf.DUMMYFUNCTION("""COMPUTED_VALUE"""),3.0625E7)</f>
        <v>30625000</v>
      </c>
    </row>
    <row r="317">
      <c r="A317" s="2">
        <f>IFERROR(__xludf.DUMMYFUNCTION("""COMPUTED_VALUE"""),31863.666666666668)</f>
        <v>31863.66667</v>
      </c>
      <c r="B317" s="1">
        <f>IFERROR(__xludf.DUMMYFUNCTION("""COMPUTED_VALUE"""),300.96)</f>
        <v>300.96</v>
      </c>
      <c r="C317" s="1">
        <f>IFERROR(__xludf.DUMMYFUNCTION("""COMPUTED_VALUE"""),301.41)</f>
        <v>301.41</v>
      </c>
      <c r="D317" s="1">
        <f>IFERROR(__xludf.DUMMYFUNCTION("""COMPUTED_VALUE"""),296.06)</f>
        <v>296.06</v>
      </c>
      <c r="E317" s="1">
        <f>IFERROR(__xludf.DUMMYFUNCTION("""COMPUTED_VALUE"""),296.13)</f>
        <v>296.13</v>
      </c>
      <c r="F317" s="1">
        <f>IFERROR(__xludf.DUMMYFUNCTION("""COMPUTED_VALUE"""),2.88125E7)</f>
        <v>28812500</v>
      </c>
    </row>
    <row r="318">
      <c r="A318" s="2">
        <f>IFERROR(__xludf.DUMMYFUNCTION("""COMPUTED_VALUE"""),31866.666666666668)</f>
        <v>31866.66667</v>
      </c>
      <c r="B318" s="1">
        <f>IFERROR(__xludf.DUMMYFUNCTION("""COMPUTED_VALUE"""),296.1)</f>
        <v>296.1</v>
      </c>
      <c r="C318" s="1">
        <f>IFERROR(__xludf.DUMMYFUNCTION("""COMPUTED_VALUE"""),296.13)</f>
        <v>296.13</v>
      </c>
      <c r="D318" s="1">
        <f>IFERROR(__xludf.DUMMYFUNCTION("""COMPUTED_VALUE"""),286.69)</f>
        <v>286.69</v>
      </c>
      <c r="E318" s="1">
        <f>IFERROR(__xludf.DUMMYFUNCTION("""COMPUTED_VALUE"""),289.2)</f>
        <v>289.2</v>
      </c>
      <c r="F318" s="1">
        <f>IFERROR(__xludf.DUMMYFUNCTION("""COMPUTED_VALUE"""),3.25625E7)</f>
        <v>32562500</v>
      </c>
    </row>
    <row r="319">
      <c r="A319" s="2">
        <f>IFERROR(__xludf.DUMMYFUNCTION("""COMPUTED_VALUE"""),31867.666666666668)</f>
        <v>31867.66667</v>
      </c>
      <c r="B319" s="1">
        <f>IFERROR(__xludf.DUMMYFUNCTION("""COMPUTED_VALUE"""),289.21)</f>
        <v>289.21</v>
      </c>
      <c r="C319" s="1">
        <f>IFERROR(__xludf.DUMMYFUNCTION("""COMPUTED_VALUE"""),291.87)</f>
        <v>291.87</v>
      </c>
      <c r="D319" s="1">
        <f>IFERROR(__xludf.DUMMYFUNCTION("""COMPUTED_VALUE"""),289.07)</f>
        <v>289.07</v>
      </c>
      <c r="E319" s="1">
        <f>IFERROR(__xludf.DUMMYFUNCTION("""COMPUTED_VALUE"""),291.7)</f>
        <v>291.7</v>
      </c>
      <c r="F319" s="1">
        <f>IFERROR(__xludf.DUMMYFUNCTION("""COMPUTED_VALUE"""),2.684375E7)</f>
        <v>26843750</v>
      </c>
    </row>
    <row r="320">
      <c r="A320" s="2">
        <f>IFERROR(__xludf.DUMMYFUNCTION("""COMPUTED_VALUE"""),31868.666666666668)</f>
        <v>31868.66667</v>
      </c>
      <c r="B320" s="1">
        <f>IFERROR(__xludf.DUMMYFUNCTION("""COMPUTED_VALUE"""),291.59)</f>
        <v>291.59</v>
      </c>
      <c r="C320" s="1">
        <f>IFERROR(__xludf.DUMMYFUNCTION("""COMPUTED_VALUE"""),292.38)</f>
        <v>292.38</v>
      </c>
      <c r="D320" s="1">
        <f>IFERROR(__xludf.DUMMYFUNCTION("""COMPUTED_VALUE"""),288.34)</f>
        <v>288.34</v>
      </c>
      <c r="E320" s="1">
        <f>IFERROR(__xludf.DUMMYFUNCTION("""COMPUTED_VALUE"""),292.38)</f>
        <v>292.38</v>
      </c>
      <c r="F320" s="1">
        <f>IFERROR(__xludf.DUMMYFUNCTION("""COMPUTED_VALUE"""),2.853125E7)</f>
        <v>28531250</v>
      </c>
    </row>
    <row r="321">
      <c r="A321" s="2">
        <f>IFERROR(__xludf.DUMMYFUNCTION("""COMPUTED_VALUE"""),31869.666666666668)</f>
        <v>31869.66667</v>
      </c>
      <c r="B321" s="1">
        <f>IFERROR(__xludf.DUMMYFUNCTION("""COMPUTED_VALUE"""),292.41)</f>
        <v>292.41</v>
      </c>
      <c r="C321" s="1">
        <f>IFERROR(__xludf.DUMMYFUNCTION("""COMPUTED_VALUE"""),294.47)</f>
        <v>294.47</v>
      </c>
      <c r="D321" s="1">
        <f>IFERROR(__xludf.DUMMYFUNCTION("""COMPUTED_VALUE"""),292.02)</f>
        <v>292.02</v>
      </c>
      <c r="E321" s="1">
        <f>IFERROR(__xludf.DUMMYFUNCTION("""COMPUTED_VALUE"""),293.63)</f>
        <v>293.63</v>
      </c>
      <c r="F321" s="1">
        <f>IFERROR(__xludf.DUMMYFUNCTION("""COMPUTED_VALUE"""),2.859375E7)</f>
        <v>28593750</v>
      </c>
    </row>
    <row r="322">
      <c r="A322" s="2">
        <f>IFERROR(__xludf.DUMMYFUNCTION("""COMPUTED_VALUE"""),31870.666666666668)</f>
        <v>31870.66667</v>
      </c>
      <c r="B322" s="1">
        <f>IFERROR(__xludf.DUMMYFUNCTION("""COMPUTED_VALUE"""),293.64)</f>
        <v>293.64</v>
      </c>
      <c r="C322" s="1">
        <f>IFERROR(__xludf.DUMMYFUNCTION("""COMPUTED_VALUE"""),301.3)</f>
        <v>301.3</v>
      </c>
      <c r="D322" s="1">
        <f>IFERROR(__xludf.DUMMYFUNCTION("""COMPUTED_VALUE"""),292.3)</f>
        <v>292.3</v>
      </c>
      <c r="E322" s="1">
        <f>IFERROR(__xludf.DUMMYFUNCTION("""COMPUTED_VALUE"""),300.41)</f>
        <v>300.41</v>
      </c>
      <c r="F322" s="1">
        <f>IFERROR(__xludf.DUMMYFUNCTION("""COMPUTED_VALUE"""),3.334375E7)</f>
        <v>33343750</v>
      </c>
    </row>
    <row r="323">
      <c r="A323" s="2">
        <f>IFERROR(__xludf.DUMMYFUNCTION("""COMPUTED_VALUE"""),31873.666666666668)</f>
        <v>31873.66667</v>
      </c>
      <c r="B323" s="1">
        <f>IFERROR(__xludf.DUMMYFUNCTION("""COMPUTED_VALUE"""),300.46)</f>
        <v>300.46</v>
      </c>
      <c r="C323" s="1">
        <f>IFERROR(__xludf.DUMMYFUNCTION("""COMPUTED_VALUE"""),302.21)</f>
        <v>302.21</v>
      </c>
      <c r="D323" s="1">
        <f>IFERROR(__xludf.DUMMYFUNCTION("""COMPUTED_VALUE"""),300.41)</f>
        <v>300.41</v>
      </c>
      <c r="E323" s="1">
        <f>IFERROR(__xludf.DUMMYFUNCTION("""COMPUTED_VALUE"""),301.95)</f>
        <v>301.95</v>
      </c>
      <c r="F323" s="1">
        <f>IFERROR(__xludf.DUMMYFUNCTION("""COMPUTED_VALUE"""),2.7140624E7)</f>
        <v>27140624</v>
      </c>
    </row>
    <row r="324">
      <c r="A324" s="2">
        <f>IFERROR(__xludf.DUMMYFUNCTION("""COMPUTED_VALUE"""),31874.666666666668)</f>
        <v>31874.66667</v>
      </c>
      <c r="B324" s="1">
        <f>IFERROR(__xludf.DUMMYFUNCTION("""COMPUTED_VALUE"""),301.94)</f>
        <v>301.94</v>
      </c>
      <c r="C324" s="1">
        <f>IFERROR(__xludf.DUMMYFUNCTION("""COMPUTED_VALUE"""),303.65)</f>
        <v>303.65</v>
      </c>
      <c r="D324" s="1">
        <f>IFERROR(__xludf.DUMMYFUNCTION("""COMPUTED_VALUE"""),296.67)</f>
        <v>296.67</v>
      </c>
      <c r="E324" s="1">
        <f>IFERROR(__xludf.DUMMYFUNCTION("""COMPUTED_VALUE"""),296.69)</f>
        <v>296.69</v>
      </c>
      <c r="F324" s="1">
        <f>IFERROR(__xludf.DUMMYFUNCTION("""COMPUTED_VALUE"""),2.9125E7)</f>
        <v>29125000</v>
      </c>
    </row>
    <row r="325">
      <c r="A325" s="2">
        <f>IFERROR(__xludf.DUMMYFUNCTION("""COMPUTED_VALUE"""),31875.666666666668)</f>
        <v>31875.66667</v>
      </c>
      <c r="B325" s="1">
        <f>IFERROR(__xludf.DUMMYFUNCTION("""COMPUTED_VALUE"""),296.72)</f>
        <v>296.72</v>
      </c>
      <c r="C325" s="1">
        <f>IFERROR(__xludf.DUMMYFUNCTION("""COMPUTED_VALUE"""),299.2)</f>
        <v>299.2</v>
      </c>
      <c r="D325" s="1">
        <f>IFERROR(__xludf.DUMMYFUNCTION("""COMPUTED_VALUE"""),295.18)</f>
        <v>295.18</v>
      </c>
      <c r="E325" s="1">
        <f>IFERROR(__xludf.DUMMYFUNCTION("""COMPUTED_VALUE"""),297.26)</f>
        <v>297.26</v>
      </c>
      <c r="F325" s="1">
        <f>IFERROR(__xludf.DUMMYFUNCTION("""COMPUTED_VALUE"""),2.809375E7)</f>
        <v>28093750</v>
      </c>
    </row>
    <row r="326">
      <c r="A326" s="2">
        <f>IFERROR(__xludf.DUMMYFUNCTION("""COMPUTED_VALUE"""),31876.666666666668)</f>
        <v>31876.66667</v>
      </c>
      <c r="B326" s="1">
        <f>IFERROR(__xludf.DUMMYFUNCTION("""COMPUTED_VALUE"""),297.25)</f>
        <v>297.25</v>
      </c>
      <c r="C326" s="1">
        <f>IFERROR(__xludf.DUMMYFUNCTION("""COMPUTED_VALUE"""),297.71)</f>
        <v>297.71</v>
      </c>
      <c r="D326" s="1">
        <f>IFERROR(__xludf.DUMMYFUNCTION("""COMPUTED_VALUE"""),291.5)</f>
        <v>291.5</v>
      </c>
      <c r="E326" s="1">
        <f>IFERROR(__xludf.DUMMYFUNCTION("""COMPUTED_VALUE"""),292.86)</f>
        <v>292.86</v>
      </c>
      <c r="F326" s="1">
        <f>IFERROR(__xludf.DUMMYFUNCTION("""COMPUTED_VALUE"""),2.8171876E7)</f>
        <v>28171876</v>
      </c>
    </row>
    <row r="327">
      <c r="A327" s="2">
        <f>IFERROR(__xludf.DUMMYFUNCTION("""COMPUTED_VALUE"""),31877.666666666668)</f>
        <v>31877.66667</v>
      </c>
      <c r="B327" s="1">
        <f>IFERROR(__xludf.DUMMYFUNCTION("""COMPUTED_VALUE"""),292.82)</f>
        <v>292.82</v>
      </c>
      <c r="C327" s="1">
        <f>IFERROR(__xludf.DUMMYFUNCTION("""COMPUTED_VALUE"""),293.74)</f>
        <v>293.74</v>
      </c>
      <c r="D327" s="1">
        <f>IFERROR(__xludf.DUMMYFUNCTION("""COMPUTED_VALUE"""),290.94)</f>
        <v>290.94</v>
      </c>
      <c r="E327" s="1">
        <f>IFERROR(__xludf.DUMMYFUNCTION("""COMPUTED_VALUE"""),292.49)</f>
        <v>292.49</v>
      </c>
      <c r="F327" s="1">
        <f>IFERROR(__xludf.DUMMYFUNCTION("""COMPUTED_VALUE"""),2.6484376E7)</f>
        <v>26484376</v>
      </c>
    </row>
    <row r="328">
      <c r="A328" s="2">
        <f>IFERROR(__xludf.DUMMYFUNCTION("""COMPUTED_VALUE"""),31880.666666666668)</f>
        <v>31880.66667</v>
      </c>
      <c r="B328" s="1">
        <f>IFERROR(__xludf.DUMMYFUNCTION("""COMPUTED_VALUE"""),292.48)</f>
        <v>292.48</v>
      </c>
      <c r="C328" s="1">
        <f>IFERROR(__xludf.DUMMYFUNCTION("""COMPUTED_VALUE"""),293.36)</f>
        <v>293.36</v>
      </c>
      <c r="D328" s="1">
        <f>IFERROR(__xludf.DUMMYFUNCTION("""COMPUTED_VALUE"""),285.62)</f>
        <v>285.62</v>
      </c>
      <c r="E328" s="1">
        <f>IFERROR(__xludf.DUMMYFUNCTION("""COMPUTED_VALUE"""),285.62)</f>
        <v>285.62</v>
      </c>
      <c r="F328" s="1">
        <f>IFERROR(__xludf.DUMMYFUNCTION("""COMPUTED_VALUE"""),2.828125E7)</f>
        <v>28281250</v>
      </c>
    </row>
    <row r="329">
      <c r="A329" s="2">
        <f>IFERROR(__xludf.DUMMYFUNCTION("""COMPUTED_VALUE"""),31881.666666666668)</f>
        <v>31881.66667</v>
      </c>
      <c r="B329" s="1">
        <f>IFERROR(__xludf.DUMMYFUNCTION("""COMPUTED_VALUE"""),285.61)</f>
        <v>285.61</v>
      </c>
      <c r="C329" s="1">
        <f>IFERROR(__xludf.DUMMYFUNCTION("""COMPUTED_VALUE"""),285.62)</f>
        <v>285.62</v>
      </c>
      <c r="D329" s="1">
        <f>IFERROR(__xludf.DUMMYFUNCTION("""COMPUTED_VALUE"""),275.67)</f>
        <v>275.67</v>
      </c>
      <c r="E329" s="1">
        <f>IFERROR(__xludf.DUMMYFUNCTION("""COMPUTED_VALUE"""),279.16)</f>
        <v>279.16</v>
      </c>
      <c r="F329" s="1">
        <f>IFERROR(__xludf.DUMMYFUNCTION("""COMPUTED_VALUE"""),4.1640624E7)</f>
        <v>41640624</v>
      </c>
    </row>
    <row r="330">
      <c r="A330" s="2">
        <f>IFERROR(__xludf.DUMMYFUNCTION("""COMPUTED_VALUE"""),31882.666666666668)</f>
        <v>31882.66667</v>
      </c>
      <c r="B330" s="1">
        <f>IFERROR(__xludf.DUMMYFUNCTION("""COMPUTED_VALUE"""),279.17)</f>
        <v>279.17</v>
      </c>
      <c r="C330" s="1">
        <f>IFERROR(__xludf.DUMMYFUNCTION("""COMPUTED_VALUE"""),285.14)</f>
        <v>285.14</v>
      </c>
      <c r="D330" s="1">
        <f>IFERROR(__xludf.DUMMYFUNCTION("""COMPUTED_VALUE"""),279.16)</f>
        <v>279.16</v>
      </c>
      <c r="E330" s="1">
        <f>IFERROR(__xludf.DUMMYFUNCTION("""COMPUTED_VALUE"""),284.44)</f>
        <v>284.44</v>
      </c>
      <c r="F330" s="1">
        <f>IFERROR(__xludf.DUMMYFUNCTION("""COMPUTED_VALUE"""),3.096875E7)</f>
        <v>30968750</v>
      </c>
    </row>
    <row r="331">
      <c r="A331" s="2">
        <f>IFERROR(__xludf.DUMMYFUNCTION("""COMPUTED_VALUE"""),31883.666666666668)</f>
        <v>31883.66667</v>
      </c>
      <c r="B331" s="1">
        <f>IFERROR(__xludf.DUMMYFUNCTION("""COMPUTED_VALUE"""),284.45)</f>
        <v>284.45</v>
      </c>
      <c r="C331" s="1">
        <f>IFERROR(__xludf.DUMMYFUNCTION("""COMPUTED_VALUE"""),289.57)</f>
        <v>289.57</v>
      </c>
      <c r="D331" s="1">
        <f>IFERROR(__xludf.DUMMYFUNCTION("""COMPUTED_VALUE"""),284.44)</f>
        <v>284.44</v>
      </c>
      <c r="E331" s="1">
        <f>IFERROR(__xludf.DUMMYFUNCTION("""COMPUTED_VALUE"""),286.91)</f>
        <v>286.91</v>
      </c>
      <c r="F331" s="1">
        <f>IFERROR(__xludf.DUMMYFUNCTION("""COMPUTED_VALUE"""),2.9625E7)</f>
        <v>29625000</v>
      </c>
    </row>
    <row r="332">
      <c r="A332" s="2">
        <f>IFERROR(__xludf.DUMMYFUNCTION("""COMPUTED_VALUE"""),31887.666666666668)</f>
        <v>31887.66667</v>
      </c>
      <c r="B332" s="1">
        <f>IFERROR(__xludf.DUMMYFUNCTION("""COMPUTED_VALUE"""),286.91)</f>
        <v>286.91</v>
      </c>
      <c r="C332" s="1">
        <f>IFERROR(__xludf.DUMMYFUNCTION("""COMPUTED_VALUE"""),288.36)</f>
        <v>288.36</v>
      </c>
      <c r="D332" s="1">
        <f>IFERROR(__xludf.DUMMYFUNCTION("""COMPUTED_VALUE"""),284.55)</f>
        <v>284.55</v>
      </c>
      <c r="E332" s="1">
        <f>IFERROR(__xludf.DUMMYFUNCTION("""COMPUTED_VALUE"""),286.09)</f>
        <v>286.09</v>
      </c>
      <c r="F332" s="1">
        <f>IFERROR(__xludf.DUMMYFUNCTION("""COMPUTED_VALUE"""),2.1734376E7)</f>
        <v>21734376</v>
      </c>
    </row>
    <row r="333">
      <c r="A333" s="2">
        <f>IFERROR(__xludf.DUMMYFUNCTION("""COMPUTED_VALUE"""),31888.666666666668)</f>
        <v>31888.66667</v>
      </c>
      <c r="B333" s="1">
        <f>IFERROR(__xludf.DUMMYFUNCTION("""COMPUTED_VALUE"""),285.88)</f>
        <v>285.88</v>
      </c>
      <c r="C333" s="1">
        <f>IFERROR(__xludf.DUMMYFUNCTION("""COMPUTED_VALUE"""),293.07)</f>
        <v>293.07</v>
      </c>
      <c r="D333" s="1">
        <f>IFERROR(__xludf.DUMMYFUNCTION("""COMPUTED_VALUE"""),282.89)</f>
        <v>282.89</v>
      </c>
      <c r="E333" s="1">
        <f>IFERROR(__xludf.DUMMYFUNCTION("""COMPUTED_VALUE"""),293.07)</f>
        <v>293.07</v>
      </c>
      <c r="F333" s="1">
        <f>IFERROR(__xludf.DUMMYFUNCTION("""COMPUTED_VALUE"""),2.9890624E7)</f>
        <v>29890624</v>
      </c>
    </row>
    <row r="334">
      <c r="A334" s="2">
        <f>IFERROR(__xludf.DUMMYFUNCTION("""COMPUTED_VALUE"""),31889.666666666668)</f>
        <v>31889.66667</v>
      </c>
      <c r="B334" s="1">
        <f>IFERROR(__xludf.DUMMYFUNCTION("""COMPUTED_VALUE"""),293.05)</f>
        <v>293.05</v>
      </c>
      <c r="C334" s="1">
        <f>IFERROR(__xludf.DUMMYFUNCTION("""COMPUTED_VALUE"""),293.46)</f>
        <v>293.46</v>
      </c>
      <c r="D334" s="1">
        <f>IFERROR(__xludf.DUMMYFUNCTION("""COMPUTED_VALUE"""),286.98)</f>
        <v>286.98</v>
      </c>
      <c r="E334" s="1">
        <f>IFERROR(__xludf.DUMMYFUNCTION("""COMPUTED_VALUE"""),287.19)</f>
        <v>287.19</v>
      </c>
      <c r="F334" s="1">
        <f>IFERROR(__xludf.DUMMYFUNCTION("""COMPUTED_VALUE"""),2.9046876E7)</f>
        <v>29046876</v>
      </c>
    </row>
    <row r="335">
      <c r="A335" s="2">
        <f>IFERROR(__xludf.DUMMYFUNCTION("""COMPUTED_VALUE"""),31890.666666666668)</f>
        <v>31890.66667</v>
      </c>
      <c r="B335" s="1">
        <f>IFERROR(__xludf.DUMMYFUNCTION("""COMPUTED_VALUE"""),287.19)</f>
        <v>287.19</v>
      </c>
      <c r="C335" s="1">
        <f>IFERROR(__xludf.DUMMYFUNCTION("""COMPUTED_VALUE"""),289.12)</f>
        <v>289.12</v>
      </c>
      <c r="D335" s="1">
        <f>IFERROR(__xludf.DUMMYFUNCTION("""COMPUTED_VALUE"""),284.28)</f>
        <v>284.28</v>
      </c>
      <c r="E335" s="1">
        <f>IFERROR(__xludf.DUMMYFUNCTION("""COMPUTED_VALUE"""),286.82)</f>
        <v>286.82</v>
      </c>
      <c r="F335" s="1">
        <f>IFERROR(__xludf.DUMMYFUNCTION("""COMPUTED_VALUE"""),2.7171876E7)</f>
        <v>27171876</v>
      </c>
    </row>
    <row r="336">
      <c r="A336" s="2">
        <f>IFERROR(__xludf.DUMMYFUNCTION("""COMPUTED_VALUE"""),31891.666666666668)</f>
        <v>31891.66667</v>
      </c>
      <c r="B336" s="1">
        <f>IFERROR(__xludf.DUMMYFUNCTION("""COMPUTED_VALUE"""),286.81)</f>
        <v>286.81</v>
      </c>
      <c r="C336" s="1">
        <f>IFERROR(__xludf.DUMMYFUNCTION("""COMPUTED_VALUE"""),286.82)</f>
        <v>286.82</v>
      </c>
      <c r="D336" s="1">
        <f>IFERROR(__xludf.DUMMYFUNCTION("""COMPUTED_VALUE"""),281.18)</f>
        <v>281.18</v>
      </c>
      <c r="E336" s="1">
        <f>IFERROR(__xludf.DUMMYFUNCTION("""COMPUTED_VALUE"""),281.52)</f>
        <v>281.52</v>
      </c>
      <c r="F336" s="1">
        <f>IFERROR(__xludf.DUMMYFUNCTION("""COMPUTED_VALUE"""),2.78125E7)</f>
        <v>27812500</v>
      </c>
    </row>
    <row r="337">
      <c r="A337" s="2">
        <f>IFERROR(__xludf.DUMMYFUNCTION("""COMPUTED_VALUE"""),31894.666666666668)</f>
        <v>31894.66667</v>
      </c>
      <c r="B337" s="1">
        <f>IFERROR(__xludf.DUMMYFUNCTION("""COMPUTED_VALUE"""),281.52)</f>
        <v>281.52</v>
      </c>
      <c r="C337" s="1">
        <f>IFERROR(__xludf.DUMMYFUNCTION("""COMPUTED_VALUE"""),284.45)</f>
        <v>284.45</v>
      </c>
      <c r="D337" s="1">
        <f>IFERROR(__xludf.DUMMYFUNCTION("""COMPUTED_VALUE"""),276.22)</f>
        <v>276.22</v>
      </c>
      <c r="E337" s="1">
        <f>IFERROR(__xludf.DUMMYFUNCTION("""COMPUTED_VALUE"""),281.83)</f>
        <v>281.83</v>
      </c>
      <c r="F337" s="1">
        <f>IFERROR(__xludf.DUMMYFUNCTION("""COMPUTED_VALUE"""),3.4796876E7)</f>
        <v>34796876</v>
      </c>
    </row>
    <row r="338">
      <c r="A338" s="2">
        <f>IFERROR(__xludf.DUMMYFUNCTION("""COMPUTED_VALUE"""),31895.666666666668)</f>
        <v>31895.66667</v>
      </c>
      <c r="B338" s="1">
        <f>IFERROR(__xludf.DUMMYFUNCTION("""COMPUTED_VALUE"""),281.83)</f>
        <v>281.83</v>
      </c>
      <c r="C338" s="1">
        <f>IFERROR(__xludf.DUMMYFUNCTION("""COMPUTED_VALUE"""),285.95)</f>
        <v>285.95</v>
      </c>
      <c r="D338" s="1">
        <f>IFERROR(__xludf.DUMMYFUNCTION("""COMPUTED_VALUE"""),281.83)</f>
        <v>281.83</v>
      </c>
      <c r="E338" s="1">
        <f>IFERROR(__xludf.DUMMYFUNCTION("""COMPUTED_VALUE"""),282.51)</f>
        <v>282.51</v>
      </c>
      <c r="F338" s="1">
        <f>IFERROR(__xludf.DUMMYFUNCTION("""COMPUTED_VALUE"""),2.8140624E7)</f>
        <v>28140624</v>
      </c>
    </row>
    <row r="339">
      <c r="A339" s="2">
        <f>IFERROR(__xludf.DUMMYFUNCTION("""COMPUTED_VALUE"""),31896.666666666668)</f>
        <v>31896.66667</v>
      </c>
      <c r="B339" s="1">
        <f>IFERROR(__xludf.DUMMYFUNCTION("""COMPUTED_VALUE"""),282.58)</f>
        <v>282.58</v>
      </c>
      <c r="C339" s="1">
        <f>IFERROR(__xludf.DUMMYFUNCTION("""COMPUTED_VALUE"""),286.42)</f>
        <v>286.42</v>
      </c>
      <c r="D339" s="1">
        <f>IFERROR(__xludf.DUMMYFUNCTION("""COMPUTED_VALUE"""),282.58)</f>
        <v>282.58</v>
      </c>
      <c r="E339" s="1">
        <f>IFERROR(__xludf.DUMMYFUNCTION("""COMPUTED_VALUE"""),284.57)</f>
        <v>284.57</v>
      </c>
      <c r="F339" s="1">
        <f>IFERROR(__xludf.DUMMYFUNCTION("""COMPUTED_VALUE"""),2.7125E7)</f>
        <v>27125000</v>
      </c>
    </row>
    <row r="340">
      <c r="A340" s="2">
        <f>IFERROR(__xludf.DUMMYFUNCTION("""COMPUTED_VALUE"""),31897.666666666668)</f>
        <v>31897.66667</v>
      </c>
      <c r="B340" s="1">
        <f>IFERROR(__xludf.DUMMYFUNCTION("""COMPUTED_VALUE"""),284.58)</f>
        <v>284.58</v>
      </c>
      <c r="C340" s="1">
        <f>IFERROR(__xludf.DUMMYFUNCTION("""COMPUTED_VALUE"""),290.08)</f>
        <v>290.08</v>
      </c>
      <c r="D340" s="1">
        <f>IFERROR(__xludf.DUMMYFUNCTION("""COMPUTED_VALUE"""),284.57)</f>
        <v>284.57</v>
      </c>
      <c r="E340" s="1">
        <f>IFERROR(__xludf.DUMMYFUNCTION("""COMPUTED_VALUE"""),288.36)</f>
        <v>288.36</v>
      </c>
      <c r="F340" s="1">
        <f>IFERROR(__xludf.DUMMYFUNCTION("""COMPUTED_VALUE"""),2.8609376E7)</f>
        <v>28609376</v>
      </c>
    </row>
    <row r="341">
      <c r="A341" s="2">
        <f>IFERROR(__xludf.DUMMYFUNCTION("""COMPUTED_VALUE"""),31898.666666666668)</f>
        <v>31898.66667</v>
      </c>
      <c r="B341" s="1">
        <f>IFERROR(__xludf.DUMMYFUNCTION("""COMPUTED_VALUE"""),286.99)</f>
        <v>286.99</v>
      </c>
      <c r="C341" s="1">
        <f>IFERROR(__xludf.DUMMYFUNCTION("""COMPUTED_VALUE"""),289.71)</f>
        <v>289.71</v>
      </c>
      <c r="D341" s="1">
        <f>IFERROR(__xludf.DUMMYFUNCTION("""COMPUTED_VALUE"""),286.52)</f>
        <v>286.52</v>
      </c>
      <c r="E341" s="1">
        <f>IFERROR(__xludf.DUMMYFUNCTION("""COMPUTED_VALUE"""),288.03)</f>
        <v>288.03</v>
      </c>
      <c r="F341" s="1">
        <f>IFERROR(__xludf.DUMMYFUNCTION("""COMPUTED_VALUE"""),2.5015624E7)</f>
        <v>25015624</v>
      </c>
    </row>
    <row r="342">
      <c r="A342" s="2">
        <f>IFERROR(__xludf.DUMMYFUNCTION("""COMPUTED_VALUE"""),31901.666666666668)</f>
        <v>31901.66667</v>
      </c>
      <c r="B342" s="1">
        <f>IFERROR(__xludf.DUMMYFUNCTION("""COMPUTED_VALUE"""),288.02)</f>
        <v>288.02</v>
      </c>
      <c r="C342" s="1">
        <f>IFERROR(__xludf.DUMMYFUNCTION("""COMPUTED_VALUE"""),289.99)</f>
        <v>289.99</v>
      </c>
      <c r="D342" s="1">
        <f>IFERROR(__xludf.DUMMYFUNCTION("""COMPUTED_VALUE"""),286.39)</f>
        <v>286.39</v>
      </c>
      <c r="E342" s="1">
        <f>IFERROR(__xludf.DUMMYFUNCTION("""COMPUTED_VALUE"""),289.36)</f>
        <v>289.36</v>
      </c>
      <c r="F342" s="1">
        <f>IFERROR(__xludf.DUMMYFUNCTION("""COMPUTED_VALUE"""),2.196875E7)</f>
        <v>21968750</v>
      </c>
    </row>
    <row r="343">
      <c r="A343" s="2">
        <f>IFERROR(__xludf.DUMMYFUNCTION("""COMPUTED_VALUE"""),31902.666666666668)</f>
        <v>31902.66667</v>
      </c>
      <c r="B343" s="1">
        <f>IFERROR(__xludf.DUMMYFUNCTION("""COMPUTED_VALUE"""),289.36)</f>
        <v>289.36</v>
      </c>
      <c r="C343" s="1">
        <f>IFERROR(__xludf.DUMMYFUNCTION("""COMPUTED_VALUE"""),295.4)</f>
        <v>295.4</v>
      </c>
      <c r="D343" s="1">
        <f>IFERROR(__xludf.DUMMYFUNCTION("""COMPUTED_VALUE"""),289.34)</f>
        <v>289.34</v>
      </c>
      <c r="E343" s="1">
        <f>IFERROR(__xludf.DUMMYFUNCTION("""COMPUTED_VALUE"""),295.34)</f>
        <v>295.34</v>
      </c>
      <c r="F343" s="1">
        <f>IFERROR(__xludf.DUMMYFUNCTION("""COMPUTED_VALUE"""),3.0046876E7)</f>
        <v>30046876</v>
      </c>
    </row>
    <row r="344">
      <c r="A344" s="2">
        <f>IFERROR(__xludf.DUMMYFUNCTION("""COMPUTED_VALUE"""),31903.666666666668)</f>
        <v>31903.66667</v>
      </c>
      <c r="B344" s="1">
        <f>IFERROR(__xludf.DUMMYFUNCTION("""COMPUTED_VALUE"""),295.35)</f>
        <v>295.35</v>
      </c>
      <c r="C344" s="1">
        <f>IFERROR(__xludf.DUMMYFUNCTION("""COMPUTED_VALUE"""),296.19)</f>
        <v>296.19</v>
      </c>
      <c r="D344" s="1">
        <f>IFERROR(__xludf.DUMMYFUNCTION("""COMPUTED_VALUE"""),293.6)</f>
        <v>293.6</v>
      </c>
      <c r="E344" s="1">
        <f>IFERROR(__xludf.DUMMYFUNCTION("""COMPUTED_VALUE"""),295.47)</f>
        <v>295.47</v>
      </c>
      <c r="F344" s="1">
        <f>IFERROR(__xludf.DUMMYFUNCTION("""COMPUTED_VALUE"""),3.071875E7)</f>
        <v>30718750</v>
      </c>
    </row>
    <row r="345">
      <c r="A345" s="2">
        <f>IFERROR(__xludf.DUMMYFUNCTION("""COMPUTED_VALUE"""),31904.666666666668)</f>
        <v>31904.66667</v>
      </c>
      <c r="B345" s="1">
        <f>IFERROR(__xludf.DUMMYFUNCTION("""COMPUTED_VALUE"""),295.45)</f>
        <v>295.45</v>
      </c>
      <c r="C345" s="1">
        <f>IFERROR(__xludf.DUMMYFUNCTION("""COMPUTED_VALUE"""),296.8)</f>
        <v>296.8</v>
      </c>
      <c r="D345" s="1">
        <f>IFERROR(__xludf.DUMMYFUNCTION("""COMPUTED_VALUE"""),294.07)</f>
        <v>294.07</v>
      </c>
      <c r="E345" s="1">
        <f>IFERROR(__xludf.DUMMYFUNCTION("""COMPUTED_VALUE"""),294.71)</f>
        <v>294.71</v>
      </c>
      <c r="F345" s="1">
        <f>IFERROR(__xludf.DUMMYFUNCTION("""COMPUTED_VALUE"""),3.3625E7)</f>
        <v>33625000</v>
      </c>
    </row>
    <row r="346">
      <c r="A346" s="2">
        <f>IFERROR(__xludf.DUMMYFUNCTION("""COMPUTED_VALUE"""),31905.666666666668)</f>
        <v>31905.66667</v>
      </c>
      <c r="B346" s="1">
        <f>IFERROR(__xludf.DUMMYFUNCTION("""COMPUTED_VALUE"""),294.73)</f>
        <v>294.73</v>
      </c>
      <c r="C346" s="1">
        <f>IFERROR(__xludf.DUMMYFUNCTION("""COMPUTED_VALUE"""),296.18)</f>
        <v>296.18</v>
      </c>
      <c r="D346" s="1">
        <f>IFERROR(__xludf.DUMMYFUNCTION("""COMPUTED_VALUE"""),291.73)</f>
        <v>291.73</v>
      </c>
      <c r="E346" s="1">
        <f>IFERROR(__xludf.DUMMYFUNCTION("""COMPUTED_VALUE"""),293.37)</f>
        <v>293.37</v>
      </c>
      <c r="F346" s="1">
        <f>IFERROR(__xludf.DUMMYFUNCTION("""COMPUTED_VALUE"""),2.5296876E7)</f>
        <v>25296876</v>
      </c>
    </row>
    <row r="347">
      <c r="A347" s="2">
        <f>IFERROR(__xludf.DUMMYFUNCTION("""COMPUTED_VALUE"""),31908.666666666668)</f>
        <v>31908.66667</v>
      </c>
      <c r="B347" s="1">
        <f>IFERROR(__xludf.DUMMYFUNCTION("""COMPUTED_VALUE"""),293.37)</f>
        <v>293.37</v>
      </c>
      <c r="C347" s="1">
        <f>IFERROR(__xludf.DUMMYFUNCTION("""COMPUTED_VALUE"""),298.69)</f>
        <v>298.69</v>
      </c>
      <c r="D347" s="1">
        <f>IFERROR(__xludf.DUMMYFUNCTION("""COMPUTED_VALUE"""),291.55)</f>
        <v>291.55</v>
      </c>
      <c r="E347" s="1">
        <f>IFERROR(__xludf.DUMMYFUNCTION("""COMPUTED_VALUE"""),291.57)</f>
        <v>291.57</v>
      </c>
      <c r="F347" s="1">
        <f>IFERROR(__xludf.DUMMYFUNCTION("""COMPUTED_VALUE"""),3.1828124E7)</f>
        <v>31828124</v>
      </c>
    </row>
    <row r="348">
      <c r="A348" s="2">
        <f>IFERROR(__xludf.DUMMYFUNCTION("""COMPUTED_VALUE"""),31909.666666666668)</f>
        <v>31909.66667</v>
      </c>
      <c r="B348" s="1">
        <f>IFERROR(__xludf.DUMMYFUNCTION("""COMPUTED_VALUE"""),291.57)</f>
        <v>291.57</v>
      </c>
      <c r="C348" s="1">
        <f>IFERROR(__xludf.DUMMYFUNCTION("""COMPUTED_VALUE"""),293.3)</f>
        <v>293.3</v>
      </c>
      <c r="D348" s="1">
        <f>IFERROR(__xludf.DUMMYFUNCTION("""COMPUTED_VALUE"""),290.18)</f>
        <v>290.18</v>
      </c>
      <c r="E348" s="1">
        <f>IFERROR(__xludf.DUMMYFUNCTION("""COMPUTED_VALUE"""),293.3)</f>
        <v>293.3</v>
      </c>
      <c r="F348" s="1">
        <f>IFERROR(__xludf.DUMMYFUNCTION("""COMPUTED_VALUE"""),2.4265624E7)</f>
        <v>24265624</v>
      </c>
    </row>
    <row r="349">
      <c r="A349" s="2">
        <f>IFERROR(__xludf.DUMMYFUNCTION("""COMPUTED_VALUE"""),31910.666666666668)</f>
        <v>31910.66667</v>
      </c>
      <c r="B349" s="1">
        <f>IFERROR(__xludf.DUMMYFUNCTION("""COMPUTED_VALUE"""),293.31)</f>
        <v>293.31</v>
      </c>
      <c r="C349" s="1">
        <f>IFERROR(__xludf.DUMMYFUNCTION("""COMPUTED_VALUE"""),294.54)</f>
        <v>294.54</v>
      </c>
      <c r="D349" s="1">
        <f>IFERROR(__xludf.DUMMYFUNCTION("""COMPUTED_VALUE"""),290.74)</f>
        <v>290.74</v>
      </c>
      <c r="E349" s="1">
        <f>IFERROR(__xludf.DUMMYFUNCTION("""COMPUTED_VALUE"""),293.98)</f>
        <v>293.98</v>
      </c>
      <c r="F349" s="1">
        <f>IFERROR(__xludf.DUMMYFUNCTION("""COMPUTED_VALUE"""),2.671875E7)</f>
        <v>26718750</v>
      </c>
    </row>
    <row r="350">
      <c r="A350" s="2">
        <f>IFERROR(__xludf.DUMMYFUNCTION("""COMPUTED_VALUE"""),31911.666666666668)</f>
        <v>31911.66667</v>
      </c>
      <c r="B350" s="1">
        <f>IFERROR(__xludf.DUMMYFUNCTION("""COMPUTED_VALUE"""),293.98)</f>
        <v>293.98</v>
      </c>
      <c r="C350" s="1">
        <f>IFERROR(__xludf.DUMMYFUNCTION("""COMPUTED_VALUE"""),295.1)</f>
        <v>295.1</v>
      </c>
      <c r="D350" s="1">
        <f>IFERROR(__xludf.DUMMYFUNCTION("""COMPUTED_VALUE"""),292.95)</f>
        <v>292.95</v>
      </c>
      <c r="E350" s="1">
        <f>IFERROR(__xludf.DUMMYFUNCTION("""COMPUTED_VALUE"""),294.24)</f>
        <v>294.24</v>
      </c>
      <c r="F350" s="1">
        <f>IFERROR(__xludf.DUMMYFUNCTION("""COMPUTED_VALUE"""),2.375E7)</f>
        <v>23750000</v>
      </c>
    </row>
    <row r="351">
      <c r="A351" s="2">
        <f>IFERROR(__xludf.DUMMYFUNCTION("""COMPUTED_VALUE"""),31912.666666666668)</f>
        <v>31912.66667</v>
      </c>
      <c r="B351" s="1">
        <f>IFERROR(__xludf.DUMMYFUNCTION("""COMPUTED_VALUE"""),294.23)</f>
        <v>294.23</v>
      </c>
      <c r="C351" s="1">
        <f>IFERROR(__xludf.DUMMYFUNCTION("""COMPUTED_VALUE"""),294.24)</f>
        <v>294.24</v>
      </c>
      <c r="D351" s="1">
        <f>IFERROR(__xludf.DUMMYFUNCTION("""COMPUTED_VALUE"""),287.11)</f>
        <v>287.11</v>
      </c>
      <c r="E351" s="1">
        <f>IFERROR(__xludf.DUMMYFUNCTION("""COMPUTED_VALUE"""),287.43)</f>
        <v>287.43</v>
      </c>
      <c r="F351" s="1">
        <f>IFERROR(__xludf.DUMMYFUNCTION("""COMPUTED_VALUE"""),2.825E7)</f>
        <v>28250000</v>
      </c>
    </row>
    <row r="352">
      <c r="A352" s="2">
        <f>IFERROR(__xludf.DUMMYFUNCTION("""COMPUTED_VALUE"""),31915.666666666668)</f>
        <v>31915.66667</v>
      </c>
      <c r="B352" s="1">
        <f>IFERROR(__xludf.DUMMYFUNCTION("""COMPUTED_VALUE"""),287.43)</f>
        <v>287.43</v>
      </c>
      <c r="C352" s="1">
        <f>IFERROR(__xludf.DUMMYFUNCTION("""COMPUTED_VALUE"""),287.43)</f>
        <v>287.43</v>
      </c>
      <c r="D352" s="1">
        <f>IFERROR(__xludf.DUMMYFUNCTION("""COMPUTED_VALUE"""),282.57)</f>
        <v>282.57</v>
      </c>
      <c r="E352" s="1">
        <f>IFERROR(__xludf.DUMMYFUNCTION("""COMPUTED_VALUE"""),286.65)</f>
        <v>286.65</v>
      </c>
      <c r="F352" s="1">
        <f>IFERROR(__xludf.DUMMYFUNCTION("""COMPUTED_VALUE"""),2.721875E7)</f>
        <v>27218750</v>
      </c>
    </row>
    <row r="353">
      <c r="A353" s="2">
        <f>IFERROR(__xludf.DUMMYFUNCTION("""COMPUTED_VALUE"""),31916.666666666668)</f>
        <v>31916.66667</v>
      </c>
      <c r="B353" s="1">
        <f>IFERROR(__xludf.DUMMYFUNCTION("""COMPUTED_VALUE"""),286.66)</f>
        <v>286.66</v>
      </c>
      <c r="C353" s="1">
        <f>IFERROR(__xludf.DUMMYFUNCTION("""COMPUTED_VALUE"""),287.39)</f>
        <v>287.39</v>
      </c>
      <c r="D353" s="1">
        <f>IFERROR(__xludf.DUMMYFUNCTION("""COMPUTED_VALUE"""),278.83)</f>
        <v>278.83</v>
      </c>
      <c r="E353" s="1">
        <f>IFERROR(__xludf.DUMMYFUNCTION("""COMPUTED_VALUE"""),279.62)</f>
        <v>279.62</v>
      </c>
      <c r="F353" s="1">
        <f>IFERROR(__xludf.DUMMYFUNCTION("""COMPUTED_VALUE"""),2.740625E7)</f>
        <v>27406250</v>
      </c>
    </row>
    <row r="354">
      <c r="A354" s="2">
        <f>IFERROR(__xludf.DUMMYFUNCTION("""COMPUTED_VALUE"""),31917.666666666668)</f>
        <v>31917.66667</v>
      </c>
      <c r="B354" s="1">
        <f>IFERROR(__xludf.DUMMYFUNCTION("""COMPUTED_VALUE"""),279.62)</f>
        <v>279.62</v>
      </c>
      <c r="C354" s="1">
        <f>IFERROR(__xludf.DUMMYFUNCTION("""COMPUTED_VALUE"""),280.89)</f>
        <v>280.89</v>
      </c>
      <c r="D354" s="1">
        <f>IFERROR(__xludf.DUMMYFUNCTION("""COMPUTED_VALUE"""),277.01)</f>
        <v>277.01</v>
      </c>
      <c r="E354" s="1">
        <f>IFERROR(__xludf.DUMMYFUNCTION("""COMPUTED_VALUE"""),278.21)</f>
        <v>278.21</v>
      </c>
      <c r="F354" s="1">
        <f>IFERROR(__xludf.DUMMYFUNCTION("""COMPUTED_VALUE"""),3.23125E7)</f>
        <v>32312500</v>
      </c>
    </row>
    <row r="355">
      <c r="A355" s="2">
        <f>IFERROR(__xludf.DUMMYFUNCTION("""COMPUTED_VALUE"""),31918.666666666668)</f>
        <v>31918.66667</v>
      </c>
      <c r="B355" s="1">
        <f>IFERROR(__xludf.DUMMYFUNCTION("""COMPUTED_VALUE"""),278.23)</f>
        <v>278.23</v>
      </c>
      <c r="C355" s="1">
        <f>IFERROR(__xludf.DUMMYFUNCTION("""COMPUTED_VALUE"""),282.31)</f>
        <v>282.31</v>
      </c>
      <c r="D355" s="1">
        <f>IFERROR(__xludf.DUMMYFUNCTION("""COMPUTED_VALUE"""),278.21)</f>
        <v>278.21</v>
      </c>
      <c r="E355" s="1">
        <f>IFERROR(__xludf.DUMMYFUNCTION("""COMPUTED_VALUE"""),280.17)</f>
        <v>280.17</v>
      </c>
      <c r="F355" s="1">
        <f>IFERROR(__xludf.DUMMYFUNCTION("""COMPUTED_VALUE"""),2.575E7)</f>
        <v>25750000</v>
      </c>
    </row>
    <row r="356">
      <c r="A356" s="2">
        <f>IFERROR(__xludf.DUMMYFUNCTION("""COMPUTED_VALUE"""),31919.666666666668)</f>
        <v>31919.66667</v>
      </c>
      <c r="B356" s="1">
        <f>IFERROR(__xludf.DUMMYFUNCTION("""COMPUTED_VALUE"""),280.17)</f>
        <v>280.17</v>
      </c>
      <c r="C356" s="1">
        <f>IFERROR(__xludf.DUMMYFUNCTION("""COMPUTED_VALUE"""),283.33)</f>
        <v>283.33</v>
      </c>
      <c r="D356" s="1">
        <f>IFERROR(__xludf.DUMMYFUNCTION("""COMPUTED_VALUE"""),280.17)</f>
        <v>280.17</v>
      </c>
      <c r="E356" s="1">
        <f>IFERROR(__xludf.DUMMYFUNCTION("""COMPUTED_VALUE"""),282.16)</f>
        <v>282.16</v>
      </c>
      <c r="F356" s="1">
        <f>IFERROR(__xludf.DUMMYFUNCTION("""COMPUTED_VALUE"""),2.121875E7)</f>
        <v>21218750</v>
      </c>
    </row>
    <row r="357">
      <c r="A357" s="2">
        <f>IFERROR(__xludf.DUMMYFUNCTION("""COMPUTED_VALUE"""),31923.666666666668)</f>
        <v>31923.66667</v>
      </c>
      <c r="B357" s="1">
        <f>IFERROR(__xludf.DUMMYFUNCTION("""COMPUTED_VALUE"""),282.16)</f>
        <v>282.16</v>
      </c>
      <c r="C357" s="1">
        <f>IFERROR(__xludf.DUMMYFUNCTION("""COMPUTED_VALUE"""),289.11)</f>
        <v>289.11</v>
      </c>
      <c r="D357" s="1">
        <f>IFERROR(__xludf.DUMMYFUNCTION("""COMPUTED_VALUE"""),282.16)</f>
        <v>282.16</v>
      </c>
      <c r="E357" s="1">
        <f>IFERROR(__xludf.DUMMYFUNCTION("""COMPUTED_VALUE"""),289.11)</f>
        <v>289.11</v>
      </c>
      <c r="F357" s="1">
        <f>IFERROR(__xludf.DUMMYFUNCTION("""COMPUTED_VALUE"""),2.3828124E7)</f>
        <v>23828124</v>
      </c>
    </row>
    <row r="358">
      <c r="A358" s="2">
        <f>IFERROR(__xludf.DUMMYFUNCTION("""COMPUTED_VALUE"""),31924.666666666668)</f>
        <v>31924.66667</v>
      </c>
      <c r="B358" s="1">
        <f>IFERROR(__xludf.DUMMYFUNCTION("""COMPUTED_VALUE"""),289.07)</f>
        <v>289.07</v>
      </c>
      <c r="C358" s="1">
        <f>IFERROR(__xludf.DUMMYFUNCTION("""COMPUTED_VALUE"""),290.78)</f>
        <v>290.78</v>
      </c>
      <c r="D358" s="1">
        <f>IFERROR(__xludf.DUMMYFUNCTION("""COMPUTED_VALUE"""),288.19)</f>
        <v>288.19</v>
      </c>
      <c r="E358" s="1">
        <f>IFERROR(__xludf.DUMMYFUNCTION("""COMPUTED_VALUE"""),288.73)</f>
        <v>288.73</v>
      </c>
      <c r="F358" s="1">
        <f>IFERROR(__xludf.DUMMYFUNCTION("""COMPUTED_VALUE"""),2.678125E7)</f>
        <v>26781250</v>
      </c>
    </row>
    <row r="359">
      <c r="A359" s="2">
        <f>IFERROR(__xludf.DUMMYFUNCTION("""COMPUTED_VALUE"""),31925.666666666668)</f>
        <v>31925.66667</v>
      </c>
      <c r="B359" s="1">
        <f>IFERROR(__xludf.DUMMYFUNCTION("""COMPUTED_VALUE"""),288.73)</f>
        <v>288.73</v>
      </c>
      <c r="C359" s="1">
        <f>IFERROR(__xludf.DUMMYFUNCTION("""COMPUTED_VALUE"""),291.5)</f>
        <v>291.5</v>
      </c>
      <c r="D359" s="1">
        <f>IFERROR(__xludf.DUMMYFUNCTION("""COMPUTED_VALUE"""),286.33)</f>
        <v>286.33</v>
      </c>
      <c r="E359" s="1">
        <f>IFERROR(__xludf.DUMMYFUNCTION("""COMPUTED_VALUE"""),290.76)</f>
        <v>290.76</v>
      </c>
      <c r="F359" s="1">
        <f>IFERROR(__xludf.DUMMYFUNCTION("""COMPUTED_VALUE"""),2.403125E7)</f>
        <v>24031250</v>
      </c>
    </row>
    <row r="360">
      <c r="A360" s="2">
        <f>IFERROR(__xludf.DUMMYFUNCTION("""COMPUTED_VALUE"""),31926.666666666668)</f>
        <v>31926.66667</v>
      </c>
      <c r="B360" s="1">
        <f>IFERROR(__xludf.DUMMYFUNCTION("""COMPUTED_VALUE"""),290.77)</f>
        <v>290.77</v>
      </c>
      <c r="C360" s="1">
        <f>IFERROR(__xludf.DUMMYFUNCTION("""COMPUTED_VALUE"""),292.87)</f>
        <v>292.87</v>
      </c>
      <c r="D360" s="1">
        <f>IFERROR(__xludf.DUMMYFUNCTION("""COMPUTED_VALUE"""),289.7)</f>
        <v>289.7</v>
      </c>
      <c r="E360" s="1">
        <f>IFERROR(__xludf.DUMMYFUNCTION("""COMPUTED_VALUE"""),290.1)</f>
        <v>290.1</v>
      </c>
      <c r="F360" s="1">
        <f>IFERROR(__xludf.DUMMYFUNCTION("""COMPUTED_VALUE"""),2.3984376E7)</f>
        <v>23984376</v>
      </c>
    </row>
    <row r="361">
      <c r="A361" s="2">
        <f>IFERROR(__xludf.DUMMYFUNCTION("""COMPUTED_VALUE"""),31929.666666666668)</f>
        <v>31929.66667</v>
      </c>
      <c r="B361" s="1">
        <f>IFERROR(__xludf.DUMMYFUNCTION("""COMPUTED_VALUE"""),290.12)</f>
        <v>290.12</v>
      </c>
      <c r="C361" s="1">
        <f>IFERROR(__xludf.DUMMYFUNCTION("""COMPUTED_VALUE"""),291.96)</f>
        <v>291.96</v>
      </c>
      <c r="D361" s="1">
        <f>IFERROR(__xludf.DUMMYFUNCTION("""COMPUTED_VALUE"""),289.23)</f>
        <v>289.23</v>
      </c>
      <c r="E361" s="1">
        <f>IFERROR(__xludf.DUMMYFUNCTION("""COMPUTED_VALUE"""),289.83)</f>
        <v>289.83</v>
      </c>
      <c r="F361" s="1">
        <f>IFERROR(__xludf.DUMMYFUNCTION("""COMPUTED_VALUE"""),2.3328124E7)</f>
        <v>23328124</v>
      </c>
    </row>
    <row r="362">
      <c r="A362" s="2">
        <f>IFERROR(__xludf.DUMMYFUNCTION("""COMPUTED_VALUE"""),31930.666666666668)</f>
        <v>31930.66667</v>
      </c>
      <c r="B362" s="1">
        <f>IFERROR(__xludf.DUMMYFUNCTION("""COMPUTED_VALUE"""),289.82)</f>
        <v>289.82</v>
      </c>
      <c r="C362" s="1">
        <f>IFERROR(__xludf.DUMMYFUNCTION("""COMPUTED_VALUE"""),290.94)</f>
        <v>290.94</v>
      </c>
      <c r="D362" s="1">
        <f>IFERROR(__xludf.DUMMYFUNCTION("""COMPUTED_VALUE"""),286.93)</f>
        <v>286.93</v>
      </c>
      <c r="E362" s="1">
        <f>IFERROR(__xludf.DUMMYFUNCTION("""COMPUTED_VALUE"""),288.46)</f>
        <v>288.46</v>
      </c>
      <c r="F362" s="1">
        <f>IFERROR(__xludf.DUMMYFUNCTION("""COMPUTED_VALUE"""),2.396875E7)</f>
        <v>23968750</v>
      </c>
    </row>
    <row r="363">
      <c r="A363" s="2">
        <f>IFERROR(__xludf.DUMMYFUNCTION("""COMPUTED_VALUE"""),31931.666666666668)</f>
        <v>31931.66667</v>
      </c>
      <c r="B363" s="1">
        <f>IFERROR(__xludf.DUMMYFUNCTION("""COMPUTED_VALUE"""),288.56)</f>
        <v>288.56</v>
      </c>
      <c r="C363" s="1">
        <f>IFERROR(__xludf.DUMMYFUNCTION("""COMPUTED_VALUE"""),293.47)</f>
        <v>293.47</v>
      </c>
      <c r="D363" s="1">
        <f>IFERROR(__xludf.DUMMYFUNCTION("""COMPUTED_VALUE"""),288.56)</f>
        <v>288.56</v>
      </c>
      <c r="E363" s="1">
        <f>IFERROR(__xludf.DUMMYFUNCTION("""COMPUTED_VALUE"""),293.47)</f>
        <v>293.47</v>
      </c>
      <c r="F363" s="1">
        <f>IFERROR(__xludf.DUMMYFUNCTION("""COMPUTED_VALUE"""),2.565625E7)</f>
        <v>25656250</v>
      </c>
    </row>
    <row r="364">
      <c r="A364" s="2">
        <f>IFERROR(__xludf.DUMMYFUNCTION("""COMPUTED_VALUE"""),31932.666666666668)</f>
        <v>31932.66667</v>
      </c>
      <c r="B364" s="1">
        <f>IFERROR(__xludf.DUMMYFUNCTION("""COMPUTED_VALUE"""),293.46)</f>
        <v>293.46</v>
      </c>
      <c r="C364" s="1">
        <f>IFERROR(__xludf.DUMMYFUNCTION("""COMPUTED_VALUE"""),295.09)</f>
        <v>295.09</v>
      </c>
      <c r="D364" s="1">
        <f>IFERROR(__xludf.DUMMYFUNCTION("""COMPUTED_VALUE"""),292.76)</f>
        <v>292.76</v>
      </c>
      <c r="E364" s="1">
        <f>IFERROR(__xludf.DUMMYFUNCTION("""COMPUTED_VALUE"""),295.09)</f>
        <v>295.09</v>
      </c>
      <c r="F364" s="1">
        <f>IFERROR(__xludf.DUMMYFUNCTION("""COMPUTED_VALUE"""),2.1921876E7)</f>
        <v>21921876</v>
      </c>
    </row>
    <row r="365">
      <c r="A365" s="2">
        <f>IFERROR(__xludf.DUMMYFUNCTION("""COMPUTED_VALUE"""),31933.666666666668)</f>
        <v>31933.66667</v>
      </c>
      <c r="B365" s="1">
        <f>IFERROR(__xludf.DUMMYFUNCTION("""COMPUTED_VALUE"""),295.11)</f>
        <v>295.11</v>
      </c>
      <c r="C365" s="1">
        <f>IFERROR(__xludf.DUMMYFUNCTION("""COMPUTED_VALUE"""),295.11)</f>
        <v>295.11</v>
      </c>
      <c r="D365" s="1">
        <f>IFERROR(__xludf.DUMMYFUNCTION("""COMPUTED_VALUE"""),292.8)</f>
        <v>292.8</v>
      </c>
      <c r="E365" s="1">
        <f>IFERROR(__xludf.DUMMYFUNCTION("""COMPUTED_VALUE"""),293.45)</f>
        <v>293.45</v>
      </c>
      <c r="F365" s="1">
        <f>IFERROR(__xludf.DUMMYFUNCTION("""COMPUTED_VALUE"""),2.0171876E7)</f>
        <v>20171876</v>
      </c>
    </row>
    <row r="366">
      <c r="A366" s="2">
        <f>IFERROR(__xludf.DUMMYFUNCTION("""COMPUTED_VALUE"""),31936.666666666668)</f>
        <v>31936.66667</v>
      </c>
      <c r="B366" s="1">
        <f>IFERROR(__xludf.DUMMYFUNCTION("""COMPUTED_VALUE"""),293.46)</f>
        <v>293.46</v>
      </c>
      <c r="C366" s="1">
        <f>IFERROR(__xludf.DUMMYFUNCTION("""COMPUTED_VALUE"""),297.03)</f>
        <v>297.03</v>
      </c>
      <c r="D366" s="1">
        <f>IFERROR(__xludf.DUMMYFUNCTION("""COMPUTED_VALUE"""),291.55)</f>
        <v>291.55</v>
      </c>
      <c r="E366" s="1">
        <f>IFERROR(__xludf.DUMMYFUNCTION("""COMPUTED_VALUE"""),296.72)</f>
        <v>296.72</v>
      </c>
      <c r="F366" s="1">
        <f>IFERROR(__xludf.DUMMYFUNCTION("""COMPUTED_VALUE"""),2.13125E7)</f>
        <v>21312500</v>
      </c>
    </row>
    <row r="367">
      <c r="A367" s="2">
        <f>IFERROR(__xludf.DUMMYFUNCTION("""COMPUTED_VALUE"""),31937.666666666668)</f>
        <v>31937.66667</v>
      </c>
      <c r="B367" s="1">
        <f>IFERROR(__xludf.DUMMYFUNCTION("""COMPUTED_VALUE"""),296.72)</f>
        <v>296.72</v>
      </c>
      <c r="C367" s="1">
        <f>IFERROR(__xludf.DUMMYFUNCTION("""COMPUTED_VALUE"""),297.59)</f>
        <v>297.59</v>
      </c>
      <c r="D367" s="1">
        <f>IFERROR(__xludf.DUMMYFUNCTION("""COMPUTED_VALUE"""),295.9)</f>
        <v>295.9</v>
      </c>
      <c r="E367" s="1">
        <f>IFERROR(__xludf.DUMMYFUNCTION("""COMPUTED_VALUE"""),297.28)</f>
        <v>297.28</v>
      </c>
      <c r="F367" s="1">
        <f>IFERROR(__xludf.DUMMYFUNCTION("""COMPUTED_VALUE"""),2.565625E7)</f>
        <v>25656250</v>
      </c>
    </row>
    <row r="368">
      <c r="A368" s="2">
        <f>IFERROR(__xludf.DUMMYFUNCTION("""COMPUTED_VALUE"""),31938.666666666668)</f>
        <v>31938.66667</v>
      </c>
      <c r="B368" s="1">
        <f>IFERROR(__xludf.DUMMYFUNCTION("""COMPUTED_VALUE"""),297.28)</f>
        <v>297.28</v>
      </c>
      <c r="C368" s="1">
        <f>IFERROR(__xludf.DUMMYFUNCTION("""COMPUTED_VALUE"""),300.81)</f>
        <v>300.81</v>
      </c>
      <c r="D368" s="1">
        <f>IFERROR(__xludf.DUMMYFUNCTION("""COMPUTED_VALUE"""),295.66)</f>
        <v>295.66</v>
      </c>
      <c r="E368" s="1">
        <f>IFERROR(__xludf.DUMMYFUNCTION("""COMPUTED_VALUE"""),297.47)</f>
        <v>297.47</v>
      </c>
      <c r="F368" s="1">
        <f>IFERROR(__xludf.DUMMYFUNCTION("""COMPUTED_VALUE"""),3.084375E7)</f>
        <v>30843750</v>
      </c>
    </row>
    <row r="369">
      <c r="A369" s="2">
        <f>IFERROR(__xludf.DUMMYFUNCTION("""COMPUTED_VALUE"""),31939.666666666668)</f>
        <v>31939.66667</v>
      </c>
      <c r="B369" s="1">
        <f>IFERROR(__xludf.DUMMYFUNCTION("""COMPUTED_VALUE"""),297.5)</f>
        <v>297.5</v>
      </c>
      <c r="C369" s="1">
        <f>IFERROR(__xludf.DUMMYFUNCTION("""COMPUTED_VALUE"""),298.94)</f>
        <v>298.94</v>
      </c>
      <c r="D369" s="1">
        <f>IFERROR(__xludf.DUMMYFUNCTION("""COMPUTED_VALUE"""),297.47)</f>
        <v>297.47</v>
      </c>
      <c r="E369" s="1">
        <f>IFERROR(__xludf.DUMMYFUNCTION("""COMPUTED_VALUE"""),298.73)</f>
        <v>298.73</v>
      </c>
      <c r="F369" s="1">
        <f>IFERROR(__xludf.DUMMYFUNCTION("""COMPUTED_VALUE"""),2.1703124E7)</f>
        <v>21703124</v>
      </c>
    </row>
    <row r="370">
      <c r="A370" s="2">
        <f>IFERROR(__xludf.DUMMYFUNCTION("""COMPUTED_VALUE"""),31940.666666666668)</f>
        <v>31940.66667</v>
      </c>
      <c r="B370" s="1">
        <f>IFERROR(__xludf.DUMMYFUNCTION("""COMPUTED_VALUE"""),298.77)</f>
        <v>298.77</v>
      </c>
      <c r="C370" s="1">
        <f>IFERROR(__xludf.DUMMYFUNCTION("""COMPUTED_VALUE"""),302.26)</f>
        <v>302.26</v>
      </c>
      <c r="D370" s="1">
        <f>IFERROR(__xludf.DUMMYFUNCTION("""COMPUTED_VALUE"""),298.73)</f>
        <v>298.73</v>
      </c>
      <c r="E370" s="1">
        <f>IFERROR(__xludf.DUMMYFUNCTION("""COMPUTED_VALUE"""),301.62)</f>
        <v>301.62</v>
      </c>
      <c r="F370" s="1">
        <f>IFERROR(__xludf.DUMMYFUNCTION("""COMPUTED_VALUE"""),2.7359376E7)</f>
        <v>27359376</v>
      </c>
    </row>
    <row r="371">
      <c r="A371" s="2">
        <f>IFERROR(__xludf.DUMMYFUNCTION("""COMPUTED_VALUE"""),31943.666666666668)</f>
        <v>31943.66667</v>
      </c>
      <c r="B371" s="1">
        <f>IFERROR(__xludf.DUMMYFUNCTION("""COMPUTED_VALUE"""),301.62)</f>
        <v>301.62</v>
      </c>
      <c r="C371" s="1">
        <f>IFERROR(__xludf.DUMMYFUNCTION("""COMPUTED_VALUE"""),304.11)</f>
        <v>304.11</v>
      </c>
      <c r="D371" s="1">
        <f>IFERROR(__xludf.DUMMYFUNCTION("""COMPUTED_VALUE"""),301.62)</f>
        <v>301.62</v>
      </c>
      <c r="E371" s="1">
        <f>IFERROR(__xludf.DUMMYFUNCTION("""COMPUTED_VALUE"""),303.14)</f>
        <v>303.14</v>
      </c>
      <c r="F371" s="1">
        <f>IFERROR(__xludf.DUMMYFUNCTION("""COMPUTED_VALUE"""),2.4515624E7)</f>
        <v>24515624</v>
      </c>
    </row>
    <row r="372">
      <c r="A372" s="2">
        <f>IFERROR(__xludf.DUMMYFUNCTION("""COMPUTED_VALUE"""),31944.666666666668)</f>
        <v>31944.66667</v>
      </c>
      <c r="B372" s="1">
        <f>IFERROR(__xludf.DUMMYFUNCTION("""COMPUTED_VALUE"""),303.12)</f>
        <v>303.12</v>
      </c>
      <c r="C372" s="1">
        <f>IFERROR(__xludf.DUMMYFUNCTION("""COMPUTED_VALUE"""),304.86)</f>
        <v>304.86</v>
      </c>
      <c r="D372" s="1">
        <f>IFERROR(__xludf.DUMMYFUNCTION("""COMPUTED_VALUE"""),302.6)</f>
        <v>302.6</v>
      </c>
      <c r="E372" s="1">
        <f>IFERROR(__xludf.DUMMYFUNCTION("""COMPUTED_VALUE"""),304.76)</f>
        <v>304.76</v>
      </c>
      <c r="F372" s="1">
        <f>IFERROR(__xludf.DUMMYFUNCTION("""COMPUTED_VALUE"""),2.465625E7)</f>
        <v>24656250</v>
      </c>
    </row>
    <row r="373">
      <c r="A373" s="2">
        <f>IFERROR(__xludf.DUMMYFUNCTION("""COMPUTED_VALUE"""),31945.666666666668)</f>
        <v>31945.66667</v>
      </c>
      <c r="B373" s="1">
        <f>IFERROR(__xludf.DUMMYFUNCTION("""COMPUTED_VALUE"""),304.77)</f>
        <v>304.77</v>
      </c>
      <c r="C373" s="1">
        <f>IFERROR(__xludf.DUMMYFUNCTION("""COMPUTED_VALUE"""),305.74)</f>
        <v>305.74</v>
      </c>
      <c r="D373" s="1">
        <f>IFERROR(__xludf.DUMMYFUNCTION("""COMPUTED_VALUE"""),304.03)</f>
        <v>304.03</v>
      </c>
      <c r="E373" s="1">
        <f>IFERROR(__xludf.DUMMYFUNCTION("""COMPUTED_VALUE"""),304.81)</f>
        <v>304.81</v>
      </c>
      <c r="F373" s="1">
        <f>IFERROR(__xludf.DUMMYFUNCTION("""COMPUTED_VALUE"""),2.8859376E7)</f>
        <v>28859376</v>
      </c>
    </row>
    <row r="374">
      <c r="A374" s="2">
        <f>IFERROR(__xludf.DUMMYFUNCTION("""COMPUTED_VALUE"""),31946.666666666668)</f>
        <v>31946.66667</v>
      </c>
      <c r="B374" s="1">
        <f>IFERROR(__xludf.DUMMYFUNCTION("""COMPUTED_VALUE"""),304.78)</f>
        <v>304.78</v>
      </c>
      <c r="C374" s="1">
        <f>IFERROR(__xludf.DUMMYFUNCTION("""COMPUTED_VALUE"""),306.13)</f>
        <v>306.13</v>
      </c>
      <c r="D374" s="1">
        <f>IFERROR(__xludf.DUMMYFUNCTION("""COMPUTED_VALUE"""),303.38)</f>
        <v>303.38</v>
      </c>
      <c r="E374" s="1">
        <f>IFERROR(__xludf.DUMMYFUNCTION("""COMPUTED_VALUE"""),305.69)</f>
        <v>305.69</v>
      </c>
      <c r="F374" s="1">
        <f>IFERROR(__xludf.DUMMYFUNCTION("""COMPUTED_VALUE"""),2.634375E7)</f>
        <v>26343750</v>
      </c>
    </row>
    <row r="375">
      <c r="A375" s="2">
        <f>IFERROR(__xludf.DUMMYFUNCTION("""COMPUTED_VALUE"""),31947.666666666668)</f>
        <v>31947.66667</v>
      </c>
      <c r="B375" s="1">
        <f>IFERROR(__xludf.DUMMYFUNCTION("""COMPUTED_VALUE"""),305.71)</f>
        <v>305.71</v>
      </c>
      <c r="C375" s="1">
        <f>IFERROR(__xludf.DUMMYFUNCTION("""COMPUTED_VALUE"""),306.97)</f>
        <v>306.97</v>
      </c>
      <c r="D375" s="1">
        <f>IFERROR(__xludf.DUMMYFUNCTION("""COMPUTED_VALUE"""),305.55)</f>
        <v>305.55</v>
      </c>
      <c r="E375" s="1">
        <f>IFERROR(__xludf.DUMMYFUNCTION("""COMPUTED_VALUE"""),306.97)</f>
        <v>306.97</v>
      </c>
      <c r="F375" s="1">
        <f>IFERROR(__xludf.DUMMYFUNCTION("""COMPUTED_VALUE"""),3.4453124E7)</f>
        <v>34453124</v>
      </c>
    </row>
    <row r="376">
      <c r="A376" s="2">
        <f>IFERROR(__xludf.DUMMYFUNCTION("""COMPUTED_VALUE"""),31950.666666666668)</f>
        <v>31950.66667</v>
      </c>
      <c r="B376" s="1">
        <f>IFERROR(__xludf.DUMMYFUNCTION("""COMPUTED_VALUE"""),306.98)</f>
        <v>306.98</v>
      </c>
      <c r="C376" s="1">
        <f>IFERROR(__xludf.DUMMYFUNCTION("""COMPUTED_VALUE"""),310.2)</f>
        <v>310.2</v>
      </c>
      <c r="D376" s="1">
        <f>IFERROR(__xludf.DUMMYFUNCTION("""COMPUTED_VALUE"""),306.97)</f>
        <v>306.97</v>
      </c>
      <c r="E376" s="1">
        <f>IFERROR(__xludf.DUMMYFUNCTION("""COMPUTED_VALUE"""),309.65)</f>
        <v>309.65</v>
      </c>
      <c r="F376" s="1">
        <f>IFERROR(__xludf.DUMMYFUNCTION("""COMPUTED_VALUE"""),2.784375E7)</f>
        <v>27843750</v>
      </c>
    </row>
    <row r="377">
      <c r="A377" s="2">
        <f>IFERROR(__xludf.DUMMYFUNCTION("""COMPUTED_VALUE"""),31951.666666666668)</f>
        <v>31951.66667</v>
      </c>
      <c r="B377" s="1">
        <f>IFERROR(__xludf.DUMMYFUNCTION("""COMPUTED_VALUE"""),309.66)</f>
        <v>309.66</v>
      </c>
      <c r="C377" s="1">
        <f>IFERROR(__xludf.DUMMYFUNCTION("""COMPUTED_VALUE"""),310.27)</f>
        <v>310.27</v>
      </c>
      <c r="D377" s="1">
        <f>IFERROR(__xludf.DUMMYFUNCTION("""COMPUTED_VALUE"""),307.48)</f>
        <v>307.48</v>
      </c>
      <c r="E377" s="1">
        <f>IFERROR(__xludf.DUMMYFUNCTION("""COMPUTED_VALUE"""),308.43)</f>
        <v>308.43</v>
      </c>
      <c r="F377" s="1">
        <f>IFERROR(__xludf.DUMMYFUNCTION("""COMPUTED_VALUE"""),3.034375E7)</f>
        <v>30343750</v>
      </c>
    </row>
    <row r="378">
      <c r="A378" s="2">
        <f>IFERROR(__xludf.DUMMYFUNCTION("""COMPUTED_VALUE"""),31952.666666666668)</f>
        <v>31952.66667</v>
      </c>
      <c r="B378" s="1">
        <f>IFERROR(__xludf.DUMMYFUNCTION("""COMPUTED_VALUE"""),308.44)</f>
        <v>308.44</v>
      </c>
      <c r="C378" s="1">
        <f>IFERROR(__xludf.DUMMYFUNCTION("""COMPUTED_VALUE"""),308.91)</f>
        <v>308.91</v>
      </c>
      <c r="D378" s="1">
        <f>IFERROR(__xludf.DUMMYFUNCTION("""COMPUTED_VALUE"""),306.32)</f>
        <v>306.32</v>
      </c>
      <c r="E378" s="1">
        <f>IFERROR(__xludf.DUMMYFUNCTION("""COMPUTED_VALUE"""),306.86)</f>
        <v>306.86</v>
      </c>
      <c r="F378" s="1">
        <f>IFERROR(__xludf.DUMMYFUNCTION("""COMPUTED_VALUE"""),2.403125E7)</f>
        <v>24031250</v>
      </c>
    </row>
    <row r="379">
      <c r="A379" s="2">
        <f>IFERROR(__xludf.DUMMYFUNCTION("""COMPUTED_VALUE"""),31953.666666666668)</f>
        <v>31953.66667</v>
      </c>
      <c r="B379" s="1">
        <f>IFERROR(__xludf.DUMMYFUNCTION("""COMPUTED_VALUE"""),306.87)</f>
        <v>306.87</v>
      </c>
      <c r="C379" s="1">
        <f>IFERROR(__xludf.DUMMYFUNCTION("""COMPUTED_VALUE"""),309.44)</f>
        <v>309.44</v>
      </c>
      <c r="D379" s="1">
        <f>IFERROR(__xludf.DUMMYFUNCTION("""COMPUTED_VALUE"""),306.86)</f>
        <v>306.86</v>
      </c>
      <c r="E379" s="1">
        <f>IFERROR(__xludf.DUMMYFUNCTION("""COMPUTED_VALUE"""),308.96)</f>
        <v>308.96</v>
      </c>
      <c r="F379" s="1">
        <f>IFERROR(__xludf.DUMMYFUNCTION("""COMPUTED_VALUE"""),2.7109376E7)</f>
        <v>27109376</v>
      </c>
    </row>
    <row r="380">
      <c r="A380" s="2">
        <f>IFERROR(__xludf.DUMMYFUNCTION("""COMPUTED_VALUE"""),31954.666666666668)</f>
        <v>31954.66667</v>
      </c>
      <c r="B380" s="1">
        <f>IFERROR(__xludf.DUMMYFUNCTION("""COMPUTED_VALUE"""),308.94)</f>
        <v>308.94</v>
      </c>
      <c r="C380" s="1">
        <f>IFERROR(__xludf.DUMMYFUNCTION("""COMPUTED_VALUE"""),308.96)</f>
        <v>308.96</v>
      </c>
      <c r="D380" s="1">
        <f>IFERROR(__xludf.DUMMYFUNCTION("""COMPUTED_VALUE"""),306.36)</f>
        <v>306.36</v>
      </c>
      <c r="E380" s="1">
        <f>IFERROR(__xludf.DUMMYFUNCTION("""COMPUTED_VALUE"""),307.16)</f>
        <v>307.16</v>
      </c>
      <c r="F380" s="1">
        <f>IFERROR(__xludf.DUMMYFUNCTION("""COMPUTED_VALUE"""),2.3515624E7)</f>
        <v>23515624</v>
      </c>
    </row>
    <row r="381">
      <c r="A381" s="2">
        <f>IFERROR(__xludf.DUMMYFUNCTION("""COMPUTED_VALUE"""),31957.666666666668)</f>
        <v>31957.66667</v>
      </c>
      <c r="B381" s="1">
        <f>IFERROR(__xludf.DUMMYFUNCTION("""COMPUTED_VALUE"""),307.15)</f>
        <v>307.15</v>
      </c>
      <c r="C381" s="1">
        <f>IFERROR(__xludf.DUMMYFUNCTION("""COMPUTED_VALUE"""),308.15)</f>
        <v>308.15</v>
      </c>
      <c r="D381" s="1">
        <f>IFERROR(__xludf.DUMMYFUNCTION("""COMPUTED_VALUE"""),306.75)</f>
        <v>306.75</v>
      </c>
      <c r="E381" s="1">
        <f>IFERROR(__xludf.DUMMYFUNCTION("""COMPUTED_VALUE"""),307.9)</f>
        <v>307.9</v>
      </c>
      <c r="F381" s="1">
        <f>IFERROR(__xludf.DUMMYFUNCTION("""COMPUTED_VALUE"""),2.2265624E7)</f>
        <v>22265624</v>
      </c>
    </row>
    <row r="382">
      <c r="A382" s="2">
        <f>IFERROR(__xludf.DUMMYFUNCTION("""COMPUTED_VALUE"""),31958.666666666668)</f>
        <v>31958.66667</v>
      </c>
      <c r="B382" s="1">
        <f>IFERROR(__xludf.DUMMYFUNCTION("""COMPUTED_VALUE"""),307.89)</f>
        <v>307.89</v>
      </c>
      <c r="C382" s="1">
        <f>IFERROR(__xludf.DUMMYFUNCTION("""COMPUTED_VALUE"""),308.0)</f>
        <v>308</v>
      </c>
      <c r="D382" s="1">
        <f>IFERROR(__xludf.DUMMYFUNCTION("""COMPUTED_VALUE"""),303.01)</f>
        <v>303.01</v>
      </c>
      <c r="E382" s="1">
        <f>IFERROR(__xludf.DUMMYFUNCTION("""COMPUTED_VALUE"""),304.0)</f>
        <v>304</v>
      </c>
      <c r="F382" s="1">
        <f>IFERROR(__xludf.DUMMYFUNCTION("""COMPUTED_VALUE"""),2.5859376E7)</f>
        <v>25859376</v>
      </c>
    </row>
    <row r="383">
      <c r="A383" s="2">
        <f>IFERROR(__xludf.DUMMYFUNCTION("""COMPUTED_VALUE"""),31959.666666666668)</f>
        <v>31959.66667</v>
      </c>
      <c r="B383" s="1">
        <f>IFERROR(__xludf.DUMMYFUNCTION("""COMPUTED_VALUE"""),303.99)</f>
        <v>303.99</v>
      </c>
      <c r="C383" s="1">
        <f>IFERROR(__xludf.DUMMYFUNCTION("""COMPUTED_VALUE"""),304.0)</f>
        <v>304</v>
      </c>
      <c r="D383" s="1">
        <f>IFERROR(__xludf.DUMMYFUNCTION("""COMPUTED_VALUE"""),302.53)</f>
        <v>302.53</v>
      </c>
      <c r="E383" s="1">
        <f>IFERROR(__xludf.DUMMYFUNCTION("""COMPUTED_VALUE"""),302.94)</f>
        <v>302.94</v>
      </c>
      <c r="F383" s="1">
        <f>IFERROR(__xludf.DUMMYFUNCTION("""COMPUTED_VALUE"""),2.453125E7)</f>
        <v>24531250</v>
      </c>
    </row>
    <row r="384">
      <c r="A384" s="2">
        <f>IFERROR(__xludf.DUMMYFUNCTION("""COMPUTED_VALUE"""),31960.666666666668)</f>
        <v>31960.66667</v>
      </c>
      <c r="B384" s="1">
        <f>IFERROR(__xludf.DUMMYFUNCTION("""COMPUTED_VALUE"""),302.96)</f>
        <v>302.96</v>
      </c>
      <c r="C384" s="1">
        <f>IFERROR(__xludf.DUMMYFUNCTION("""COMPUTED_VALUE"""),306.34)</f>
        <v>306.34</v>
      </c>
      <c r="D384" s="1">
        <f>IFERROR(__xludf.DUMMYFUNCTION("""COMPUTED_VALUE"""),302.94)</f>
        <v>302.94</v>
      </c>
      <c r="E384" s="1">
        <f>IFERROR(__xludf.DUMMYFUNCTION("""COMPUTED_VALUE"""),305.63)</f>
        <v>305.63</v>
      </c>
      <c r="F384" s="1">
        <f>IFERROR(__xludf.DUMMYFUNCTION("""COMPUTED_VALUE"""),2.4203124E7)</f>
        <v>24203124</v>
      </c>
    </row>
    <row r="385">
      <c r="A385" s="2">
        <f>IFERROR(__xludf.DUMMYFUNCTION("""COMPUTED_VALUE"""),31961.666666666668)</f>
        <v>31961.66667</v>
      </c>
      <c r="B385" s="1">
        <f>IFERROR(__xludf.DUMMYFUNCTION("""COMPUTED_VALUE"""),304.92)</f>
        <v>304.92</v>
      </c>
      <c r="C385" s="1">
        <f>IFERROR(__xludf.DUMMYFUNCTION("""COMPUTED_VALUE"""),304.92)</f>
        <v>304.92</v>
      </c>
      <c r="D385" s="1">
        <f>IFERROR(__xludf.DUMMYFUNCTION("""COMPUTED_VALUE"""),304.92)</f>
        <v>304.92</v>
      </c>
      <c r="E385" s="1">
        <f>IFERROR(__xludf.DUMMYFUNCTION("""COMPUTED_VALUE"""),304.92)</f>
        <v>304.92</v>
      </c>
      <c r="F385" s="1">
        <f>IFERROR(__xludf.DUMMYFUNCTION("""COMPUTED_VALUE"""),0.0)</f>
        <v>0</v>
      </c>
    </row>
    <row r="386">
      <c r="A386" s="2">
        <f>IFERROR(__xludf.DUMMYFUNCTION("""COMPUTED_VALUE"""),31964.666666666668)</f>
        <v>31964.66667</v>
      </c>
      <c r="B386" s="1">
        <f>IFERROR(__xludf.DUMMYFUNCTION("""COMPUTED_VALUE"""),305.64)</f>
        <v>305.64</v>
      </c>
      <c r="C386" s="1">
        <f>IFERROR(__xludf.DUMMYFUNCTION("""COMPUTED_VALUE"""),306.75)</f>
        <v>306.75</v>
      </c>
      <c r="D386" s="1">
        <f>IFERROR(__xludf.DUMMYFUNCTION("""COMPUTED_VALUE"""),304.23)</f>
        <v>304.23</v>
      </c>
      <c r="E386" s="1">
        <f>IFERROR(__xludf.DUMMYFUNCTION("""COMPUTED_VALUE"""),304.92)</f>
        <v>304.92</v>
      </c>
      <c r="F386" s="1">
        <f>IFERROR(__xludf.DUMMYFUNCTION("""COMPUTED_VALUE"""),2.421875E7)</f>
        <v>24218750</v>
      </c>
    </row>
    <row r="387">
      <c r="A387" s="2">
        <f>IFERROR(__xludf.DUMMYFUNCTION("""COMPUTED_VALUE"""),31965.666666666668)</f>
        <v>31965.66667</v>
      </c>
      <c r="B387" s="1">
        <f>IFERROR(__xludf.DUMMYFUNCTION("""COMPUTED_VALUE"""),304.91)</f>
        <v>304.91</v>
      </c>
      <c r="C387" s="1">
        <f>IFERROR(__xludf.DUMMYFUNCTION("""COMPUTED_VALUE"""),308.63)</f>
        <v>308.63</v>
      </c>
      <c r="D387" s="1">
        <f>IFERROR(__xludf.DUMMYFUNCTION("""COMPUTED_VALUE"""),304.73)</f>
        <v>304.73</v>
      </c>
      <c r="E387" s="1">
        <f>IFERROR(__xludf.DUMMYFUNCTION("""COMPUTED_VALUE"""),307.4)</f>
        <v>307.4</v>
      </c>
      <c r="F387" s="1">
        <f>IFERROR(__xludf.DUMMYFUNCTION("""COMPUTED_VALUE"""),3.1359376E7)</f>
        <v>31359376</v>
      </c>
    </row>
    <row r="388">
      <c r="A388" s="2">
        <f>IFERROR(__xludf.DUMMYFUNCTION("""COMPUTED_VALUE"""),31966.666666666668)</f>
        <v>31966.66667</v>
      </c>
      <c r="B388" s="1">
        <f>IFERROR(__xludf.DUMMYFUNCTION("""COMPUTED_VALUE"""),307.41)</f>
        <v>307.41</v>
      </c>
      <c r="C388" s="1">
        <f>IFERROR(__xludf.DUMMYFUNCTION("""COMPUTED_VALUE"""),308.48)</f>
        <v>308.48</v>
      </c>
      <c r="D388" s="1">
        <f>IFERROR(__xludf.DUMMYFUNCTION("""COMPUTED_VALUE"""),306.01)</f>
        <v>306.01</v>
      </c>
      <c r="E388" s="1">
        <f>IFERROR(__xludf.DUMMYFUNCTION("""COMPUTED_VALUE"""),308.29)</f>
        <v>308.29</v>
      </c>
      <c r="F388" s="1">
        <f>IFERROR(__xludf.DUMMYFUNCTION("""COMPUTED_VALUE"""),3.2421876E7)</f>
        <v>32421876</v>
      </c>
    </row>
    <row r="389">
      <c r="A389" s="2">
        <f>IFERROR(__xludf.DUMMYFUNCTION("""COMPUTED_VALUE"""),31967.666666666668)</f>
        <v>31967.66667</v>
      </c>
      <c r="B389" s="1">
        <f>IFERROR(__xludf.DUMMYFUNCTION("""COMPUTED_VALUE"""),308.3)</f>
        <v>308.3</v>
      </c>
      <c r="C389" s="1">
        <f>IFERROR(__xludf.DUMMYFUNCTION("""COMPUTED_VALUE"""),309.56)</f>
        <v>309.56</v>
      </c>
      <c r="D389" s="1">
        <f>IFERROR(__xludf.DUMMYFUNCTION("""COMPUTED_VALUE"""),307.42)</f>
        <v>307.42</v>
      </c>
      <c r="E389" s="1">
        <f>IFERROR(__xludf.DUMMYFUNCTION("""COMPUTED_VALUE"""),307.52)</f>
        <v>307.52</v>
      </c>
      <c r="F389" s="1">
        <f>IFERROR(__xludf.DUMMYFUNCTION("""COMPUTED_VALUE"""),3.053125E7)</f>
        <v>30531250</v>
      </c>
    </row>
    <row r="390">
      <c r="A390" s="2">
        <f>IFERROR(__xludf.DUMMYFUNCTION("""COMPUTED_VALUE"""),31968.666666666668)</f>
        <v>31968.66667</v>
      </c>
      <c r="B390" s="1">
        <f>IFERROR(__xludf.DUMMYFUNCTION("""COMPUTED_VALUE"""),307.55)</f>
        <v>307.55</v>
      </c>
      <c r="C390" s="1">
        <f>IFERROR(__xludf.DUMMYFUNCTION("""COMPUTED_VALUE"""),308.4)</f>
        <v>308.4</v>
      </c>
      <c r="D390" s="1">
        <f>IFERROR(__xludf.DUMMYFUNCTION("""COMPUTED_VALUE"""),306.96)</f>
        <v>306.96</v>
      </c>
      <c r="E390" s="1">
        <f>IFERROR(__xludf.DUMMYFUNCTION("""COMPUTED_VALUE"""),308.37)</f>
        <v>308.37</v>
      </c>
      <c r="F390" s="1">
        <f>IFERROR(__xludf.DUMMYFUNCTION("""COMPUTED_VALUE"""),2.6890624E7)</f>
        <v>26890624</v>
      </c>
    </row>
    <row r="391">
      <c r="A391" s="2">
        <f>IFERROR(__xludf.DUMMYFUNCTION("""COMPUTED_VALUE"""),31971.666666666668)</f>
        <v>31971.66667</v>
      </c>
      <c r="B391" s="1">
        <f>IFERROR(__xludf.DUMMYFUNCTION("""COMPUTED_VALUE"""),308.41)</f>
        <v>308.41</v>
      </c>
      <c r="C391" s="1">
        <f>IFERROR(__xludf.DUMMYFUNCTION("""COMPUTED_VALUE"""),308.41)</f>
        <v>308.41</v>
      </c>
      <c r="D391" s="1">
        <f>IFERROR(__xludf.DUMMYFUNCTION("""COMPUTED_VALUE"""),305.49)</f>
        <v>305.49</v>
      </c>
      <c r="E391" s="1">
        <f>IFERROR(__xludf.DUMMYFUNCTION("""COMPUTED_VALUE"""),307.63)</f>
        <v>307.63</v>
      </c>
      <c r="F391" s="1">
        <f>IFERROR(__xludf.DUMMYFUNCTION("""COMPUTED_VALUE"""),2.3828124E7)</f>
        <v>23828124</v>
      </c>
    </row>
    <row r="392">
      <c r="A392" s="2">
        <f>IFERROR(__xludf.DUMMYFUNCTION("""COMPUTED_VALUE"""),31972.666666666668)</f>
        <v>31972.66667</v>
      </c>
      <c r="B392" s="1">
        <f>IFERROR(__xludf.DUMMYFUNCTION("""COMPUTED_VALUE"""),307.67)</f>
        <v>307.67</v>
      </c>
      <c r="C392" s="1">
        <f>IFERROR(__xludf.DUMMYFUNCTION("""COMPUTED_VALUE"""),310.69)</f>
        <v>310.69</v>
      </c>
      <c r="D392" s="1">
        <f>IFERROR(__xludf.DUMMYFUNCTION("""COMPUTED_VALUE"""),307.46)</f>
        <v>307.46</v>
      </c>
      <c r="E392" s="1">
        <f>IFERROR(__xludf.DUMMYFUNCTION("""COMPUTED_VALUE"""),310.68)</f>
        <v>310.68</v>
      </c>
      <c r="F392" s="1">
        <f>IFERROR(__xludf.DUMMYFUNCTION("""COMPUTED_VALUE"""),2.9046876E7)</f>
        <v>29046876</v>
      </c>
    </row>
    <row r="393">
      <c r="A393" s="2">
        <f>IFERROR(__xludf.DUMMYFUNCTION("""COMPUTED_VALUE"""),31973.666666666668)</f>
        <v>31973.66667</v>
      </c>
      <c r="B393" s="1">
        <f>IFERROR(__xludf.DUMMYFUNCTION("""COMPUTED_VALUE"""),310.67)</f>
        <v>310.67</v>
      </c>
      <c r="C393" s="1">
        <f>IFERROR(__xludf.DUMMYFUNCTION("""COMPUTED_VALUE"""),312.08)</f>
        <v>312.08</v>
      </c>
      <c r="D393" s="1">
        <f>IFERROR(__xludf.DUMMYFUNCTION("""COMPUTED_VALUE"""),309.07)</f>
        <v>309.07</v>
      </c>
      <c r="E393" s="1">
        <f>IFERROR(__xludf.DUMMYFUNCTION("""COMPUTED_VALUE"""),310.42)</f>
        <v>310.42</v>
      </c>
      <c r="F393" s="1">
        <f>IFERROR(__xludf.DUMMYFUNCTION("""COMPUTED_VALUE"""),3.1609376E7)</f>
        <v>31609376</v>
      </c>
    </row>
    <row r="394">
      <c r="A394" s="2">
        <f>IFERROR(__xludf.DUMMYFUNCTION("""COMPUTED_VALUE"""),31974.666666666668)</f>
        <v>31974.66667</v>
      </c>
      <c r="B394" s="1">
        <f>IFERROR(__xludf.DUMMYFUNCTION("""COMPUTED_VALUE"""),311.0)</f>
        <v>311</v>
      </c>
      <c r="C394" s="1">
        <f>IFERROR(__xludf.DUMMYFUNCTION("""COMPUTED_VALUE"""),312.83)</f>
        <v>312.83</v>
      </c>
      <c r="D394" s="1">
        <f>IFERROR(__xludf.DUMMYFUNCTION("""COMPUTED_VALUE"""),310.42)</f>
        <v>310.42</v>
      </c>
      <c r="E394" s="1">
        <f>IFERROR(__xludf.DUMMYFUNCTION("""COMPUTED_VALUE"""),312.7)</f>
        <v>312.7</v>
      </c>
      <c r="F394" s="1">
        <f>IFERROR(__xludf.DUMMYFUNCTION("""COMPUTED_VALUE"""),3.2953124E7)</f>
        <v>32953124</v>
      </c>
    </row>
    <row r="395">
      <c r="A395" s="2">
        <f>IFERROR(__xludf.DUMMYFUNCTION("""COMPUTED_VALUE"""),31975.666666666668)</f>
        <v>31975.66667</v>
      </c>
      <c r="B395" s="1">
        <f>IFERROR(__xludf.DUMMYFUNCTION("""COMPUTED_VALUE"""),312.71)</f>
        <v>312.71</v>
      </c>
      <c r="C395" s="1">
        <f>IFERROR(__xludf.DUMMYFUNCTION("""COMPUTED_VALUE"""),314.59)</f>
        <v>314.59</v>
      </c>
      <c r="D395" s="1">
        <f>IFERROR(__xludf.DUMMYFUNCTION("""COMPUTED_VALUE"""),312.38)</f>
        <v>312.38</v>
      </c>
      <c r="E395" s="1">
        <f>IFERROR(__xludf.DUMMYFUNCTION("""COMPUTED_VALUE"""),314.59)</f>
        <v>314.59</v>
      </c>
      <c r="F395" s="1">
        <f>IFERROR(__xludf.DUMMYFUNCTION("""COMPUTED_VALUE"""),3.28125E7)</f>
        <v>32812500</v>
      </c>
    </row>
    <row r="396">
      <c r="A396" s="2">
        <f>IFERROR(__xludf.DUMMYFUNCTION("""COMPUTED_VALUE"""),31978.666666666668)</f>
        <v>31978.66667</v>
      </c>
      <c r="B396" s="1">
        <f>IFERROR(__xludf.DUMMYFUNCTION("""COMPUTED_VALUE"""),314.56)</f>
        <v>314.56</v>
      </c>
      <c r="C396" s="1">
        <f>IFERROR(__xludf.DUMMYFUNCTION("""COMPUTED_VALUE"""),314.59)</f>
        <v>314.59</v>
      </c>
      <c r="D396" s="1">
        <f>IFERROR(__xludf.DUMMYFUNCTION("""COMPUTED_VALUE"""),311.24)</f>
        <v>311.24</v>
      </c>
      <c r="E396" s="1">
        <f>IFERROR(__xludf.DUMMYFUNCTION("""COMPUTED_VALUE"""),311.39)</f>
        <v>311.39</v>
      </c>
      <c r="F396" s="1">
        <f>IFERROR(__xludf.DUMMYFUNCTION("""COMPUTED_VALUE"""),2.6265624E7)</f>
        <v>26265624</v>
      </c>
    </row>
    <row r="397">
      <c r="A397" s="2">
        <f>IFERROR(__xludf.DUMMYFUNCTION("""COMPUTED_VALUE"""),31979.666666666668)</f>
        <v>31979.66667</v>
      </c>
      <c r="B397" s="1">
        <f>IFERROR(__xludf.DUMMYFUNCTION("""COMPUTED_VALUE"""),311.36)</f>
        <v>311.36</v>
      </c>
      <c r="C397" s="1">
        <f>IFERROR(__xludf.DUMMYFUNCTION("""COMPUTED_VALUE"""),312.41)</f>
        <v>312.41</v>
      </c>
      <c r="D397" s="1">
        <f>IFERROR(__xludf.DUMMYFUNCTION("""COMPUTED_VALUE"""),307.51)</f>
        <v>307.51</v>
      </c>
      <c r="E397" s="1">
        <f>IFERROR(__xludf.DUMMYFUNCTION("""COMPUTED_VALUE"""),308.55)</f>
        <v>308.55</v>
      </c>
      <c r="F397" s="1">
        <f>IFERROR(__xludf.DUMMYFUNCTION("""COMPUTED_VALUE"""),2.915625E7)</f>
        <v>29156250</v>
      </c>
    </row>
    <row r="398">
      <c r="A398" s="2">
        <f>IFERROR(__xludf.DUMMYFUNCTION("""COMPUTED_VALUE"""),31980.666666666668)</f>
        <v>31980.66667</v>
      </c>
      <c r="B398" s="1">
        <f>IFERROR(__xludf.DUMMYFUNCTION("""COMPUTED_VALUE"""),308.56)</f>
        <v>308.56</v>
      </c>
      <c r="C398" s="1">
        <f>IFERROR(__xludf.DUMMYFUNCTION("""COMPUTED_VALUE"""),309.12)</f>
        <v>309.12</v>
      </c>
      <c r="D398" s="1">
        <f>IFERROR(__xludf.DUMMYFUNCTION("""COMPUTED_VALUE"""),307.22)</f>
        <v>307.22</v>
      </c>
      <c r="E398" s="1">
        <f>IFERROR(__xludf.DUMMYFUNCTION("""COMPUTED_VALUE"""),308.47)</f>
        <v>308.47</v>
      </c>
      <c r="F398" s="1">
        <f>IFERROR(__xludf.DUMMYFUNCTION("""COMPUTED_VALUE"""),2.7296876E7)</f>
        <v>27296876</v>
      </c>
    </row>
    <row r="399">
      <c r="A399" s="2">
        <f>IFERROR(__xludf.DUMMYFUNCTION("""COMPUTED_VALUE"""),31981.666666666668)</f>
        <v>31981.66667</v>
      </c>
      <c r="B399" s="1">
        <f>IFERROR(__xludf.DUMMYFUNCTION("""COMPUTED_VALUE"""),308.5)</f>
        <v>308.5</v>
      </c>
      <c r="C399" s="1">
        <f>IFERROR(__xludf.DUMMYFUNCTION("""COMPUTED_VALUE"""),309.63)</f>
        <v>309.63</v>
      </c>
      <c r="D399" s="1">
        <f>IFERROR(__xludf.DUMMYFUNCTION("""COMPUTED_VALUE"""),306.1)</f>
        <v>306.1</v>
      </c>
      <c r="E399" s="1">
        <f>IFERROR(__xludf.DUMMYFUNCTION("""COMPUTED_VALUE"""),307.81)</f>
        <v>307.81</v>
      </c>
      <c r="F399" s="1">
        <f>IFERROR(__xludf.DUMMYFUNCTION("""COMPUTED_VALUE"""),2.5578124E7)</f>
        <v>25578124</v>
      </c>
    </row>
    <row r="400">
      <c r="A400" s="2">
        <f>IFERROR(__xludf.DUMMYFUNCTION("""COMPUTED_VALUE"""),31982.666666666668)</f>
        <v>31982.66667</v>
      </c>
      <c r="B400" s="1">
        <f>IFERROR(__xludf.DUMMYFUNCTION("""COMPUTED_VALUE"""),307.82)</f>
        <v>307.82</v>
      </c>
      <c r="C400" s="1">
        <f>IFERROR(__xludf.DUMMYFUNCTION("""COMPUTED_VALUE"""),309.28)</f>
        <v>309.28</v>
      </c>
      <c r="D400" s="1">
        <f>IFERROR(__xludf.DUMMYFUNCTION("""COMPUTED_VALUE"""),307.78)</f>
        <v>307.78</v>
      </c>
      <c r="E400" s="1">
        <f>IFERROR(__xludf.DUMMYFUNCTION("""COMPUTED_VALUE"""),309.27)</f>
        <v>309.27</v>
      </c>
      <c r="F400" s="1">
        <f>IFERROR(__xludf.DUMMYFUNCTION("""COMPUTED_VALUE"""),2.475E7)</f>
        <v>24750000</v>
      </c>
    </row>
    <row r="401">
      <c r="A401" s="2">
        <f>IFERROR(__xludf.DUMMYFUNCTION("""COMPUTED_VALUE"""),31985.666666666668)</f>
        <v>31985.66667</v>
      </c>
      <c r="B401" s="1">
        <f>IFERROR(__xludf.DUMMYFUNCTION("""COMPUTED_VALUE"""),309.3)</f>
        <v>309.3</v>
      </c>
      <c r="C401" s="1">
        <f>IFERROR(__xludf.DUMMYFUNCTION("""COMPUTED_VALUE"""),310.7)</f>
        <v>310.7</v>
      </c>
      <c r="D401" s="1">
        <f>IFERROR(__xludf.DUMMYFUNCTION("""COMPUTED_VALUE"""),308.61)</f>
        <v>308.61</v>
      </c>
      <c r="E401" s="1">
        <f>IFERROR(__xludf.DUMMYFUNCTION("""COMPUTED_VALUE"""),310.65)</f>
        <v>310.65</v>
      </c>
      <c r="F401" s="1">
        <f>IFERROR(__xludf.DUMMYFUNCTION("""COMPUTED_VALUE"""),2.375E7)</f>
        <v>23750000</v>
      </c>
    </row>
    <row r="402">
      <c r="A402" s="2">
        <f>IFERROR(__xludf.DUMMYFUNCTION("""COMPUTED_VALUE"""),31986.666666666668)</f>
        <v>31986.66667</v>
      </c>
      <c r="B402" s="1">
        <f>IFERROR(__xludf.DUMMYFUNCTION("""COMPUTED_VALUE"""),310.65)</f>
        <v>310.65</v>
      </c>
      <c r="C402" s="1">
        <f>IFERROR(__xludf.DUMMYFUNCTION("""COMPUTED_VALUE"""),312.33)</f>
        <v>312.33</v>
      </c>
      <c r="D402" s="1">
        <f>IFERROR(__xludf.DUMMYFUNCTION("""COMPUTED_VALUE"""),310.28)</f>
        <v>310.28</v>
      </c>
      <c r="E402" s="1">
        <f>IFERROR(__xludf.DUMMYFUNCTION("""COMPUTED_VALUE"""),312.33)</f>
        <v>312.33</v>
      </c>
      <c r="F402" s="1">
        <f>IFERROR(__xludf.DUMMYFUNCTION("""COMPUTED_VALUE"""),2.696875E7)</f>
        <v>26968750</v>
      </c>
    </row>
    <row r="403">
      <c r="A403" s="2">
        <f>IFERROR(__xludf.DUMMYFUNCTION("""COMPUTED_VALUE"""),31987.666666666668)</f>
        <v>31987.66667</v>
      </c>
      <c r="B403" s="1">
        <f>IFERROR(__xludf.DUMMYFUNCTION("""COMPUTED_VALUE"""),312.34)</f>
        <v>312.34</v>
      </c>
      <c r="C403" s="1">
        <f>IFERROR(__xludf.DUMMYFUNCTION("""COMPUTED_VALUE"""),315.65)</f>
        <v>315.65</v>
      </c>
      <c r="D403" s="1">
        <f>IFERROR(__xludf.DUMMYFUNCTION("""COMPUTED_VALUE"""),311.73)</f>
        <v>311.73</v>
      </c>
      <c r="E403" s="1">
        <f>IFERROR(__xludf.DUMMYFUNCTION("""COMPUTED_VALUE"""),315.65)</f>
        <v>315.65</v>
      </c>
      <c r="F403" s="1">
        <f>IFERROR(__xludf.DUMMYFUNCTION("""COMPUTED_VALUE"""),3.065625E7)</f>
        <v>30656250</v>
      </c>
    </row>
    <row r="404">
      <c r="A404" s="2">
        <f>IFERROR(__xludf.DUMMYFUNCTION("""COMPUTED_VALUE"""),31988.666666666668)</f>
        <v>31988.66667</v>
      </c>
      <c r="B404" s="1">
        <f>IFERROR(__xludf.DUMMYFUNCTION("""COMPUTED_VALUE"""),315.69)</f>
        <v>315.69</v>
      </c>
      <c r="C404" s="1">
        <f>IFERROR(__xludf.DUMMYFUNCTION("""COMPUTED_VALUE"""),318.53)</f>
        <v>318.53</v>
      </c>
      <c r="D404" s="1">
        <f>IFERROR(__xludf.DUMMYFUNCTION("""COMPUTED_VALUE"""),315.65)</f>
        <v>315.65</v>
      </c>
      <c r="E404" s="1">
        <f>IFERROR(__xludf.DUMMYFUNCTION("""COMPUTED_VALUE"""),318.05)</f>
        <v>318.05</v>
      </c>
      <c r="F404" s="1">
        <f>IFERROR(__xludf.DUMMYFUNCTION("""COMPUTED_VALUE"""),3.25E7)</f>
        <v>32500000</v>
      </c>
    </row>
    <row r="405">
      <c r="A405" s="2">
        <f>IFERROR(__xludf.DUMMYFUNCTION("""COMPUTED_VALUE"""),31989.666666666668)</f>
        <v>31989.66667</v>
      </c>
      <c r="B405" s="1">
        <f>IFERROR(__xludf.DUMMYFUNCTION("""COMPUTED_VALUE"""),318.05)</f>
        <v>318.05</v>
      </c>
      <c r="C405" s="1">
        <f>IFERROR(__xludf.DUMMYFUNCTION("""COMPUTED_VALUE"""),318.85)</f>
        <v>318.85</v>
      </c>
      <c r="D405" s="1">
        <f>IFERROR(__xludf.DUMMYFUNCTION("""COMPUTED_VALUE"""),317.56)</f>
        <v>317.56</v>
      </c>
      <c r="E405" s="1">
        <f>IFERROR(__xludf.DUMMYFUNCTION("""COMPUTED_VALUE"""),318.66)</f>
        <v>318.66</v>
      </c>
      <c r="F405" s="1">
        <f>IFERROR(__xludf.DUMMYFUNCTION("""COMPUTED_VALUE"""),2.8421876E7)</f>
        <v>28421876</v>
      </c>
    </row>
    <row r="406">
      <c r="A406" s="2">
        <f>IFERROR(__xludf.DUMMYFUNCTION("""COMPUTED_VALUE"""),31992.666666666668)</f>
        <v>31992.66667</v>
      </c>
      <c r="B406" s="1">
        <f>IFERROR(__xludf.DUMMYFUNCTION("""COMPUTED_VALUE"""),318.62)</f>
        <v>318.62</v>
      </c>
      <c r="C406" s="1">
        <f>IFERROR(__xludf.DUMMYFUNCTION("""COMPUTED_VALUE"""),320.26)</f>
        <v>320.26</v>
      </c>
      <c r="D406" s="1">
        <f>IFERROR(__xludf.DUMMYFUNCTION("""COMPUTED_VALUE"""),316.52)</f>
        <v>316.52</v>
      </c>
      <c r="E406" s="1">
        <f>IFERROR(__xludf.DUMMYFUNCTION("""COMPUTED_VALUE"""),317.57)</f>
        <v>317.57</v>
      </c>
      <c r="F406" s="1">
        <f>IFERROR(__xludf.DUMMYFUNCTION("""COMPUTED_VALUE"""),3.246875E7)</f>
        <v>32468750</v>
      </c>
    </row>
    <row r="407">
      <c r="A407" s="2">
        <f>IFERROR(__xludf.DUMMYFUNCTION("""COMPUTED_VALUE"""),31993.666666666668)</f>
        <v>31993.66667</v>
      </c>
      <c r="B407" s="1">
        <f>IFERROR(__xludf.DUMMYFUNCTION("""COMPUTED_VALUE"""),317.59)</f>
        <v>317.59</v>
      </c>
      <c r="C407" s="1">
        <f>IFERROR(__xludf.DUMMYFUNCTION("""COMPUTED_VALUE"""),318.25)</f>
        <v>318.25</v>
      </c>
      <c r="D407" s="1">
        <f>IFERROR(__xludf.DUMMYFUNCTION("""COMPUTED_VALUE"""),314.51)</f>
        <v>314.51</v>
      </c>
      <c r="E407" s="1">
        <f>IFERROR(__xludf.DUMMYFUNCTION("""COMPUTED_VALUE"""),316.23)</f>
        <v>316.23</v>
      </c>
      <c r="F407" s="1">
        <f>IFERROR(__xludf.DUMMYFUNCTION("""COMPUTED_VALUE"""),2.6015624E7)</f>
        <v>26015624</v>
      </c>
    </row>
    <row r="408">
      <c r="A408" s="2">
        <f>IFERROR(__xludf.DUMMYFUNCTION("""COMPUTED_VALUE"""),31994.666666666668)</f>
        <v>31994.66667</v>
      </c>
      <c r="B408" s="1">
        <f>IFERROR(__xludf.DUMMYFUNCTION("""COMPUTED_VALUE"""),316.25)</f>
        <v>316.25</v>
      </c>
      <c r="C408" s="1">
        <f>IFERROR(__xludf.DUMMYFUNCTION("""COMPUTED_VALUE"""),319.74)</f>
        <v>319.74</v>
      </c>
      <c r="D408" s="1">
        <f>IFERROR(__xludf.DUMMYFUNCTION("""COMPUTED_VALUE"""),316.23)</f>
        <v>316.23</v>
      </c>
      <c r="E408" s="1">
        <f>IFERROR(__xludf.DUMMYFUNCTION("""COMPUTED_VALUE"""),318.45)</f>
        <v>318.45</v>
      </c>
      <c r="F408" s="1">
        <f>IFERROR(__xludf.DUMMYFUNCTION("""COMPUTED_VALUE"""),3.0109376E7)</f>
        <v>30109376</v>
      </c>
    </row>
    <row r="409">
      <c r="A409" s="2">
        <f>IFERROR(__xludf.DUMMYFUNCTION("""COMPUTED_VALUE"""),31995.666666666668)</f>
        <v>31995.66667</v>
      </c>
      <c r="B409" s="1">
        <f>IFERROR(__xludf.DUMMYFUNCTION("""COMPUTED_VALUE"""),318.49)</f>
        <v>318.49</v>
      </c>
      <c r="C409" s="1">
        <f>IFERROR(__xludf.DUMMYFUNCTION("""COMPUTED_VALUE"""),322.09)</f>
        <v>322.09</v>
      </c>
      <c r="D409" s="1">
        <f>IFERROR(__xludf.DUMMYFUNCTION("""COMPUTED_VALUE"""),317.5)</f>
        <v>317.5</v>
      </c>
      <c r="E409" s="1">
        <f>IFERROR(__xludf.DUMMYFUNCTION("""COMPUTED_VALUE"""),322.09)</f>
        <v>322.09</v>
      </c>
      <c r="F409" s="1">
        <f>IFERROR(__xludf.DUMMYFUNCTION("""COMPUTED_VALUE"""),3.0E7)</f>
        <v>30000000</v>
      </c>
    </row>
    <row r="410">
      <c r="A410" s="2">
        <f>IFERROR(__xludf.DUMMYFUNCTION("""COMPUTED_VALUE"""),31996.666666666668)</f>
        <v>31996.66667</v>
      </c>
      <c r="B410" s="1">
        <f>IFERROR(__xludf.DUMMYFUNCTION("""COMPUTED_VALUE"""),322.1)</f>
        <v>322.1</v>
      </c>
      <c r="C410" s="1">
        <f>IFERROR(__xludf.DUMMYFUNCTION("""COMPUTED_VALUE"""),324.15)</f>
        <v>324.15</v>
      </c>
      <c r="D410" s="1">
        <f>IFERROR(__xludf.DUMMYFUNCTION("""COMPUTED_VALUE"""),321.82)</f>
        <v>321.82</v>
      </c>
      <c r="E410" s="1">
        <f>IFERROR(__xludf.DUMMYFUNCTION("""COMPUTED_VALUE"""),323.0)</f>
        <v>323</v>
      </c>
      <c r="F410" s="1">
        <f>IFERROR(__xludf.DUMMYFUNCTION("""COMPUTED_VALUE"""),3.3234376E7)</f>
        <v>33234376</v>
      </c>
    </row>
    <row r="411">
      <c r="A411" s="2">
        <f>IFERROR(__xludf.DUMMYFUNCTION("""COMPUTED_VALUE"""),31999.666666666668)</f>
        <v>31999.66667</v>
      </c>
      <c r="B411" s="1">
        <f>IFERROR(__xludf.DUMMYFUNCTION("""COMPUTED_VALUE"""),322.98)</f>
        <v>322.98</v>
      </c>
      <c r="C411" s="1">
        <f>IFERROR(__xludf.DUMMYFUNCTION("""COMPUTED_VALUE"""),328.0)</f>
        <v>328</v>
      </c>
      <c r="D411" s="1">
        <f>IFERROR(__xludf.DUMMYFUNCTION("""COMPUTED_VALUE"""),322.95)</f>
        <v>322.95</v>
      </c>
      <c r="E411" s="1">
        <f>IFERROR(__xludf.DUMMYFUNCTION("""COMPUTED_VALUE"""),328.0)</f>
        <v>328</v>
      </c>
      <c r="F411" s="1">
        <f>IFERROR(__xludf.DUMMYFUNCTION("""COMPUTED_VALUE"""),2.925E7)</f>
        <v>29250000</v>
      </c>
    </row>
    <row r="412">
      <c r="A412" s="2">
        <f>IFERROR(__xludf.DUMMYFUNCTION("""COMPUTED_VALUE"""),32000.666666666668)</f>
        <v>32000.66667</v>
      </c>
      <c r="B412" s="1">
        <f>IFERROR(__xludf.DUMMYFUNCTION("""COMPUTED_VALUE"""),328.02)</f>
        <v>328.02</v>
      </c>
      <c r="C412" s="1">
        <f>IFERROR(__xludf.DUMMYFUNCTION("""COMPUTED_VALUE"""),333.4)</f>
        <v>333.4</v>
      </c>
      <c r="D412" s="1">
        <f>IFERROR(__xludf.DUMMYFUNCTION("""COMPUTED_VALUE"""),328.0)</f>
        <v>328</v>
      </c>
      <c r="E412" s="1">
        <f>IFERROR(__xludf.DUMMYFUNCTION("""COMPUTED_VALUE"""),333.33)</f>
        <v>333.33</v>
      </c>
      <c r="F412" s="1">
        <f>IFERROR(__xludf.DUMMYFUNCTION("""COMPUTED_VALUE"""),4.3453124E7)</f>
        <v>43453124</v>
      </c>
    </row>
    <row r="413">
      <c r="A413" s="2">
        <f>IFERROR(__xludf.DUMMYFUNCTION("""COMPUTED_VALUE"""),32001.666666666668)</f>
        <v>32001.66667</v>
      </c>
      <c r="B413" s="1">
        <f>IFERROR(__xludf.DUMMYFUNCTION("""COMPUTED_VALUE"""),333.32)</f>
        <v>333.32</v>
      </c>
      <c r="C413" s="1">
        <f>IFERROR(__xludf.DUMMYFUNCTION("""COMPUTED_VALUE"""),334.57)</f>
        <v>334.57</v>
      </c>
      <c r="D413" s="1">
        <f>IFERROR(__xludf.DUMMYFUNCTION("""COMPUTED_VALUE"""),331.06)</f>
        <v>331.06</v>
      </c>
      <c r="E413" s="1">
        <f>IFERROR(__xludf.DUMMYFUNCTION("""COMPUTED_VALUE"""),332.39)</f>
        <v>332.39</v>
      </c>
      <c r="F413" s="1">
        <f>IFERROR(__xludf.DUMMYFUNCTION("""COMPUTED_VALUE"""),3.6843752E7)</f>
        <v>36843752</v>
      </c>
    </row>
    <row r="414">
      <c r="A414" s="2">
        <f>IFERROR(__xludf.DUMMYFUNCTION("""COMPUTED_VALUE"""),32002.666666666668)</f>
        <v>32002.66667</v>
      </c>
      <c r="B414" s="1">
        <f>IFERROR(__xludf.DUMMYFUNCTION("""COMPUTED_VALUE"""),332.38)</f>
        <v>332.38</v>
      </c>
      <c r="C414" s="1">
        <f>IFERROR(__xludf.DUMMYFUNCTION("""COMPUTED_VALUE"""),335.52)</f>
        <v>335.52</v>
      </c>
      <c r="D414" s="1">
        <f>IFERROR(__xludf.DUMMYFUNCTION("""COMPUTED_VALUE"""),332.38)</f>
        <v>332.38</v>
      </c>
      <c r="E414" s="1">
        <f>IFERROR(__xludf.DUMMYFUNCTION("""COMPUTED_VALUE"""),334.65)</f>
        <v>334.65</v>
      </c>
      <c r="F414" s="1">
        <f>IFERROR(__xludf.DUMMYFUNCTION("""COMPUTED_VALUE"""),3.3921876E7)</f>
        <v>33921876</v>
      </c>
    </row>
    <row r="415">
      <c r="A415" s="2">
        <f>IFERROR(__xludf.DUMMYFUNCTION("""COMPUTED_VALUE"""),32003.666666666668)</f>
        <v>32003.66667</v>
      </c>
      <c r="B415" s="1">
        <f>IFERROR(__xludf.DUMMYFUNCTION("""COMPUTED_VALUE"""),334.63)</f>
        <v>334.63</v>
      </c>
      <c r="C415" s="1">
        <f>IFERROR(__xludf.DUMMYFUNCTION("""COMPUTED_VALUE"""),336.08)</f>
        <v>336.08</v>
      </c>
      <c r="D415" s="1">
        <f>IFERROR(__xludf.DUMMYFUNCTION("""COMPUTED_VALUE"""),332.63)</f>
        <v>332.63</v>
      </c>
      <c r="E415" s="1">
        <f>IFERROR(__xludf.DUMMYFUNCTION("""COMPUTED_VALUE"""),333.99)</f>
        <v>333.99</v>
      </c>
      <c r="F415" s="1">
        <f>IFERROR(__xludf.DUMMYFUNCTION("""COMPUTED_VALUE"""),3.0640624E7)</f>
        <v>30640624</v>
      </c>
    </row>
    <row r="416">
      <c r="A416" s="2">
        <f>IFERROR(__xludf.DUMMYFUNCTION("""COMPUTED_VALUE"""),32006.666666666668)</f>
        <v>32006.66667</v>
      </c>
      <c r="B416" s="1">
        <f>IFERROR(__xludf.DUMMYFUNCTION("""COMPUTED_VALUE"""),333.98)</f>
        <v>333.98</v>
      </c>
      <c r="C416" s="1">
        <f>IFERROR(__xludf.DUMMYFUNCTION("""COMPUTED_VALUE"""),335.43)</f>
        <v>335.43</v>
      </c>
      <c r="D416" s="1">
        <f>IFERROR(__xludf.DUMMYFUNCTION("""COMPUTED_VALUE"""),332.88)</f>
        <v>332.88</v>
      </c>
      <c r="E416" s="1">
        <f>IFERROR(__xludf.DUMMYFUNCTION("""COMPUTED_VALUE"""),334.11)</f>
        <v>334.11</v>
      </c>
      <c r="F416" s="1">
        <f>IFERROR(__xludf.DUMMYFUNCTION("""COMPUTED_VALUE"""),2.5953124E7)</f>
        <v>25953124</v>
      </c>
    </row>
    <row r="417">
      <c r="A417" s="2">
        <f>IFERROR(__xludf.DUMMYFUNCTION("""COMPUTED_VALUE"""),32007.666666666668)</f>
        <v>32007.66667</v>
      </c>
      <c r="B417" s="1">
        <f>IFERROR(__xludf.DUMMYFUNCTION("""COMPUTED_VALUE"""),334.1)</f>
        <v>334.1</v>
      </c>
      <c r="C417" s="1">
        <f>IFERROR(__xludf.DUMMYFUNCTION("""COMPUTED_VALUE"""),334.11)</f>
        <v>334.11</v>
      </c>
      <c r="D417" s="1">
        <f>IFERROR(__xludf.DUMMYFUNCTION("""COMPUTED_VALUE"""),326.43)</f>
        <v>326.43</v>
      </c>
      <c r="E417" s="1">
        <f>IFERROR(__xludf.DUMMYFUNCTION("""COMPUTED_VALUE"""),329.25)</f>
        <v>329.25</v>
      </c>
      <c r="F417" s="1">
        <f>IFERROR(__xludf.DUMMYFUNCTION("""COMPUTED_VALUE"""),3.1E7)</f>
        <v>31000000</v>
      </c>
    </row>
    <row r="418">
      <c r="A418" s="2">
        <f>IFERROR(__xludf.DUMMYFUNCTION("""COMPUTED_VALUE"""),32008.666666666668)</f>
        <v>32008.66667</v>
      </c>
      <c r="B418" s="1">
        <f>IFERROR(__xludf.DUMMYFUNCTION("""COMPUTED_VALUE"""),329.26)</f>
        <v>329.26</v>
      </c>
      <c r="C418" s="1">
        <f>IFERROR(__xludf.DUMMYFUNCTION("""COMPUTED_VALUE"""),329.89)</f>
        <v>329.89</v>
      </c>
      <c r="D418" s="1">
        <f>IFERROR(__xludf.DUMMYFUNCTION("""COMPUTED_VALUE"""),326.54)</f>
        <v>326.54</v>
      </c>
      <c r="E418" s="1">
        <f>IFERROR(__xludf.DUMMYFUNCTION("""COMPUTED_VALUE"""),329.83)</f>
        <v>329.83</v>
      </c>
      <c r="F418" s="1">
        <f>IFERROR(__xludf.DUMMYFUNCTION("""COMPUTED_VALUE"""),2.8265624E7)</f>
        <v>28265624</v>
      </c>
    </row>
    <row r="419">
      <c r="A419" s="2">
        <f>IFERROR(__xludf.DUMMYFUNCTION("""COMPUTED_VALUE"""),32009.666666666668)</f>
        <v>32009.66667</v>
      </c>
      <c r="B419" s="1">
        <f>IFERROR(__xludf.DUMMYFUNCTION("""COMPUTED_VALUE"""),331.49)</f>
        <v>331.49</v>
      </c>
      <c r="C419" s="1">
        <f>IFERROR(__xludf.DUMMYFUNCTION("""COMPUTED_VALUE"""),335.19)</f>
        <v>335.19</v>
      </c>
      <c r="D419" s="1">
        <f>IFERROR(__xludf.DUMMYFUNCTION("""COMPUTED_VALUE"""),329.83)</f>
        <v>329.83</v>
      </c>
      <c r="E419" s="1">
        <f>IFERROR(__xludf.DUMMYFUNCTION("""COMPUTED_VALUE"""),334.84)</f>
        <v>334.84</v>
      </c>
      <c r="F419" s="1">
        <f>IFERROR(__xludf.DUMMYFUNCTION("""COMPUTED_VALUE"""),3.071875E7)</f>
        <v>30718750</v>
      </c>
    </row>
    <row r="420">
      <c r="A420" s="2">
        <f>IFERROR(__xludf.DUMMYFUNCTION("""COMPUTED_VALUE"""),32010.666666666668)</f>
        <v>32010.66667</v>
      </c>
      <c r="B420" s="1">
        <f>IFERROR(__xludf.DUMMYFUNCTION("""COMPUTED_VALUE"""),334.85)</f>
        <v>334.85</v>
      </c>
      <c r="C420" s="1">
        <f>IFERROR(__xludf.DUMMYFUNCTION("""COMPUTED_VALUE"""),336.37)</f>
        <v>336.37</v>
      </c>
      <c r="D420" s="1">
        <f>IFERROR(__xludf.DUMMYFUNCTION("""COMPUTED_VALUE"""),334.3)</f>
        <v>334.3</v>
      </c>
      <c r="E420" s="1">
        <f>IFERROR(__xludf.DUMMYFUNCTION("""COMPUTED_VALUE"""),335.9)</f>
        <v>335.9</v>
      </c>
      <c r="F420" s="1">
        <f>IFERROR(__xludf.DUMMYFUNCTION("""COMPUTED_VALUE"""),2.9625E7)</f>
        <v>29625000</v>
      </c>
    </row>
    <row r="421">
      <c r="A421" s="2">
        <f>IFERROR(__xludf.DUMMYFUNCTION("""COMPUTED_VALUE"""),32013.666666666668)</f>
        <v>32013.66667</v>
      </c>
      <c r="B421" s="1">
        <f>IFERROR(__xludf.DUMMYFUNCTION("""COMPUTED_VALUE"""),335.89)</f>
        <v>335.89</v>
      </c>
      <c r="C421" s="1">
        <f>IFERROR(__xludf.DUMMYFUNCTION("""COMPUTED_VALUE"""),335.9)</f>
        <v>335.9</v>
      </c>
      <c r="D421" s="1">
        <f>IFERROR(__xludf.DUMMYFUNCTION("""COMPUTED_VALUE"""),331.92)</f>
        <v>331.92</v>
      </c>
      <c r="E421" s="1">
        <f>IFERROR(__xludf.DUMMYFUNCTION("""COMPUTED_VALUE"""),333.33)</f>
        <v>333.33</v>
      </c>
      <c r="F421" s="1">
        <f>IFERROR(__xludf.DUMMYFUNCTION("""COMPUTED_VALUE"""),2.334375E7)</f>
        <v>23343750</v>
      </c>
    </row>
    <row r="422">
      <c r="A422" s="2">
        <f>IFERROR(__xludf.DUMMYFUNCTION("""COMPUTED_VALUE"""),32014.666666666668)</f>
        <v>32014.66667</v>
      </c>
      <c r="B422" s="1">
        <f>IFERROR(__xludf.DUMMYFUNCTION("""COMPUTED_VALUE"""),333.37)</f>
        <v>333.37</v>
      </c>
      <c r="C422" s="1">
        <f>IFERROR(__xludf.DUMMYFUNCTION("""COMPUTED_VALUE"""),337.89)</f>
        <v>337.89</v>
      </c>
      <c r="D422" s="1">
        <f>IFERROR(__xludf.DUMMYFUNCTION("""COMPUTED_VALUE"""),333.33)</f>
        <v>333.33</v>
      </c>
      <c r="E422" s="1">
        <f>IFERROR(__xludf.DUMMYFUNCTION("""COMPUTED_VALUE"""),336.77)</f>
        <v>336.77</v>
      </c>
      <c r="F422" s="1">
        <f>IFERROR(__xludf.DUMMYFUNCTION("""COMPUTED_VALUE"""),3.3359376E7)</f>
        <v>33359376</v>
      </c>
    </row>
    <row r="423">
      <c r="A423" s="2">
        <f>IFERROR(__xludf.DUMMYFUNCTION("""COMPUTED_VALUE"""),32015.666666666668)</f>
        <v>32015.66667</v>
      </c>
      <c r="B423" s="1">
        <f>IFERROR(__xludf.DUMMYFUNCTION("""COMPUTED_VALUE"""),336.77)</f>
        <v>336.77</v>
      </c>
      <c r="C423" s="1">
        <f>IFERROR(__xludf.DUMMYFUNCTION("""COMPUTED_VALUE"""),337.39)</f>
        <v>337.39</v>
      </c>
      <c r="D423" s="1">
        <f>IFERROR(__xludf.DUMMYFUNCTION("""COMPUTED_VALUE"""),334.46)</f>
        <v>334.46</v>
      </c>
      <c r="E423" s="1">
        <f>IFERROR(__xludf.DUMMYFUNCTION("""COMPUTED_VALUE"""),334.57)</f>
        <v>334.57</v>
      </c>
      <c r="F423" s="1">
        <f>IFERROR(__xludf.DUMMYFUNCTION("""COMPUTED_VALUE"""),3.065625E7)</f>
        <v>30656250</v>
      </c>
    </row>
    <row r="424">
      <c r="A424" s="2">
        <f>IFERROR(__xludf.DUMMYFUNCTION("""COMPUTED_VALUE"""),32016.666666666668)</f>
        <v>32016.66667</v>
      </c>
      <c r="B424" s="1">
        <f>IFERROR(__xludf.DUMMYFUNCTION("""COMPUTED_VALUE"""),334.56)</f>
        <v>334.56</v>
      </c>
      <c r="C424" s="1">
        <f>IFERROR(__xludf.DUMMYFUNCTION("""COMPUTED_VALUE"""),334.57)</f>
        <v>334.57</v>
      </c>
      <c r="D424" s="1">
        <f>IFERROR(__xludf.DUMMYFUNCTION("""COMPUTED_VALUE"""),331.1)</f>
        <v>331.1</v>
      </c>
      <c r="E424" s="1">
        <f>IFERROR(__xludf.DUMMYFUNCTION("""COMPUTED_VALUE"""),331.38)</f>
        <v>331.38</v>
      </c>
      <c r="F424" s="1">
        <f>IFERROR(__xludf.DUMMYFUNCTION("""COMPUTED_VALUE"""),2.55625E7)</f>
        <v>25562500</v>
      </c>
    </row>
    <row r="425">
      <c r="A425" s="2">
        <f>IFERROR(__xludf.DUMMYFUNCTION("""COMPUTED_VALUE"""),32017.666666666668)</f>
        <v>32017.66667</v>
      </c>
      <c r="B425" s="1">
        <f>IFERROR(__xludf.DUMMYFUNCTION("""COMPUTED_VALUE"""),331.37)</f>
        <v>331.37</v>
      </c>
      <c r="C425" s="1">
        <f>IFERROR(__xludf.DUMMYFUNCTION("""COMPUTED_VALUE"""),331.38)</f>
        <v>331.38</v>
      </c>
      <c r="D425" s="1">
        <f>IFERROR(__xludf.DUMMYFUNCTION("""COMPUTED_VALUE"""),327.03)</f>
        <v>327.03</v>
      </c>
      <c r="E425" s="1">
        <f>IFERROR(__xludf.DUMMYFUNCTION("""COMPUTED_VALUE"""),327.04)</f>
        <v>327.04</v>
      </c>
      <c r="F425" s="1">
        <f>IFERROR(__xludf.DUMMYFUNCTION("""COMPUTED_VALUE"""),2.4421876E7)</f>
        <v>24421876</v>
      </c>
    </row>
    <row r="426">
      <c r="A426" s="2">
        <f>IFERROR(__xludf.DUMMYFUNCTION("""COMPUTED_VALUE"""),32020.666666666668)</f>
        <v>32020.66667</v>
      </c>
      <c r="B426" s="1">
        <f>IFERROR(__xludf.DUMMYFUNCTION("""COMPUTED_VALUE"""),327.03)</f>
        <v>327.03</v>
      </c>
      <c r="C426" s="1">
        <f>IFERROR(__xludf.DUMMYFUNCTION("""COMPUTED_VALUE"""),330.09)</f>
        <v>330.09</v>
      </c>
      <c r="D426" s="1">
        <f>IFERROR(__xludf.DUMMYFUNCTION("""COMPUTED_VALUE"""),326.99)</f>
        <v>326.99</v>
      </c>
      <c r="E426" s="1">
        <f>IFERROR(__xludf.DUMMYFUNCTION("""COMPUTED_VALUE"""),329.8)</f>
        <v>329.8</v>
      </c>
      <c r="F426" s="1">
        <f>IFERROR(__xludf.DUMMYFUNCTION("""COMPUTED_VALUE"""),2.590625E7)</f>
        <v>25906250</v>
      </c>
    </row>
    <row r="427">
      <c r="A427" s="2">
        <f>IFERROR(__xludf.DUMMYFUNCTION("""COMPUTED_VALUE"""),32021.666666666668)</f>
        <v>32021.66667</v>
      </c>
      <c r="B427" s="1">
        <f>IFERROR(__xludf.DUMMYFUNCTION("""COMPUTED_VALUE"""),329.81)</f>
        <v>329.81</v>
      </c>
      <c r="C427" s="1">
        <f>IFERROR(__xludf.DUMMYFUNCTION("""COMPUTED_VALUE"""),332.18)</f>
        <v>332.18</v>
      </c>
      <c r="D427" s="1">
        <f>IFERROR(__xludf.DUMMYFUNCTION("""COMPUTED_VALUE"""),322.83)</f>
        <v>322.83</v>
      </c>
      <c r="E427" s="1">
        <f>IFERROR(__xludf.DUMMYFUNCTION("""COMPUTED_VALUE"""),323.4)</f>
        <v>323.4</v>
      </c>
      <c r="F427" s="1">
        <f>IFERROR(__xludf.DUMMYFUNCTION("""COMPUTED_VALUE"""),3.0234376E7)</f>
        <v>30234376</v>
      </c>
    </row>
    <row r="428">
      <c r="A428" s="2">
        <f>IFERROR(__xludf.DUMMYFUNCTION("""COMPUTED_VALUE"""),32022.666666666668)</f>
        <v>32022.66667</v>
      </c>
      <c r="B428" s="1">
        <f>IFERROR(__xludf.DUMMYFUNCTION("""COMPUTED_VALUE"""),323.4)</f>
        <v>323.4</v>
      </c>
      <c r="C428" s="1">
        <f>IFERROR(__xludf.DUMMYFUNCTION("""COMPUTED_VALUE"""),324.53)</f>
        <v>324.53</v>
      </c>
      <c r="D428" s="1">
        <f>IFERROR(__xludf.DUMMYFUNCTION("""COMPUTED_VALUE"""),318.76)</f>
        <v>318.76</v>
      </c>
      <c r="E428" s="1">
        <f>IFERROR(__xludf.DUMMYFUNCTION("""COMPUTED_VALUE"""),321.68)</f>
        <v>321.68</v>
      </c>
      <c r="F428" s="1">
        <f>IFERROR(__xludf.DUMMYFUNCTION("""COMPUTED_VALUE"""),3.1234376E7)</f>
        <v>31234376</v>
      </c>
    </row>
    <row r="429">
      <c r="A429" s="2">
        <f>IFERROR(__xludf.DUMMYFUNCTION("""COMPUTED_VALUE"""),32023.666666666668)</f>
        <v>32023.66667</v>
      </c>
      <c r="B429" s="1">
        <f>IFERROR(__xludf.DUMMYFUNCTION("""COMPUTED_VALUE"""),321.47)</f>
        <v>321.47</v>
      </c>
      <c r="C429" s="1">
        <f>IFERROR(__xludf.DUMMYFUNCTION("""COMPUTED_VALUE"""),324.29)</f>
        <v>324.29</v>
      </c>
      <c r="D429" s="1">
        <f>IFERROR(__xludf.DUMMYFUNCTION("""COMPUTED_VALUE"""),317.39)</f>
        <v>317.39</v>
      </c>
      <c r="E429" s="1">
        <f>IFERROR(__xludf.DUMMYFUNCTION("""COMPUTED_VALUE"""),320.21)</f>
        <v>320.21</v>
      </c>
      <c r="F429" s="1">
        <f>IFERROR(__xludf.DUMMYFUNCTION("""COMPUTED_VALUE"""),2.58125E7)</f>
        <v>25812500</v>
      </c>
    </row>
    <row r="430">
      <c r="A430" s="2">
        <f>IFERROR(__xludf.DUMMYFUNCTION("""COMPUTED_VALUE"""),32024.666666666668)</f>
        <v>32024.66667</v>
      </c>
      <c r="B430" s="1">
        <f>IFERROR(__xludf.DUMMYFUNCTION("""COMPUTED_VALUE"""),320.21)</f>
        <v>320.21</v>
      </c>
      <c r="C430" s="1">
        <f>IFERROR(__xludf.DUMMYFUNCTION("""COMPUTED_VALUE"""),322.03)</f>
        <v>322.03</v>
      </c>
      <c r="D430" s="1">
        <f>IFERROR(__xludf.DUMMYFUNCTION("""COMPUTED_VALUE"""),316.53)</f>
        <v>316.53</v>
      </c>
      <c r="E430" s="1">
        <f>IFERROR(__xludf.DUMMYFUNCTION("""COMPUTED_VALUE"""),316.7)</f>
        <v>316.7</v>
      </c>
      <c r="F430" s="1">
        <f>IFERROR(__xludf.DUMMYFUNCTION("""COMPUTED_VALUE"""),2.0171876E7)</f>
        <v>20171876</v>
      </c>
    </row>
    <row r="431">
      <c r="A431" s="2">
        <f>IFERROR(__xludf.DUMMYFUNCTION("""COMPUTED_VALUE"""),32027.666666666668)</f>
        <v>32027.66667</v>
      </c>
      <c r="B431" s="1">
        <f>IFERROR(__xludf.DUMMYFUNCTION("""COMPUTED_VALUE"""),313.56)</f>
        <v>313.56</v>
      </c>
      <c r="C431" s="1">
        <f>IFERROR(__xludf.DUMMYFUNCTION("""COMPUTED_VALUE"""),313.56)</f>
        <v>313.56</v>
      </c>
      <c r="D431" s="1">
        <f>IFERROR(__xludf.DUMMYFUNCTION("""COMPUTED_VALUE"""),313.56)</f>
        <v>313.56</v>
      </c>
      <c r="E431" s="1">
        <f>IFERROR(__xludf.DUMMYFUNCTION("""COMPUTED_VALUE"""),313.56)</f>
        <v>313.56</v>
      </c>
      <c r="F431" s="1">
        <f>IFERROR(__xludf.DUMMYFUNCTION("""COMPUTED_VALUE"""),0.0)</f>
        <v>0</v>
      </c>
    </row>
    <row r="432">
      <c r="A432" s="2">
        <f>IFERROR(__xludf.DUMMYFUNCTION("""COMPUTED_VALUE"""),32028.666666666668)</f>
        <v>32028.66667</v>
      </c>
      <c r="B432" s="1">
        <f>IFERROR(__xludf.DUMMYFUNCTION("""COMPUTED_VALUE"""),316.68)</f>
        <v>316.68</v>
      </c>
      <c r="C432" s="1">
        <f>IFERROR(__xludf.DUMMYFUNCTION("""COMPUTED_VALUE"""),316.7)</f>
        <v>316.7</v>
      </c>
      <c r="D432" s="1">
        <f>IFERROR(__xludf.DUMMYFUNCTION("""COMPUTED_VALUE"""),308.56)</f>
        <v>308.56</v>
      </c>
      <c r="E432" s="1">
        <f>IFERROR(__xludf.DUMMYFUNCTION("""COMPUTED_VALUE"""),313.56)</f>
        <v>313.56</v>
      </c>
      <c r="F432" s="1">
        <f>IFERROR(__xludf.DUMMYFUNCTION("""COMPUTED_VALUE"""),3.7953124E7)</f>
        <v>37953124</v>
      </c>
    </row>
    <row r="433">
      <c r="A433" s="2">
        <f>IFERROR(__xludf.DUMMYFUNCTION("""COMPUTED_VALUE"""),32029.666666666668)</f>
        <v>32029.66667</v>
      </c>
      <c r="B433" s="1">
        <f>IFERROR(__xludf.DUMMYFUNCTION("""COMPUTED_VALUE"""),313.6)</f>
        <v>313.6</v>
      </c>
      <c r="C433" s="1">
        <f>IFERROR(__xludf.DUMMYFUNCTION("""COMPUTED_VALUE"""),315.41)</f>
        <v>315.41</v>
      </c>
      <c r="D433" s="1">
        <f>IFERROR(__xludf.DUMMYFUNCTION("""COMPUTED_VALUE"""),312.29)</f>
        <v>312.29</v>
      </c>
      <c r="E433" s="1">
        <f>IFERROR(__xludf.DUMMYFUNCTION("""COMPUTED_VALUE"""),313.92)</f>
        <v>313.92</v>
      </c>
      <c r="F433" s="1">
        <f>IFERROR(__xludf.DUMMYFUNCTION("""COMPUTED_VALUE"""),2.5765624E7)</f>
        <v>25765624</v>
      </c>
    </row>
    <row r="434">
      <c r="A434" s="2">
        <f>IFERROR(__xludf.DUMMYFUNCTION("""COMPUTED_VALUE"""),32030.666666666668)</f>
        <v>32030.66667</v>
      </c>
      <c r="B434" s="1">
        <f>IFERROR(__xludf.DUMMYFUNCTION("""COMPUTED_VALUE"""),313.92)</f>
        <v>313.92</v>
      </c>
      <c r="C434" s="1">
        <f>IFERROR(__xludf.DUMMYFUNCTION("""COMPUTED_VALUE"""),317.59)</f>
        <v>317.59</v>
      </c>
      <c r="D434" s="1">
        <f>IFERROR(__xludf.DUMMYFUNCTION("""COMPUTED_VALUE"""),313.92)</f>
        <v>313.92</v>
      </c>
      <c r="E434" s="1">
        <f>IFERROR(__xludf.DUMMYFUNCTION("""COMPUTED_VALUE"""),317.13)</f>
        <v>317.13</v>
      </c>
      <c r="F434" s="1">
        <f>IFERROR(__xludf.DUMMYFUNCTION("""COMPUTED_VALUE"""),2.809375E7)</f>
        <v>28093750</v>
      </c>
    </row>
    <row r="435">
      <c r="A435" s="2">
        <f>IFERROR(__xludf.DUMMYFUNCTION("""COMPUTED_VALUE"""),32031.666666666668)</f>
        <v>32031.66667</v>
      </c>
      <c r="B435" s="1">
        <f>IFERROR(__xludf.DUMMYFUNCTION("""COMPUTED_VALUE"""),317.14)</f>
        <v>317.14</v>
      </c>
      <c r="C435" s="1">
        <f>IFERROR(__xludf.DUMMYFUNCTION("""COMPUTED_VALUE"""),322.45)</f>
        <v>322.45</v>
      </c>
      <c r="D435" s="1">
        <f>IFERROR(__xludf.DUMMYFUNCTION("""COMPUTED_VALUE"""),317.13)</f>
        <v>317.13</v>
      </c>
      <c r="E435" s="1">
        <f>IFERROR(__xludf.DUMMYFUNCTION("""COMPUTED_VALUE"""),321.98)</f>
        <v>321.98</v>
      </c>
      <c r="F435" s="1">
        <f>IFERROR(__xludf.DUMMYFUNCTION("""COMPUTED_VALUE"""),2.78125E7)</f>
        <v>27812500</v>
      </c>
    </row>
    <row r="436">
      <c r="A436" s="2">
        <f>IFERROR(__xludf.DUMMYFUNCTION("""COMPUTED_VALUE"""),32034.666666666668)</f>
        <v>32034.66667</v>
      </c>
      <c r="B436" s="1">
        <f>IFERROR(__xludf.DUMMYFUNCTION("""COMPUTED_VALUE"""),322.02)</f>
        <v>322.02</v>
      </c>
      <c r="C436" s="1">
        <f>IFERROR(__xludf.DUMMYFUNCTION("""COMPUTED_VALUE"""),323.81)</f>
        <v>323.81</v>
      </c>
      <c r="D436" s="1">
        <f>IFERROR(__xludf.DUMMYFUNCTION("""COMPUTED_VALUE"""),320.4)</f>
        <v>320.4</v>
      </c>
      <c r="E436" s="1">
        <f>IFERROR(__xludf.DUMMYFUNCTION("""COMPUTED_VALUE"""),323.08)</f>
        <v>323.08</v>
      </c>
      <c r="F436" s="1">
        <f>IFERROR(__xludf.DUMMYFUNCTION("""COMPUTED_VALUE"""),2.4125E7)</f>
        <v>24125000</v>
      </c>
    </row>
    <row r="437">
      <c r="A437" s="2">
        <f>IFERROR(__xludf.DUMMYFUNCTION("""COMPUTED_VALUE"""),32035.666666666668)</f>
        <v>32035.66667</v>
      </c>
      <c r="B437" s="1">
        <f>IFERROR(__xludf.DUMMYFUNCTION("""COMPUTED_VALUE"""),323.07)</f>
        <v>323.07</v>
      </c>
      <c r="C437" s="1">
        <f>IFERROR(__xludf.DUMMYFUNCTION("""COMPUTED_VALUE"""),323.08)</f>
        <v>323.08</v>
      </c>
      <c r="D437" s="1">
        <f>IFERROR(__xludf.DUMMYFUNCTION("""COMPUTED_VALUE"""),317.63)</f>
        <v>317.63</v>
      </c>
      <c r="E437" s="1">
        <f>IFERROR(__xludf.DUMMYFUNCTION("""COMPUTED_VALUE"""),317.74)</f>
        <v>317.74</v>
      </c>
      <c r="F437" s="1">
        <f>IFERROR(__xludf.DUMMYFUNCTION("""COMPUTED_VALUE"""),2.128125E7)</f>
        <v>21281250</v>
      </c>
    </row>
    <row r="438">
      <c r="A438" s="2">
        <f>IFERROR(__xludf.DUMMYFUNCTION("""COMPUTED_VALUE"""),32036.666666666668)</f>
        <v>32036.66667</v>
      </c>
      <c r="B438" s="1">
        <f>IFERROR(__xludf.DUMMYFUNCTION("""COMPUTED_VALUE"""),317.75)</f>
        <v>317.75</v>
      </c>
      <c r="C438" s="1">
        <f>IFERROR(__xludf.DUMMYFUNCTION("""COMPUTED_VALUE"""),319.5)</f>
        <v>319.5</v>
      </c>
      <c r="D438" s="1">
        <f>IFERROR(__xludf.DUMMYFUNCTION("""COMPUTED_VALUE"""),314.61)</f>
        <v>314.61</v>
      </c>
      <c r="E438" s="1">
        <f>IFERROR(__xludf.DUMMYFUNCTION("""COMPUTED_VALUE"""),314.86)</f>
        <v>314.86</v>
      </c>
      <c r="F438" s="1">
        <f>IFERROR(__xludf.DUMMYFUNCTION("""COMPUTED_VALUE"""),3.0578124E7)</f>
        <v>30578124</v>
      </c>
    </row>
    <row r="439">
      <c r="A439" s="2">
        <f>IFERROR(__xludf.DUMMYFUNCTION("""COMPUTED_VALUE"""),32037.666666666668)</f>
        <v>32037.66667</v>
      </c>
      <c r="B439" s="1">
        <f>IFERROR(__xludf.DUMMYFUNCTION("""COMPUTED_VALUE"""),314.94)</f>
        <v>314.94</v>
      </c>
      <c r="C439" s="1">
        <f>IFERROR(__xludf.DUMMYFUNCTION("""COMPUTED_VALUE"""),316.08)</f>
        <v>316.08</v>
      </c>
      <c r="D439" s="1">
        <f>IFERROR(__xludf.DUMMYFUNCTION("""COMPUTED_VALUE"""),313.45)</f>
        <v>313.45</v>
      </c>
      <c r="E439" s="1">
        <f>IFERROR(__xludf.DUMMYFUNCTION("""COMPUTED_VALUE"""),314.93)</f>
        <v>314.93</v>
      </c>
      <c r="F439" s="1">
        <f>IFERROR(__xludf.DUMMYFUNCTION("""COMPUTED_VALUE"""),2.3546876E7)</f>
        <v>23546876</v>
      </c>
    </row>
    <row r="440">
      <c r="A440" s="2">
        <f>IFERROR(__xludf.DUMMYFUNCTION("""COMPUTED_VALUE"""),32038.666666666668)</f>
        <v>32038.66667</v>
      </c>
      <c r="B440" s="1">
        <f>IFERROR(__xludf.DUMMYFUNCTION("""COMPUTED_VALUE"""),314.98)</f>
        <v>314.98</v>
      </c>
      <c r="C440" s="1">
        <f>IFERROR(__xludf.DUMMYFUNCTION("""COMPUTED_VALUE"""),316.99)</f>
        <v>316.99</v>
      </c>
      <c r="D440" s="1">
        <f>IFERROR(__xludf.DUMMYFUNCTION("""COMPUTED_VALUE"""),314.86)</f>
        <v>314.86</v>
      </c>
      <c r="E440" s="1">
        <f>IFERROR(__xludf.DUMMYFUNCTION("""COMPUTED_VALUE"""),314.86)</f>
        <v>314.86</v>
      </c>
      <c r="F440" s="1">
        <f>IFERROR(__xludf.DUMMYFUNCTION("""COMPUTED_VALUE"""),2.9390624E7)</f>
        <v>29390624</v>
      </c>
    </row>
    <row r="441">
      <c r="A441" s="2">
        <f>IFERROR(__xludf.DUMMYFUNCTION("""COMPUTED_VALUE"""),32041.666666666668)</f>
        <v>32041.66667</v>
      </c>
      <c r="B441" s="1">
        <f>IFERROR(__xludf.DUMMYFUNCTION("""COMPUTED_VALUE"""),314.92)</f>
        <v>314.92</v>
      </c>
      <c r="C441" s="1">
        <f>IFERROR(__xludf.DUMMYFUNCTION("""COMPUTED_VALUE"""),317.66)</f>
        <v>317.66</v>
      </c>
      <c r="D441" s="1">
        <f>IFERROR(__xludf.DUMMYFUNCTION("""COMPUTED_VALUE"""),310.12)</f>
        <v>310.12</v>
      </c>
      <c r="E441" s="1">
        <f>IFERROR(__xludf.DUMMYFUNCTION("""COMPUTED_VALUE"""),310.54)</f>
        <v>310.54</v>
      </c>
      <c r="F441" s="1">
        <f>IFERROR(__xludf.DUMMYFUNCTION("""COMPUTED_VALUE"""),2.6578124E7)</f>
        <v>26578124</v>
      </c>
    </row>
    <row r="442">
      <c r="A442" s="2">
        <f>IFERROR(__xludf.DUMMYFUNCTION("""COMPUTED_VALUE"""),32042.666666666668)</f>
        <v>32042.66667</v>
      </c>
      <c r="B442" s="1">
        <f>IFERROR(__xludf.DUMMYFUNCTION("""COMPUTED_VALUE"""),310.54)</f>
        <v>310.54</v>
      </c>
      <c r="C442" s="1">
        <f>IFERROR(__xludf.DUMMYFUNCTION("""COMPUTED_VALUE"""),319.51)</f>
        <v>319.51</v>
      </c>
      <c r="D442" s="1">
        <f>IFERROR(__xludf.DUMMYFUNCTION("""COMPUTED_VALUE"""),308.69)</f>
        <v>308.69</v>
      </c>
      <c r="E442" s="1">
        <f>IFERROR(__xludf.DUMMYFUNCTION("""COMPUTED_VALUE"""),319.5)</f>
        <v>319.5</v>
      </c>
      <c r="F442" s="1">
        <f>IFERROR(__xludf.DUMMYFUNCTION("""COMPUTED_VALUE"""),3.2734376E7)</f>
        <v>32734376</v>
      </c>
    </row>
    <row r="443">
      <c r="A443" s="2">
        <f>IFERROR(__xludf.DUMMYFUNCTION("""COMPUTED_VALUE"""),32043.666666666668)</f>
        <v>32043.66667</v>
      </c>
      <c r="B443" s="1">
        <f>IFERROR(__xludf.DUMMYFUNCTION("""COMPUTED_VALUE"""),319.49)</f>
        <v>319.49</v>
      </c>
      <c r="C443" s="1">
        <f>IFERROR(__xludf.DUMMYFUNCTION("""COMPUTED_VALUE"""),321.83)</f>
        <v>321.83</v>
      </c>
      <c r="D443" s="1">
        <f>IFERROR(__xludf.DUMMYFUNCTION("""COMPUTED_VALUE"""),319.12)</f>
        <v>319.12</v>
      </c>
      <c r="E443" s="1">
        <f>IFERROR(__xludf.DUMMYFUNCTION("""COMPUTED_VALUE"""),321.19)</f>
        <v>321.19</v>
      </c>
      <c r="F443" s="1">
        <f>IFERROR(__xludf.DUMMYFUNCTION("""COMPUTED_VALUE"""),3.4421876E7)</f>
        <v>34421876</v>
      </c>
    </row>
    <row r="444">
      <c r="A444" s="2">
        <f>IFERROR(__xludf.DUMMYFUNCTION("""COMPUTED_VALUE"""),32044.666666666668)</f>
        <v>32044.66667</v>
      </c>
      <c r="B444" s="1">
        <f>IFERROR(__xludf.DUMMYFUNCTION("""COMPUTED_VALUE"""),321.09)</f>
        <v>321.09</v>
      </c>
      <c r="C444" s="1">
        <f>IFERROR(__xludf.DUMMYFUNCTION("""COMPUTED_VALUE"""),322.01)</f>
        <v>322.01</v>
      </c>
      <c r="D444" s="1">
        <f>IFERROR(__xludf.DUMMYFUNCTION("""COMPUTED_VALUE"""),319.12)</f>
        <v>319.12</v>
      </c>
      <c r="E444" s="1">
        <f>IFERROR(__xludf.DUMMYFUNCTION("""COMPUTED_VALUE"""),319.72)</f>
        <v>319.72</v>
      </c>
      <c r="F444" s="1">
        <f>IFERROR(__xludf.DUMMYFUNCTION("""COMPUTED_VALUE"""),2.534375E7)</f>
        <v>25343750</v>
      </c>
    </row>
    <row r="445">
      <c r="A445" s="2">
        <f>IFERROR(__xludf.DUMMYFUNCTION("""COMPUTED_VALUE"""),32045.666666666668)</f>
        <v>32045.66667</v>
      </c>
      <c r="B445" s="1">
        <f>IFERROR(__xludf.DUMMYFUNCTION("""COMPUTED_VALUE"""),319.72)</f>
        <v>319.72</v>
      </c>
      <c r="C445" s="1">
        <f>IFERROR(__xludf.DUMMYFUNCTION("""COMPUTED_VALUE"""),320.55)</f>
        <v>320.55</v>
      </c>
      <c r="D445" s="1">
        <f>IFERROR(__xludf.DUMMYFUNCTION("""COMPUTED_VALUE"""),318.1)</f>
        <v>318.1</v>
      </c>
      <c r="E445" s="1">
        <f>IFERROR(__xludf.DUMMYFUNCTION("""COMPUTED_VALUE"""),320.16)</f>
        <v>320.16</v>
      </c>
      <c r="F445" s="1">
        <f>IFERROR(__xludf.DUMMYFUNCTION("""COMPUTED_VALUE"""),2.15625E7)</f>
        <v>21562500</v>
      </c>
    </row>
    <row r="446">
      <c r="A446" s="2">
        <f>IFERROR(__xludf.DUMMYFUNCTION("""COMPUTED_VALUE"""),32048.666666666668)</f>
        <v>32048.66667</v>
      </c>
      <c r="B446" s="1">
        <f>IFERROR(__xludf.DUMMYFUNCTION("""COMPUTED_VALUE"""),320.16)</f>
        <v>320.16</v>
      </c>
      <c r="C446" s="1">
        <f>IFERROR(__xludf.DUMMYFUNCTION("""COMPUTED_VALUE"""),325.33)</f>
        <v>325.33</v>
      </c>
      <c r="D446" s="1">
        <f>IFERROR(__xludf.DUMMYFUNCTION("""COMPUTED_VALUE"""),320.16)</f>
        <v>320.16</v>
      </c>
      <c r="E446" s="1">
        <f>IFERROR(__xludf.DUMMYFUNCTION("""COMPUTED_VALUE"""),323.2)</f>
        <v>323.2</v>
      </c>
      <c r="F446" s="1">
        <f>IFERROR(__xludf.DUMMYFUNCTION("""COMPUTED_VALUE"""),2.9390624E7)</f>
        <v>29390624</v>
      </c>
    </row>
    <row r="447">
      <c r="A447" s="2">
        <f>IFERROR(__xludf.DUMMYFUNCTION("""COMPUTED_VALUE"""),32049.666666666668)</f>
        <v>32049.66667</v>
      </c>
      <c r="B447" s="1">
        <f>IFERROR(__xludf.DUMMYFUNCTION("""COMPUTED_VALUE"""),323.2)</f>
        <v>323.2</v>
      </c>
      <c r="C447" s="1">
        <f>IFERROR(__xludf.DUMMYFUNCTION("""COMPUTED_VALUE"""),324.63)</f>
        <v>324.63</v>
      </c>
      <c r="D447" s="1">
        <f>IFERROR(__xludf.DUMMYFUNCTION("""COMPUTED_VALUE"""),320.27)</f>
        <v>320.27</v>
      </c>
      <c r="E447" s="1">
        <f>IFERROR(__xludf.DUMMYFUNCTION("""COMPUTED_VALUE"""),321.69)</f>
        <v>321.69</v>
      </c>
      <c r="F447" s="1">
        <f>IFERROR(__xludf.DUMMYFUNCTION("""COMPUTED_VALUE"""),2.7109376E7)</f>
        <v>27109376</v>
      </c>
    </row>
    <row r="448">
      <c r="A448" s="2">
        <f>IFERROR(__xludf.DUMMYFUNCTION("""COMPUTED_VALUE"""),32050.666666666668)</f>
        <v>32050.66667</v>
      </c>
      <c r="B448" s="1">
        <f>IFERROR(__xludf.DUMMYFUNCTION("""COMPUTED_VALUE"""),321.69)</f>
        <v>321.69</v>
      </c>
      <c r="C448" s="1">
        <f>IFERROR(__xludf.DUMMYFUNCTION("""COMPUTED_VALUE"""),322.53)</f>
        <v>322.53</v>
      </c>
      <c r="D448" s="1">
        <f>IFERROR(__xludf.DUMMYFUNCTION("""COMPUTED_VALUE"""),320.16)</f>
        <v>320.16</v>
      </c>
      <c r="E448" s="1">
        <f>IFERROR(__xludf.DUMMYFUNCTION("""COMPUTED_VALUE"""),321.83)</f>
        <v>321.83</v>
      </c>
      <c r="F448" s="1">
        <f>IFERROR(__xludf.DUMMYFUNCTION("""COMPUTED_VALUE"""),2.8609376E7)</f>
        <v>28609376</v>
      </c>
    </row>
    <row r="449">
      <c r="A449" s="2">
        <f>IFERROR(__xludf.DUMMYFUNCTION("""COMPUTED_VALUE"""),32051.666666666668)</f>
        <v>32051.66667</v>
      </c>
      <c r="B449" s="1">
        <f>IFERROR(__xludf.DUMMYFUNCTION("""COMPUTED_VALUE"""),321.83)</f>
        <v>321.83</v>
      </c>
      <c r="C449" s="1">
        <f>IFERROR(__xludf.DUMMYFUNCTION("""COMPUTED_VALUE"""),327.34)</f>
        <v>327.34</v>
      </c>
      <c r="D449" s="1">
        <f>IFERROR(__xludf.DUMMYFUNCTION("""COMPUTED_VALUE"""),321.83)</f>
        <v>321.83</v>
      </c>
      <c r="E449" s="1">
        <f>IFERROR(__xludf.DUMMYFUNCTION("""COMPUTED_VALUE"""),327.33)</f>
        <v>327.33</v>
      </c>
      <c r="F449" s="1">
        <f>IFERROR(__xludf.DUMMYFUNCTION("""COMPUTED_VALUE"""),3.01875E7)</f>
        <v>30187500</v>
      </c>
    </row>
    <row r="450">
      <c r="A450" s="2">
        <f>IFERROR(__xludf.DUMMYFUNCTION("""COMPUTED_VALUE"""),32052.666666666668)</f>
        <v>32052.66667</v>
      </c>
      <c r="B450" s="1">
        <f>IFERROR(__xludf.DUMMYFUNCTION("""COMPUTED_VALUE"""),327.33)</f>
        <v>327.33</v>
      </c>
      <c r="C450" s="1">
        <f>IFERROR(__xludf.DUMMYFUNCTION("""COMPUTED_VALUE"""),328.94)</f>
        <v>328.94</v>
      </c>
      <c r="D450" s="1">
        <f>IFERROR(__xludf.DUMMYFUNCTION("""COMPUTED_VALUE"""),327.22)</f>
        <v>327.22</v>
      </c>
      <c r="E450" s="1">
        <f>IFERROR(__xludf.DUMMYFUNCTION("""COMPUTED_VALUE"""),328.07)</f>
        <v>328.07</v>
      </c>
      <c r="F450" s="1">
        <f>IFERROR(__xludf.DUMMYFUNCTION("""COMPUTED_VALUE"""),2.9546876E7)</f>
        <v>29546876</v>
      </c>
    </row>
    <row r="451">
      <c r="A451" s="2">
        <f>IFERROR(__xludf.DUMMYFUNCTION("""COMPUTED_VALUE"""),32055.666666666668)</f>
        <v>32055.66667</v>
      </c>
      <c r="B451" s="1">
        <f>IFERROR(__xludf.DUMMYFUNCTION("""COMPUTED_VALUE"""),328.07)</f>
        <v>328.07</v>
      </c>
      <c r="C451" s="1">
        <f>IFERROR(__xludf.DUMMYFUNCTION("""COMPUTED_VALUE"""),328.57)</f>
        <v>328.57</v>
      </c>
      <c r="D451" s="1">
        <f>IFERROR(__xludf.DUMMYFUNCTION("""COMPUTED_VALUE"""),326.09)</f>
        <v>326.09</v>
      </c>
      <c r="E451" s="1">
        <f>IFERROR(__xludf.DUMMYFUNCTION("""COMPUTED_VALUE"""),328.08)</f>
        <v>328.08</v>
      </c>
      <c r="F451" s="1">
        <f>IFERROR(__xludf.DUMMYFUNCTION("""COMPUTED_VALUE"""),2.4953124E7)</f>
        <v>24953124</v>
      </c>
    </row>
    <row r="452">
      <c r="A452" s="2">
        <f>IFERROR(__xludf.DUMMYFUNCTION("""COMPUTED_VALUE"""),32056.666666666668)</f>
        <v>32056.66667</v>
      </c>
      <c r="B452" s="1">
        <f>IFERROR(__xludf.DUMMYFUNCTION("""COMPUTED_VALUE"""),328.08)</f>
        <v>328.08</v>
      </c>
      <c r="C452" s="1">
        <f>IFERROR(__xludf.DUMMYFUNCTION("""COMPUTED_VALUE"""),328.08)</f>
        <v>328.08</v>
      </c>
      <c r="D452" s="1">
        <f>IFERROR(__xludf.DUMMYFUNCTION("""COMPUTED_VALUE"""),319.17)</f>
        <v>319.17</v>
      </c>
      <c r="E452" s="1">
        <f>IFERROR(__xludf.DUMMYFUNCTION("""COMPUTED_VALUE"""),319.22)</f>
        <v>319.22</v>
      </c>
      <c r="F452" s="1">
        <f>IFERROR(__xludf.DUMMYFUNCTION("""COMPUTED_VALUE"""),2.74375E7)</f>
        <v>27437500</v>
      </c>
    </row>
    <row r="453">
      <c r="A453" s="2">
        <f>IFERROR(__xludf.DUMMYFUNCTION("""COMPUTED_VALUE"""),32057.666666666668)</f>
        <v>32057.66667</v>
      </c>
      <c r="B453" s="1">
        <f>IFERROR(__xludf.DUMMYFUNCTION("""COMPUTED_VALUE"""),319.22)</f>
        <v>319.22</v>
      </c>
      <c r="C453" s="1">
        <f>IFERROR(__xludf.DUMMYFUNCTION("""COMPUTED_VALUE"""),319.39)</f>
        <v>319.39</v>
      </c>
      <c r="D453" s="1">
        <f>IFERROR(__xludf.DUMMYFUNCTION("""COMPUTED_VALUE"""),315.78)</f>
        <v>315.78</v>
      </c>
      <c r="E453" s="1">
        <f>IFERROR(__xludf.DUMMYFUNCTION("""COMPUTED_VALUE"""),318.54)</f>
        <v>318.54</v>
      </c>
      <c r="F453" s="1">
        <f>IFERROR(__xludf.DUMMYFUNCTION("""COMPUTED_VALUE"""),2.9109376E7)</f>
        <v>29109376</v>
      </c>
    </row>
    <row r="454">
      <c r="A454" s="2">
        <f>IFERROR(__xludf.DUMMYFUNCTION("""COMPUTED_VALUE"""),32058.666666666668)</f>
        <v>32058.66667</v>
      </c>
      <c r="B454" s="1">
        <f>IFERROR(__xludf.DUMMYFUNCTION("""COMPUTED_VALUE"""),318.54)</f>
        <v>318.54</v>
      </c>
      <c r="C454" s="1">
        <f>IFERROR(__xludf.DUMMYFUNCTION("""COMPUTED_VALUE"""),319.34)</f>
        <v>319.34</v>
      </c>
      <c r="D454" s="1">
        <f>IFERROR(__xludf.DUMMYFUNCTION("""COMPUTED_VALUE"""),312.02)</f>
        <v>312.02</v>
      </c>
      <c r="E454" s="1">
        <f>IFERROR(__xludf.DUMMYFUNCTION("""COMPUTED_VALUE"""),314.16)</f>
        <v>314.16</v>
      </c>
      <c r="F454" s="1">
        <f>IFERROR(__xludf.DUMMYFUNCTION("""COMPUTED_VALUE"""),3.1046876E7)</f>
        <v>31046876</v>
      </c>
    </row>
    <row r="455">
      <c r="A455" s="2">
        <f>IFERROR(__xludf.DUMMYFUNCTION("""COMPUTED_VALUE"""),32059.666666666668)</f>
        <v>32059.66667</v>
      </c>
      <c r="B455" s="1">
        <f>IFERROR(__xludf.DUMMYFUNCTION("""COMPUTED_VALUE"""),314.16)</f>
        <v>314.16</v>
      </c>
      <c r="C455" s="1">
        <f>IFERROR(__xludf.DUMMYFUNCTION("""COMPUTED_VALUE"""),315.04)</f>
        <v>315.04</v>
      </c>
      <c r="D455" s="1">
        <f>IFERROR(__xludf.DUMMYFUNCTION("""COMPUTED_VALUE"""),310.97)</f>
        <v>310.97</v>
      </c>
      <c r="E455" s="1">
        <f>IFERROR(__xludf.DUMMYFUNCTION("""COMPUTED_VALUE"""),311.07)</f>
        <v>311.07</v>
      </c>
      <c r="F455" s="1">
        <f>IFERROR(__xludf.DUMMYFUNCTION("""COMPUTED_VALUE"""),2.4734376E7)</f>
        <v>24734376</v>
      </c>
    </row>
    <row r="456">
      <c r="A456" s="2">
        <f>IFERROR(__xludf.DUMMYFUNCTION("""COMPUTED_VALUE"""),32062.666666666668)</f>
        <v>32062.66667</v>
      </c>
      <c r="B456" s="1">
        <f>IFERROR(__xludf.DUMMYFUNCTION("""COMPUTED_VALUE"""),311.07)</f>
        <v>311.07</v>
      </c>
      <c r="C456" s="1">
        <f>IFERROR(__xludf.DUMMYFUNCTION("""COMPUTED_VALUE"""),311.07)</f>
        <v>311.07</v>
      </c>
      <c r="D456" s="1">
        <f>IFERROR(__xludf.DUMMYFUNCTION("""COMPUTED_VALUE"""),306.76)</f>
        <v>306.76</v>
      </c>
      <c r="E456" s="1">
        <f>IFERROR(__xludf.DUMMYFUNCTION("""COMPUTED_VALUE"""),309.39)</f>
        <v>309.39</v>
      </c>
      <c r="F456" s="1">
        <f>IFERROR(__xludf.DUMMYFUNCTION("""COMPUTED_VALUE"""),2.2171876E7)</f>
        <v>22171876</v>
      </c>
    </row>
    <row r="457">
      <c r="A457" s="2">
        <f>IFERROR(__xludf.DUMMYFUNCTION("""COMPUTED_VALUE"""),32063.666666666668)</f>
        <v>32063.66667</v>
      </c>
      <c r="B457" s="1">
        <f>IFERROR(__xludf.DUMMYFUNCTION("""COMPUTED_VALUE"""),309.39)</f>
        <v>309.39</v>
      </c>
      <c r="C457" s="1">
        <f>IFERROR(__xludf.DUMMYFUNCTION("""COMPUTED_VALUE"""),314.53)</f>
        <v>314.53</v>
      </c>
      <c r="D457" s="1">
        <f>IFERROR(__xludf.DUMMYFUNCTION("""COMPUTED_VALUE"""),309.39)</f>
        <v>309.39</v>
      </c>
      <c r="E457" s="1">
        <f>IFERROR(__xludf.DUMMYFUNCTION("""COMPUTED_VALUE"""),314.52)</f>
        <v>314.52</v>
      </c>
      <c r="F457" s="1">
        <f>IFERROR(__xludf.DUMMYFUNCTION("""COMPUTED_VALUE"""),2.7015624E7)</f>
        <v>27015624</v>
      </c>
    </row>
    <row r="458">
      <c r="A458" s="2">
        <f>IFERROR(__xludf.DUMMYFUNCTION("""COMPUTED_VALUE"""),32064.666666666668)</f>
        <v>32064.66667</v>
      </c>
      <c r="B458" s="1">
        <f>IFERROR(__xludf.DUMMYFUNCTION("""COMPUTED_VALUE"""),314.52)</f>
        <v>314.52</v>
      </c>
      <c r="C458" s="1">
        <f>IFERROR(__xludf.DUMMYFUNCTION("""COMPUTED_VALUE"""),314.52)</f>
        <v>314.52</v>
      </c>
      <c r="D458" s="1">
        <f>IFERROR(__xludf.DUMMYFUNCTION("""COMPUTED_VALUE"""),304.78)</f>
        <v>304.78</v>
      </c>
      <c r="E458" s="1">
        <f>IFERROR(__xludf.DUMMYFUNCTION("""COMPUTED_VALUE"""),305.23)</f>
        <v>305.23</v>
      </c>
      <c r="F458" s="1">
        <f>IFERROR(__xludf.DUMMYFUNCTION("""COMPUTED_VALUE"""),3.240625E7)</f>
        <v>32406250</v>
      </c>
    </row>
    <row r="459">
      <c r="A459" s="2">
        <f>IFERROR(__xludf.DUMMYFUNCTION("""COMPUTED_VALUE"""),32065.666666666668)</f>
        <v>32065.66667</v>
      </c>
      <c r="B459" s="1">
        <f>IFERROR(__xludf.DUMMYFUNCTION("""COMPUTED_VALUE"""),305.21)</f>
        <v>305.21</v>
      </c>
      <c r="C459" s="1">
        <f>IFERROR(__xludf.DUMMYFUNCTION("""COMPUTED_VALUE"""),305.23)</f>
        <v>305.23</v>
      </c>
      <c r="D459" s="1">
        <f>IFERROR(__xludf.DUMMYFUNCTION("""COMPUTED_VALUE"""),298.07)</f>
        <v>298.07</v>
      </c>
      <c r="E459" s="1">
        <f>IFERROR(__xludf.DUMMYFUNCTION("""COMPUTED_VALUE"""),298.08)</f>
        <v>298.08</v>
      </c>
      <c r="F459" s="1">
        <f>IFERROR(__xludf.DUMMYFUNCTION("""COMPUTED_VALUE"""),4.1125E7)</f>
        <v>41125000</v>
      </c>
    </row>
    <row r="460">
      <c r="A460" s="2">
        <f>IFERROR(__xludf.DUMMYFUNCTION("""COMPUTED_VALUE"""),32066.666666666668)</f>
        <v>32066.66667</v>
      </c>
      <c r="B460" s="1">
        <f>IFERROR(__xludf.DUMMYFUNCTION("""COMPUTED_VALUE"""),298.08)</f>
        <v>298.08</v>
      </c>
      <c r="C460" s="1">
        <f>IFERROR(__xludf.DUMMYFUNCTION("""COMPUTED_VALUE"""),298.92)</f>
        <v>298.92</v>
      </c>
      <c r="D460" s="1">
        <f>IFERROR(__xludf.DUMMYFUNCTION("""COMPUTED_VALUE"""),281.52)</f>
        <v>281.52</v>
      </c>
      <c r="E460" s="1">
        <f>IFERROR(__xludf.DUMMYFUNCTION("""COMPUTED_VALUE"""),282.7)</f>
        <v>282.7</v>
      </c>
      <c r="F460" s="1">
        <f>IFERROR(__xludf.DUMMYFUNCTION("""COMPUTED_VALUE"""),5.2890624E7)</f>
        <v>52890624</v>
      </c>
    </row>
    <row r="461">
      <c r="A461" s="2">
        <f>IFERROR(__xludf.DUMMYFUNCTION("""COMPUTED_VALUE"""),32069.666666666668)</f>
        <v>32069.66667</v>
      </c>
      <c r="B461" s="1">
        <f>IFERROR(__xludf.DUMMYFUNCTION("""COMPUTED_VALUE"""),282.7)</f>
        <v>282.7</v>
      </c>
      <c r="C461" s="1">
        <f>IFERROR(__xludf.DUMMYFUNCTION("""COMPUTED_VALUE"""),282.7)</f>
        <v>282.7</v>
      </c>
      <c r="D461" s="1">
        <f>IFERROR(__xludf.DUMMYFUNCTION("""COMPUTED_VALUE"""),224.83)</f>
        <v>224.83</v>
      </c>
      <c r="E461" s="1">
        <f>IFERROR(__xludf.DUMMYFUNCTION("""COMPUTED_VALUE"""),224.84)</f>
        <v>224.84</v>
      </c>
      <c r="F461" s="1">
        <f>IFERROR(__xludf.DUMMYFUNCTION("""COMPUTED_VALUE"""),9.4421872E7)</f>
        <v>94421872</v>
      </c>
    </row>
    <row r="462">
      <c r="A462" s="2">
        <f>IFERROR(__xludf.DUMMYFUNCTION("""COMPUTED_VALUE"""),32070.666666666668)</f>
        <v>32070.66667</v>
      </c>
      <c r="B462" s="1">
        <f>IFERROR(__xludf.DUMMYFUNCTION("""COMPUTED_VALUE"""),225.06)</f>
        <v>225.06</v>
      </c>
      <c r="C462" s="1">
        <f>IFERROR(__xludf.DUMMYFUNCTION("""COMPUTED_VALUE"""),245.62)</f>
        <v>245.62</v>
      </c>
      <c r="D462" s="1">
        <f>IFERROR(__xludf.DUMMYFUNCTION("""COMPUTED_VALUE"""),216.46)</f>
        <v>216.46</v>
      </c>
      <c r="E462" s="1">
        <f>IFERROR(__xludf.DUMMYFUNCTION("""COMPUTED_VALUE"""),236.83)</f>
        <v>236.83</v>
      </c>
      <c r="F462" s="1">
        <f>IFERROR(__xludf.DUMMYFUNCTION("""COMPUTED_VALUE"""),9.5015624E7)</f>
        <v>95015624</v>
      </c>
    </row>
    <row r="463">
      <c r="A463" s="2">
        <f>IFERROR(__xludf.DUMMYFUNCTION("""COMPUTED_VALUE"""),32071.666666666668)</f>
        <v>32071.66667</v>
      </c>
      <c r="B463" s="1">
        <f>IFERROR(__xludf.DUMMYFUNCTION("""COMPUTED_VALUE"""),236.83)</f>
        <v>236.83</v>
      </c>
      <c r="C463" s="1">
        <f>IFERROR(__xludf.DUMMYFUNCTION("""COMPUTED_VALUE"""),259.27)</f>
        <v>259.27</v>
      </c>
      <c r="D463" s="1">
        <f>IFERROR(__xludf.DUMMYFUNCTION("""COMPUTED_VALUE"""),236.83)</f>
        <v>236.83</v>
      </c>
      <c r="E463" s="1">
        <f>IFERROR(__xludf.DUMMYFUNCTION("""COMPUTED_VALUE"""),258.38)</f>
        <v>258.38</v>
      </c>
      <c r="F463" s="1">
        <f>IFERROR(__xludf.DUMMYFUNCTION("""COMPUTED_VALUE"""),7.025E7)</f>
        <v>70250000</v>
      </c>
    </row>
    <row r="464">
      <c r="A464" s="2">
        <f>IFERROR(__xludf.DUMMYFUNCTION("""COMPUTED_VALUE"""),32072.666666666668)</f>
        <v>32072.66667</v>
      </c>
      <c r="B464" s="1">
        <f>IFERROR(__xludf.DUMMYFUNCTION("""COMPUTED_VALUE"""),258.24)</f>
        <v>258.24</v>
      </c>
      <c r="C464" s="1">
        <f>IFERROR(__xludf.DUMMYFUNCTION("""COMPUTED_VALUE"""),258.38)</f>
        <v>258.38</v>
      </c>
      <c r="D464" s="1">
        <f>IFERROR(__xludf.DUMMYFUNCTION("""COMPUTED_VALUE"""),242.99)</f>
        <v>242.99</v>
      </c>
      <c r="E464" s="1">
        <f>IFERROR(__xludf.DUMMYFUNCTION("""COMPUTED_VALUE"""),248.25)</f>
        <v>248.25</v>
      </c>
      <c r="F464" s="1">
        <f>IFERROR(__xludf.DUMMYFUNCTION("""COMPUTED_VALUE"""),6.1281248E7)</f>
        <v>61281248</v>
      </c>
    </row>
    <row r="465">
      <c r="A465" s="2">
        <f>IFERROR(__xludf.DUMMYFUNCTION("""COMPUTED_VALUE"""),32073.666666666668)</f>
        <v>32073.66667</v>
      </c>
      <c r="B465" s="1">
        <f>IFERROR(__xludf.DUMMYFUNCTION("""COMPUTED_VALUE"""),248.29)</f>
        <v>248.29</v>
      </c>
      <c r="C465" s="1">
        <f>IFERROR(__xludf.DUMMYFUNCTION("""COMPUTED_VALUE"""),250.7)</f>
        <v>250.7</v>
      </c>
      <c r="D465" s="1">
        <f>IFERROR(__xludf.DUMMYFUNCTION("""COMPUTED_VALUE"""),242.76)</f>
        <v>242.76</v>
      </c>
      <c r="E465" s="1">
        <f>IFERROR(__xludf.DUMMYFUNCTION("""COMPUTED_VALUE"""),248.22)</f>
        <v>248.22</v>
      </c>
      <c r="F465" s="1">
        <f>IFERROR(__xludf.DUMMYFUNCTION("""COMPUTED_VALUE"""),3.8375E7)</f>
        <v>38375000</v>
      </c>
    </row>
    <row r="466">
      <c r="A466" s="2">
        <f>IFERROR(__xludf.DUMMYFUNCTION("""COMPUTED_VALUE"""),32076.666666666668)</f>
        <v>32076.66667</v>
      </c>
      <c r="B466" s="1">
        <f>IFERROR(__xludf.DUMMYFUNCTION("""COMPUTED_VALUE"""),248.2)</f>
        <v>248.2</v>
      </c>
      <c r="C466" s="1">
        <f>IFERROR(__xludf.DUMMYFUNCTION("""COMPUTED_VALUE"""),248.22)</f>
        <v>248.22</v>
      </c>
      <c r="D466" s="1">
        <f>IFERROR(__xludf.DUMMYFUNCTION("""COMPUTED_VALUE"""),227.26)</f>
        <v>227.26</v>
      </c>
      <c r="E466" s="1">
        <f>IFERROR(__xludf.DUMMYFUNCTION("""COMPUTED_VALUE"""),227.67)</f>
        <v>227.67</v>
      </c>
      <c r="F466" s="1">
        <f>IFERROR(__xludf.DUMMYFUNCTION("""COMPUTED_VALUE"""),4.825E7)</f>
        <v>48250000</v>
      </c>
    </row>
    <row r="467">
      <c r="A467" s="2">
        <f>IFERROR(__xludf.DUMMYFUNCTION("""COMPUTED_VALUE"""),32077.666666666668)</f>
        <v>32077.66667</v>
      </c>
      <c r="B467" s="1">
        <f>IFERROR(__xludf.DUMMYFUNCTION("""COMPUTED_VALUE"""),227.67)</f>
        <v>227.67</v>
      </c>
      <c r="C467" s="1">
        <f>IFERROR(__xludf.DUMMYFUNCTION("""COMPUTED_VALUE"""),237.81)</f>
        <v>237.81</v>
      </c>
      <c r="D467" s="1">
        <f>IFERROR(__xludf.DUMMYFUNCTION("""COMPUTED_VALUE"""),227.67)</f>
        <v>227.67</v>
      </c>
      <c r="E467" s="1">
        <f>IFERROR(__xludf.DUMMYFUNCTION("""COMPUTED_VALUE"""),233.19)</f>
        <v>233.19</v>
      </c>
      <c r="F467" s="1">
        <f>IFERROR(__xludf.DUMMYFUNCTION("""COMPUTED_VALUE"""),4.0656248E7)</f>
        <v>40656248</v>
      </c>
    </row>
    <row r="468">
      <c r="A468" s="2">
        <f>IFERROR(__xludf.DUMMYFUNCTION("""COMPUTED_VALUE"""),32078.666666666668)</f>
        <v>32078.66667</v>
      </c>
      <c r="B468" s="1">
        <f>IFERROR(__xludf.DUMMYFUNCTION("""COMPUTED_VALUE"""),233.19)</f>
        <v>233.19</v>
      </c>
      <c r="C468" s="1">
        <f>IFERROR(__xludf.DUMMYFUNCTION("""COMPUTED_VALUE"""),238.58)</f>
        <v>238.58</v>
      </c>
      <c r="D468" s="1">
        <f>IFERROR(__xludf.DUMMYFUNCTION("""COMPUTED_VALUE"""),226.26)</f>
        <v>226.26</v>
      </c>
      <c r="E468" s="1">
        <f>IFERROR(__xludf.DUMMYFUNCTION("""COMPUTED_VALUE"""),233.28)</f>
        <v>233.28</v>
      </c>
      <c r="F468" s="1">
        <f>IFERROR(__xludf.DUMMYFUNCTION("""COMPUTED_VALUE"""),4.3656248E7)</f>
        <v>43656248</v>
      </c>
    </row>
    <row r="469">
      <c r="A469" s="2">
        <f>IFERROR(__xludf.DUMMYFUNCTION("""COMPUTED_VALUE"""),32079.666666666668)</f>
        <v>32079.66667</v>
      </c>
      <c r="B469" s="1">
        <f>IFERROR(__xludf.DUMMYFUNCTION("""COMPUTED_VALUE"""),233.31)</f>
        <v>233.31</v>
      </c>
      <c r="C469" s="1">
        <f>IFERROR(__xludf.DUMMYFUNCTION("""COMPUTED_VALUE"""),246.69)</f>
        <v>246.69</v>
      </c>
      <c r="D469" s="1">
        <f>IFERROR(__xludf.DUMMYFUNCTION("""COMPUTED_VALUE"""),233.28)</f>
        <v>233.28</v>
      </c>
      <c r="E469" s="1">
        <f>IFERROR(__xludf.DUMMYFUNCTION("""COMPUTED_VALUE"""),244.77)</f>
        <v>244.77</v>
      </c>
      <c r="F469" s="1">
        <f>IFERROR(__xludf.DUMMYFUNCTION("""COMPUTED_VALUE"""),4.0328124E7)</f>
        <v>40328124</v>
      </c>
    </row>
    <row r="470">
      <c r="A470" s="2">
        <f>IFERROR(__xludf.DUMMYFUNCTION("""COMPUTED_VALUE"""),32080.666666666668)</f>
        <v>32080.66667</v>
      </c>
      <c r="B470" s="1">
        <f>IFERROR(__xludf.DUMMYFUNCTION("""COMPUTED_VALUE"""),244.77)</f>
        <v>244.77</v>
      </c>
      <c r="C470" s="1">
        <f>IFERROR(__xludf.DUMMYFUNCTION("""COMPUTED_VALUE"""),254.04)</f>
        <v>254.04</v>
      </c>
      <c r="D470" s="1">
        <f>IFERROR(__xludf.DUMMYFUNCTION("""COMPUTED_VALUE"""),244.77)</f>
        <v>244.77</v>
      </c>
      <c r="E470" s="1">
        <f>IFERROR(__xludf.DUMMYFUNCTION("""COMPUTED_VALUE"""),251.79)</f>
        <v>251.79</v>
      </c>
      <c r="F470" s="1">
        <f>IFERROR(__xludf.DUMMYFUNCTION("""COMPUTED_VALUE"""),4.7406248E7)</f>
        <v>47406248</v>
      </c>
    </row>
    <row r="471">
      <c r="A471" s="2">
        <f>IFERROR(__xludf.DUMMYFUNCTION("""COMPUTED_VALUE"""),32083.666666666668)</f>
        <v>32083.66667</v>
      </c>
      <c r="B471" s="1">
        <f>IFERROR(__xludf.DUMMYFUNCTION("""COMPUTED_VALUE"""),251.73)</f>
        <v>251.73</v>
      </c>
      <c r="C471" s="1">
        <f>IFERROR(__xludf.DUMMYFUNCTION("""COMPUTED_VALUE"""),255.75)</f>
        <v>255.75</v>
      </c>
      <c r="D471" s="1">
        <f>IFERROR(__xludf.DUMMYFUNCTION("""COMPUTED_VALUE"""),249.15)</f>
        <v>249.15</v>
      </c>
      <c r="E471" s="1">
        <f>IFERROR(__xludf.DUMMYFUNCTION("""COMPUTED_VALUE"""),255.75)</f>
        <v>255.75</v>
      </c>
      <c r="F471" s="1">
        <f>IFERROR(__xludf.DUMMYFUNCTION("""COMPUTED_VALUE"""),2.75E7)</f>
        <v>27500000</v>
      </c>
    </row>
    <row r="472">
      <c r="A472" s="2">
        <f>IFERROR(__xludf.DUMMYFUNCTION("""COMPUTED_VALUE"""),32084.666666666668)</f>
        <v>32084.66667</v>
      </c>
      <c r="B472" s="1">
        <f>IFERROR(__xludf.DUMMYFUNCTION("""COMPUTED_VALUE"""),255.75)</f>
        <v>255.75</v>
      </c>
      <c r="C472" s="1">
        <f>IFERROR(__xludf.DUMMYFUNCTION("""COMPUTED_VALUE"""),255.75)</f>
        <v>255.75</v>
      </c>
      <c r="D472" s="1">
        <f>IFERROR(__xludf.DUMMYFUNCTION("""COMPUTED_VALUE"""),242.78)</f>
        <v>242.78</v>
      </c>
      <c r="E472" s="1">
        <f>IFERROR(__xludf.DUMMYFUNCTION("""COMPUTED_VALUE"""),250.82)</f>
        <v>250.82</v>
      </c>
      <c r="F472" s="1">
        <f>IFERROR(__xludf.DUMMYFUNCTION("""COMPUTED_VALUE"""),3.5593752E7)</f>
        <v>35593752</v>
      </c>
    </row>
    <row r="473">
      <c r="A473" s="2">
        <f>IFERROR(__xludf.DUMMYFUNCTION("""COMPUTED_VALUE"""),32085.666666666668)</f>
        <v>32085.66667</v>
      </c>
      <c r="B473" s="1">
        <f>IFERROR(__xludf.DUMMYFUNCTION("""COMPUTED_VALUE"""),250.81)</f>
        <v>250.81</v>
      </c>
      <c r="C473" s="1">
        <f>IFERROR(__xludf.DUMMYFUNCTION("""COMPUTED_VALUE"""),251.0)</f>
        <v>251</v>
      </c>
      <c r="D473" s="1">
        <f>IFERROR(__xludf.DUMMYFUNCTION("""COMPUTED_VALUE"""),246.34)</f>
        <v>246.34</v>
      </c>
      <c r="E473" s="1">
        <f>IFERROR(__xludf.DUMMYFUNCTION("""COMPUTED_VALUE"""),248.96)</f>
        <v>248.96</v>
      </c>
      <c r="F473" s="1">
        <f>IFERROR(__xludf.DUMMYFUNCTION("""COMPUTED_VALUE"""),3.1640624E7)</f>
        <v>31640624</v>
      </c>
    </row>
    <row r="474">
      <c r="A474" s="2">
        <f>IFERROR(__xludf.DUMMYFUNCTION("""COMPUTED_VALUE"""),32086.666666666668)</f>
        <v>32086.66667</v>
      </c>
      <c r="B474" s="1">
        <f>IFERROR(__xludf.DUMMYFUNCTION("""COMPUTED_VALUE"""),248.93)</f>
        <v>248.93</v>
      </c>
      <c r="C474" s="1">
        <f>IFERROR(__xludf.DUMMYFUNCTION("""COMPUTED_VALUE"""),256.09)</f>
        <v>256.09</v>
      </c>
      <c r="D474" s="1">
        <f>IFERROR(__xludf.DUMMYFUNCTION("""COMPUTED_VALUE"""),247.72)</f>
        <v>247.72</v>
      </c>
      <c r="E474" s="1">
        <f>IFERROR(__xludf.DUMMYFUNCTION("""COMPUTED_VALUE"""),254.48)</f>
        <v>254.48</v>
      </c>
      <c r="F474" s="1">
        <f>IFERROR(__xludf.DUMMYFUNCTION("""COMPUTED_VALUE"""),3.53125E7)</f>
        <v>35312500</v>
      </c>
    </row>
    <row r="475">
      <c r="A475" s="2">
        <f>IFERROR(__xludf.DUMMYFUNCTION("""COMPUTED_VALUE"""),32087.666666666668)</f>
        <v>32087.66667</v>
      </c>
      <c r="B475" s="1">
        <f>IFERROR(__xludf.DUMMYFUNCTION("""COMPUTED_VALUE"""),254.49)</f>
        <v>254.49</v>
      </c>
      <c r="C475" s="1">
        <f>IFERROR(__xludf.DUMMYFUNCTION("""COMPUTED_VALUE"""),257.21)</f>
        <v>257.21</v>
      </c>
      <c r="D475" s="1">
        <f>IFERROR(__xludf.DUMMYFUNCTION("""COMPUTED_VALUE"""),249.68)</f>
        <v>249.68</v>
      </c>
      <c r="E475" s="1">
        <f>IFERROR(__xludf.DUMMYFUNCTION("""COMPUTED_VALUE"""),250.41)</f>
        <v>250.41</v>
      </c>
      <c r="F475" s="1">
        <f>IFERROR(__xludf.DUMMYFUNCTION("""COMPUTED_VALUE"""),3.5670312E7)</f>
        <v>35670312</v>
      </c>
    </row>
    <row r="476">
      <c r="A476" s="2">
        <f>IFERROR(__xludf.DUMMYFUNCTION("""COMPUTED_VALUE"""),32090.666666666668)</f>
        <v>32090.66667</v>
      </c>
      <c r="B476" s="1">
        <f>IFERROR(__xludf.DUMMYFUNCTION("""COMPUTED_VALUE"""),250.41)</f>
        <v>250.41</v>
      </c>
      <c r="C476" s="1">
        <f>IFERROR(__xludf.DUMMYFUNCTION("""COMPUTED_VALUE"""),250.41)</f>
        <v>250.41</v>
      </c>
      <c r="D476" s="1">
        <f>IFERROR(__xludf.DUMMYFUNCTION("""COMPUTED_VALUE"""),243.01)</f>
        <v>243.01</v>
      </c>
      <c r="E476" s="1">
        <f>IFERROR(__xludf.DUMMYFUNCTION("""COMPUTED_VALUE"""),243.17)</f>
        <v>243.17</v>
      </c>
      <c r="F476" s="1">
        <f>IFERROR(__xludf.DUMMYFUNCTION("""COMPUTED_VALUE"""),2.5107812E7)</f>
        <v>25107812</v>
      </c>
    </row>
    <row r="477">
      <c r="A477" s="2">
        <f>IFERROR(__xludf.DUMMYFUNCTION("""COMPUTED_VALUE"""),32091.666666666668)</f>
        <v>32091.66667</v>
      </c>
      <c r="B477" s="1">
        <f>IFERROR(__xludf.DUMMYFUNCTION("""COMPUTED_VALUE"""),243.14)</f>
        <v>243.14</v>
      </c>
      <c r="C477" s="1">
        <f>IFERROR(__xludf.DUMMYFUNCTION("""COMPUTED_VALUE"""),243.17)</f>
        <v>243.17</v>
      </c>
      <c r="D477" s="1">
        <f>IFERROR(__xludf.DUMMYFUNCTION("""COMPUTED_VALUE"""),237.64)</f>
        <v>237.64</v>
      </c>
      <c r="E477" s="1">
        <f>IFERROR(__xludf.DUMMYFUNCTION("""COMPUTED_VALUE"""),239.0)</f>
        <v>239</v>
      </c>
      <c r="F477" s="1">
        <f>IFERROR(__xludf.DUMMYFUNCTION("""COMPUTED_VALUE"""),2.8798438E7)</f>
        <v>28798438</v>
      </c>
    </row>
    <row r="478">
      <c r="A478" s="2">
        <f>IFERROR(__xludf.DUMMYFUNCTION("""COMPUTED_VALUE"""),32092.666666666668)</f>
        <v>32092.66667</v>
      </c>
      <c r="B478" s="1">
        <f>IFERROR(__xludf.DUMMYFUNCTION("""COMPUTED_VALUE"""),239.01)</f>
        <v>239.01</v>
      </c>
      <c r="C478" s="1">
        <f>IFERROR(__xludf.DUMMYFUNCTION("""COMPUTED_VALUE"""),243.86)</f>
        <v>243.86</v>
      </c>
      <c r="D478" s="1">
        <f>IFERROR(__xludf.DUMMYFUNCTION("""COMPUTED_VALUE"""),239.0)</f>
        <v>239</v>
      </c>
      <c r="E478" s="1">
        <f>IFERROR(__xludf.DUMMYFUNCTION("""COMPUTED_VALUE"""),241.9)</f>
        <v>241.9</v>
      </c>
      <c r="F478" s="1">
        <f>IFERROR(__xludf.DUMMYFUNCTION("""COMPUTED_VALUE"""),2.3101562E7)</f>
        <v>23101562</v>
      </c>
    </row>
    <row r="479">
      <c r="A479" s="2">
        <f>IFERROR(__xludf.DUMMYFUNCTION("""COMPUTED_VALUE"""),32093.666666666668)</f>
        <v>32093.66667</v>
      </c>
      <c r="B479" s="1">
        <f>IFERROR(__xludf.DUMMYFUNCTION("""COMPUTED_VALUE"""),241.93)</f>
        <v>241.93</v>
      </c>
      <c r="C479" s="1">
        <f>IFERROR(__xludf.DUMMYFUNCTION("""COMPUTED_VALUE"""),249.9)</f>
        <v>249.9</v>
      </c>
      <c r="D479" s="1">
        <f>IFERROR(__xludf.DUMMYFUNCTION("""COMPUTED_VALUE"""),241.9)</f>
        <v>241.9</v>
      </c>
      <c r="E479" s="1">
        <f>IFERROR(__xludf.DUMMYFUNCTION("""COMPUTED_VALUE"""),248.52)</f>
        <v>248.52</v>
      </c>
      <c r="F479" s="1">
        <f>IFERROR(__xludf.DUMMYFUNCTION("""COMPUTED_VALUE"""),3.223125E7)</f>
        <v>32231250</v>
      </c>
    </row>
    <row r="480">
      <c r="A480" s="2">
        <f>IFERROR(__xludf.DUMMYFUNCTION("""COMPUTED_VALUE"""),32094.666666666668)</f>
        <v>32094.66667</v>
      </c>
      <c r="B480" s="1">
        <f>IFERROR(__xludf.DUMMYFUNCTION("""COMPUTED_VALUE"""),248.54)</f>
        <v>248.54</v>
      </c>
      <c r="C480" s="1">
        <f>IFERROR(__xludf.DUMMYFUNCTION("""COMPUTED_VALUE"""),249.42)</f>
        <v>249.42</v>
      </c>
      <c r="D480" s="1">
        <f>IFERROR(__xludf.DUMMYFUNCTION("""COMPUTED_VALUE"""),245.64)</f>
        <v>245.64</v>
      </c>
      <c r="E480" s="1">
        <f>IFERROR(__xludf.DUMMYFUNCTION("""COMPUTED_VALUE"""),245.64)</f>
        <v>245.64</v>
      </c>
      <c r="F480" s="1">
        <f>IFERROR(__xludf.DUMMYFUNCTION("""COMPUTED_VALUE"""),2.733125E7)</f>
        <v>27331250</v>
      </c>
    </row>
    <row r="481">
      <c r="A481" s="2">
        <f>IFERROR(__xludf.DUMMYFUNCTION("""COMPUTED_VALUE"""),32097.666666666668)</f>
        <v>32097.66667</v>
      </c>
      <c r="B481" s="1">
        <f>IFERROR(__xludf.DUMMYFUNCTION("""COMPUTED_VALUE"""),245.69)</f>
        <v>245.69</v>
      </c>
      <c r="C481" s="1">
        <f>IFERROR(__xludf.DUMMYFUNCTION("""COMPUTED_VALUE"""),249.54)</f>
        <v>249.54</v>
      </c>
      <c r="D481" s="1">
        <f>IFERROR(__xludf.DUMMYFUNCTION("""COMPUTED_VALUE"""),244.98)</f>
        <v>244.98</v>
      </c>
      <c r="E481" s="1">
        <f>IFERROR(__xludf.DUMMYFUNCTION("""COMPUTED_VALUE"""),246.76)</f>
        <v>246.76</v>
      </c>
      <c r="F481" s="1">
        <f>IFERROR(__xludf.DUMMYFUNCTION("""COMPUTED_VALUE"""),2.5678124E7)</f>
        <v>25678124</v>
      </c>
    </row>
    <row r="482">
      <c r="A482" s="2">
        <f>IFERROR(__xludf.DUMMYFUNCTION("""COMPUTED_VALUE"""),32098.666666666668)</f>
        <v>32098.66667</v>
      </c>
      <c r="B482" s="1">
        <f>IFERROR(__xludf.DUMMYFUNCTION("""COMPUTED_VALUE"""),246.73)</f>
        <v>246.73</v>
      </c>
      <c r="C482" s="1">
        <f>IFERROR(__xludf.DUMMYFUNCTION("""COMPUTED_VALUE"""),246.76)</f>
        <v>246.76</v>
      </c>
      <c r="D482" s="1">
        <f>IFERROR(__xludf.DUMMYFUNCTION("""COMPUTED_VALUE"""),240.81)</f>
        <v>240.81</v>
      </c>
      <c r="E482" s="1">
        <f>IFERROR(__xludf.DUMMYFUNCTION("""COMPUTED_VALUE"""),243.04)</f>
        <v>243.04</v>
      </c>
      <c r="F482" s="1">
        <f>IFERROR(__xludf.DUMMYFUNCTION("""COMPUTED_VALUE"""),2.31625E7)</f>
        <v>23162500</v>
      </c>
    </row>
    <row r="483">
      <c r="A483" s="2">
        <f>IFERROR(__xludf.DUMMYFUNCTION("""COMPUTED_VALUE"""),32099.666666666668)</f>
        <v>32099.66667</v>
      </c>
      <c r="B483" s="1">
        <f>IFERROR(__xludf.DUMMYFUNCTION("""COMPUTED_VALUE"""),243.09)</f>
        <v>243.09</v>
      </c>
      <c r="C483" s="1">
        <f>IFERROR(__xludf.DUMMYFUNCTION("""COMPUTED_VALUE"""),245.55)</f>
        <v>245.55</v>
      </c>
      <c r="D483" s="1">
        <f>IFERROR(__xludf.DUMMYFUNCTION("""COMPUTED_VALUE"""),240.67)</f>
        <v>240.67</v>
      </c>
      <c r="E483" s="1">
        <f>IFERROR(__xludf.DUMMYFUNCTION("""COMPUTED_VALUE"""),245.55)</f>
        <v>245.55</v>
      </c>
      <c r="F483" s="1">
        <f>IFERROR(__xludf.DUMMYFUNCTION("""COMPUTED_VALUE"""),2.4729688E7)</f>
        <v>24729688</v>
      </c>
    </row>
    <row r="484">
      <c r="A484" s="2">
        <f>IFERROR(__xludf.DUMMYFUNCTION("""COMPUTED_VALUE"""),32100.666666666668)</f>
        <v>32100.66667</v>
      </c>
      <c r="B484" s="1">
        <f>IFERROR(__xludf.DUMMYFUNCTION("""COMPUTED_VALUE"""),245.54)</f>
        <v>245.54</v>
      </c>
      <c r="C484" s="1">
        <f>IFERROR(__xludf.DUMMYFUNCTION("""COMPUTED_VALUE"""),245.55)</f>
        <v>245.55</v>
      </c>
      <c r="D484" s="1">
        <f>IFERROR(__xludf.DUMMYFUNCTION("""COMPUTED_VALUE"""),239.7)</f>
        <v>239.7</v>
      </c>
      <c r="E484" s="1">
        <f>IFERROR(__xludf.DUMMYFUNCTION("""COMPUTED_VALUE"""),240.05)</f>
        <v>240.05</v>
      </c>
      <c r="F484" s="1">
        <f>IFERROR(__xludf.DUMMYFUNCTION("""COMPUTED_VALUE"""),2.4553124E7)</f>
        <v>24553124</v>
      </c>
    </row>
    <row r="485">
      <c r="A485" s="2">
        <f>IFERROR(__xludf.DUMMYFUNCTION("""COMPUTED_VALUE"""),32101.666666666668)</f>
        <v>32101.66667</v>
      </c>
      <c r="B485" s="1">
        <f>IFERROR(__xludf.DUMMYFUNCTION("""COMPUTED_VALUE"""),240.04)</f>
        <v>240.04</v>
      </c>
      <c r="C485" s="1">
        <f>IFERROR(__xludf.DUMMYFUNCTION("""COMPUTED_VALUE"""),242.01)</f>
        <v>242.01</v>
      </c>
      <c r="D485" s="1">
        <f>IFERROR(__xludf.DUMMYFUNCTION("""COMPUTED_VALUE"""),235.89)</f>
        <v>235.89</v>
      </c>
      <c r="E485" s="1">
        <f>IFERROR(__xludf.DUMMYFUNCTION("""COMPUTED_VALUE"""),242.0)</f>
        <v>242</v>
      </c>
      <c r="F485" s="1">
        <f>IFERROR(__xludf.DUMMYFUNCTION("""COMPUTED_VALUE"""),2.9557812E7)</f>
        <v>29557812</v>
      </c>
    </row>
    <row r="486">
      <c r="A486" s="2">
        <f>IFERROR(__xludf.DUMMYFUNCTION("""COMPUTED_VALUE"""),32104.666666666668)</f>
        <v>32104.66667</v>
      </c>
      <c r="B486" s="1">
        <f>IFERROR(__xludf.DUMMYFUNCTION("""COMPUTED_VALUE"""),242.0)</f>
        <v>242</v>
      </c>
      <c r="C486" s="1">
        <f>IFERROR(__xludf.DUMMYFUNCTION("""COMPUTED_VALUE"""),242.99)</f>
        <v>242.99</v>
      </c>
      <c r="D486" s="1">
        <f>IFERROR(__xludf.DUMMYFUNCTION("""COMPUTED_VALUE"""),240.5)</f>
        <v>240.5</v>
      </c>
      <c r="E486" s="1">
        <f>IFERROR(__xludf.DUMMYFUNCTION("""COMPUTED_VALUE"""),242.99)</f>
        <v>242.99</v>
      </c>
      <c r="F486" s="1">
        <f>IFERROR(__xludf.DUMMYFUNCTION("""COMPUTED_VALUE"""),2.236875E7)</f>
        <v>22368750</v>
      </c>
    </row>
    <row r="487">
      <c r="A487" s="2">
        <f>IFERROR(__xludf.DUMMYFUNCTION("""COMPUTED_VALUE"""),32105.666666666668)</f>
        <v>32105.66667</v>
      </c>
      <c r="B487" s="1">
        <f>IFERROR(__xludf.DUMMYFUNCTION("""COMPUTED_VALUE"""),242.98)</f>
        <v>242.98</v>
      </c>
      <c r="C487" s="1">
        <f>IFERROR(__xludf.DUMMYFUNCTION("""COMPUTED_VALUE"""),247.9)</f>
        <v>247.9</v>
      </c>
      <c r="D487" s="1">
        <f>IFERROR(__xludf.DUMMYFUNCTION("""COMPUTED_VALUE"""),242.98)</f>
        <v>242.98</v>
      </c>
      <c r="E487" s="1">
        <f>IFERROR(__xludf.DUMMYFUNCTION("""COMPUTED_VALUE"""),246.39)</f>
        <v>246.39</v>
      </c>
      <c r="F487" s="1">
        <f>IFERROR(__xludf.DUMMYFUNCTION("""COMPUTED_VALUE"""),3.1175E7)</f>
        <v>31175000</v>
      </c>
    </row>
    <row r="488">
      <c r="A488" s="2">
        <f>IFERROR(__xludf.DUMMYFUNCTION("""COMPUTED_VALUE"""),32106.666666666668)</f>
        <v>32106.66667</v>
      </c>
      <c r="B488" s="1">
        <f>IFERROR(__xludf.DUMMYFUNCTION("""COMPUTED_VALUE"""),246.42)</f>
        <v>246.42</v>
      </c>
      <c r="C488" s="1">
        <f>IFERROR(__xludf.DUMMYFUNCTION("""COMPUTED_VALUE"""),246.54)</f>
        <v>246.54</v>
      </c>
      <c r="D488" s="1">
        <f>IFERROR(__xludf.DUMMYFUNCTION("""COMPUTED_VALUE"""),244.08)</f>
        <v>244.08</v>
      </c>
      <c r="E488" s="1">
        <f>IFERROR(__xludf.DUMMYFUNCTION("""COMPUTED_VALUE"""),244.1)</f>
        <v>244.1</v>
      </c>
      <c r="F488" s="1">
        <f>IFERROR(__xludf.DUMMYFUNCTION("""COMPUTED_VALUE"""),2.1840624E7)</f>
        <v>21840624</v>
      </c>
    </row>
    <row r="489">
      <c r="A489" s="2">
        <f>IFERROR(__xludf.DUMMYFUNCTION("""COMPUTED_VALUE"""),32108.666666666668)</f>
        <v>32108.66667</v>
      </c>
      <c r="B489" s="1">
        <f>IFERROR(__xludf.DUMMYFUNCTION("""COMPUTED_VALUE"""),244.11)</f>
        <v>244.11</v>
      </c>
      <c r="C489" s="1">
        <f>IFERROR(__xludf.DUMMYFUNCTION("""COMPUTED_VALUE"""),244.12)</f>
        <v>244.12</v>
      </c>
      <c r="D489" s="1">
        <f>IFERROR(__xludf.DUMMYFUNCTION("""COMPUTED_VALUE"""),240.34)</f>
        <v>240.34</v>
      </c>
      <c r="E489" s="1">
        <f>IFERROR(__xludf.DUMMYFUNCTION("""COMPUTED_VALUE"""),240.34)</f>
        <v>240.34</v>
      </c>
      <c r="F489" s="1">
        <f>IFERROR(__xludf.DUMMYFUNCTION("""COMPUTED_VALUE"""),1.349375E7)</f>
        <v>13493750</v>
      </c>
    </row>
    <row r="490">
      <c r="A490" s="2">
        <f>IFERROR(__xludf.DUMMYFUNCTION("""COMPUTED_VALUE"""),32111.666666666668)</f>
        <v>32111.66667</v>
      </c>
      <c r="B490" s="1">
        <f>IFERROR(__xludf.DUMMYFUNCTION("""COMPUTED_VALUE"""),240.27)</f>
        <v>240.27</v>
      </c>
      <c r="C490" s="1">
        <f>IFERROR(__xludf.DUMMYFUNCTION("""COMPUTED_VALUE"""),240.34)</f>
        <v>240.34</v>
      </c>
      <c r="D490" s="1">
        <f>IFERROR(__xludf.DUMMYFUNCTION("""COMPUTED_VALUE"""),225.75)</f>
        <v>225.75</v>
      </c>
      <c r="E490" s="1">
        <f>IFERROR(__xludf.DUMMYFUNCTION("""COMPUTED_VALUE"""),230.3)</f>
        <v>230.3</v>
      </c>
      <c r="F490" s="1">
        <f>IFERROR(__xludf.DUMMYFUNCTION("""COMPUTED_VALUE"""),4.2017188E7)</f>
        <v>42017188</v>
      </c>
    </row>
    <row r="491">
      <c r="A491" s="2">
        <f>IFERROR(__xludf.DUMMYFUNCTION("""COMPUTED_VALUE"""),32112.666666666668)</f>
        <v>32112.66667</v>
      </c>
      <c r="B491" s="1">
        <f>IFERROR(__xludf.DUMMYFUNCTION("""COMPUTED_VALUE"""),230.32)</f>
        <v>230.32</v>
      </c>
      <c r="C491" s="1">
        <f>IFERROR(__xludf.DUMMYFUNCTION("""COMPUTED_VALUE"""),234.02)</f>
        <v>234.02</v>
      </c>
      <c r="D491" s="1">
        <f>IFERROR(__xludf.DUMMYFUNCTION("""COMPUTED_VALUE"""),230.3)</f>
        <v>230.3</v>
      </c>
      <c r="E491" s="1">
        <f>IFERROR(__xludf.DUMMYFUNCTION("""COMPUTED_VALUE"""),232.0)</f>
        <v>232</v>
      </c>
      <c r="F491" s="1">
        <f>IFERROR(__xludf.DUMMYFUNCTION("""COMPUTED_VALUE"""),2.3417188E7)</f>
        <v>23417188</v>
      </c>
    </row>
    <row r="492">
      <c r="A492" s="2">
        <f>IFERROR(__xludf.DUMMYFUNCTION("""COMPUTED_VALUE"""),32113.666666666668)</f>
        <v>32113.66667</v>
      </c>
      <c r="B492" s="1">
        <f>IFERROR(__xludf.DUMMYFUNCTION("""COMPUTED_VALUE"""),232.01)</f>
        <v>232.01</v>
      </c>
      <c r="C492" s="1">
        <f>IFERROR(__xludf.DUMMYFUNCTION("""COMPUTED_VALUE"""),234.56)</f>
        <v>234.56</v>
      </c>
      <c r="D492" s="1">
        <f>IFERROR(__xludf.DUMMYFUNCTION("""COMPUTED_VALUE"""),230.31)</f>
        <v>230.31</v>
      </c>
      <c r="E492" s="1">
        <f>IFERROR(__xludf.DUMMYFUNCTION("""COMPUTED_VALUE"""),233.45)</f>
        <v>233.45</v>
      </c>
      <c r="F492" s="1">
        <f>IFERROR(__xludf.DUMMYFUNCTION("""COMPUTED_VALUE"""),2.3264062E7)</f>
        <v>23264062</v>
      </c>
    </row>
    <row r="493">
      <c r="A493" s="2">
        <f>IFERROR(__xludf.DUMMYFUNCTION("""COMPUTED_VALUE"""),32114.666666666668)</f>
        <v>32114.66667</v>
      </c>
      <c r="B493" s="1">
        <f>IFERROR(__xludf.DUMMYFUNCTION("""COMPUTED_VALUE"""),233.46)</f>
        <v>233.46</v>
      </c>
      <c r="C493" s="1">
        <f>IFERROR(__xludf.DUMMYFUNCTION("""COMPUTED_VALUE"""),233.9)</f>
        <v>233.9</v>
      </c>
      <c r="D493" s="1">
        <f>IFERROR(__xludf.DUMMYFUNCTION("""COMPUTED_VALUE"""),225.21)</f>
        <v>225.21</v>
      </c>
      <c r="E493" s="1">
        <f>IFERROR(__xludf.DUMMYFUNCTION("""COMPUTED_VALUE"""),225.21)</f>
        <v>225.21</v>
      </c>
      <c r="F493" s="1">
        <f>IFERROR(__xludf.DUMMYFUNCTION("""COMPUTED_VALUE"""),3.19E7)</f>
        <v>31900000</v>
      </c>
    </row>
    <row r="494">
      <c r="A494" s="2">
        <f>IFERROR(__xludf.DUMMYFUNCTION("""COMPUTED_VALUE"""),32115.666666666668)</f>
        <v>32115.66667</v>
      </c>
      <c r="B494" s="1">
        <f>IFERROR(__xludf.DUMMYFUNCTION("""COMPUTED_VALUE"""),225.2)</f>
        <v>225.2</v>
      </c>
      <c r="C494" s="1">
        <f>IFERROR(__xludf.DUMMYFUNCTION("""COMPUTED_VALUE"""),225.77)</f>
        <v>225.77</v>
      </c>
      <c r="D494" s="1">
        <f>IFERROR(__xludf.DUMMYFUNCTION("""COMPUTED_VALUE"""),221.24)</f>
        <v>221.24</v>
      </c>
      <c r="E494" s="1">
        <f>IFERROR(__xludf.DUMMYFUNCTION("""COMPUTED_VALUE"""),223.92)</f>
        <v>223.92</v>
      </c>
      <c r="F494" s="1">
        <f>IFERROR(__xludf.DUMMYFUNCTION("""COMPUTED_VALUE"""),2.8875E7)</f>
        <v>28875000</v>
      </c>
    </row>
    <row r="495">
      <c r="A495" s="2">
        <f>IFERROR(__xludf.DUMMYFUNCTION("""COMPUTED_VALUE"""),32118.666666666668)</f>
        <v>32118.66667</v>
      </c>
      <c r="B495" s="1">
        <f>IFERROR(__xludf.DUMMYFUNCTION("""COMPUTED_VALUE"""),223.98)</f>
        <v>223.98</v>
      </c>
      <c r="C495" s="1">
        <f>IFERROR(__xludf.DUMMYFUNCTION("""COMPUTED_VALUE"""),228.77)</f>
        <v>228.77</v>
      </c>
      <c r="D495" s="1">
        <f>IFERROR(__xludf.DUMMYFUNCTION("""COMPUTED_VALUE"""),223.92)</f>
        <v>223.92</v>
      </c>
      <c r="E495" s="1">
        <f>IFERROR(__xludf.DUMMYFUNCTION("""COMPUTED_VALUE"""),228.76)</f>
        <v>228.76</v>
      </c>
      <c r="F495" s="1">
        <f>IFERROR(__xludf.DUMMYFUNCTION("""COMPUTED_VALUE"""),2.2915624E7)</f>
        <v>22915624</v>
      </c>
    </row>
    <row r="496">
      <c r="A496" s="2">
        <f>IFERROR(__xludf.DUMMYFUNCTION("""COMPUTED_VALUE"""),32119.666666666668)</f>
        <v>32119.66667</v>
      </c>
      <c r="B496" s="1">
        <f>IFERROR(__xludf.DUMMYFUNCTION("""COMPUTED_VALUE"""),228.77)</f>
        <v>228.77</v>
      </c>
      <c r="C496" s="1">
        <f>IFERROR(__xludf.DUMMYFUNCTION("""COMPUTED_VALUE"""),234.92)</f>
        <v>234.92</v>
      </c>
      <c r="D496" s="1">
        <f>IFERROR(__xludf.DUMMYFUNCTION("""COMPUTED_VALUE"""),228.69)</f>
        <v>228.69</v>
      </c>
      <c r="E496" s="1">
        <f>IFERROR(__xludf.DUMMYFUNCTION("""COMPUTED_VALUE"""),234.91)</f>
        <v>234.91</v>
      </c>
      <c r="F496" s="1">
        <f>IFERROR(__xludf.DUMMYFUNCTION("""COMPUTED_VALUE"""),3.5517188E7)</f>
        <v>35517188</v>
      </c>
    </row>
    <row r="497">
      <c r="A497" s="2">
        <f>IFERROR(__xludf.DUMMYFUNCTION("""COMPUTED_VALUE"""),32120.666666666668)</f>
        <v>32120.66667</v>
      </c>
      <c r="B497" s="1">
        <f>IFERROR(__xludf.DUMMYFUNCTION("""COMPUTED_VALUE"""),234.91)</f>
        <v>234.91</v>
      </c>
      <c r="C497" s="1">
        <f>IFERROR(__xludf.DUMMYFUNCTION("""COMPUTED_VALUE"""),240.09)</f>
        <v>240.09</v>
      </c>
      <c r="D497" s="1">
        <f>IFERROR(__xludf.DUMMYFUNCTION("""COMPUTED_VALUE"""),233.83)</f>
        <v>233.83</v>
      </c>
      <c r="E497" s="1">
        <f>IFERROR(__xludf.DUMMYFUNCTION("""COMPUTED_VALUE"""),238.89)</f>
        <v>238.89</v>
      </c>
      <c r="F497" s="1">
        <f>IFERROR(__xludf.DUMMYFUNCTION("""COMPUTED_VALUE"""),3.6160936E7)</f>
        <v>36160936</v>
      </c>
    </row>
    <row r="498">
      <c r="A498" s="2">
        <f>IFERROR(__xludf.DUMMYFUNCTION("""COMPUTED_VALUE"""),32121.666666666668)</f>
        <v>32121.66667</v>
      </c>
      <c r="B498" s="1">
        <f>IFERROR(__xludf.DUMMYFUNCTION("""COMPUTED_VALUE"""),238.89)</f>
        <v>238.89</v>
      </c>
      <c r="C498" s="1">
        <f>IFERROR(__xludf.DUMMYFUNCTION("""COMPUTED_VALUE"""),240.05)</f>
        <v>240.05</v>
      </c>
      <c r="D498" s="1">
        <f>IFERROR(__xludf.DUMMYFUNCTION("""COMPUTED_VALUE"""),233.4)</f>
        <v>233.4</v>
      </c>
      <c r="E498" s="1">
        <f>IFERROR(__xludf.DUMMYFUNCTION("""COMPUTED_VALUE"""),233.57)</f>
        <v>233.57</v>
      </c>
      <c r="F498" s="1">
        <f>IFERROR(__xludf.DUMMYFUNCTION("""COMPUTED_VALUE"""),2.9525E7)</f>
        <v>29525000</v>
      </c>
    </row>
    <row r="499">
      <c r="A499" s="2">
        <f>IFERROR(__xludf.DUMMYFUNCTION("""COMPUTED_VALUE"""),32122.666666666668)</f>
        <v>32122.66667</v>
      </c>
      <c r="B499" s="1">
        <f>IFERROR(__xludf.DUMMYFUNCTION("""COMPUTED_VALUE"""),233.6)</f>
        <v>233.6</v>
      </c>
      <c r="C499" s="1">
        <f>IFERROR(__xludf.DUMMYFUNCTION("""COMPUTED_VALUE"""),235.48)</f>
        <v>235.48</v>
      </c>
      <c r="D499" s="1">
        <f>IFERROR(__xludf.DUMMYFUNCTION("""COMPUTED_VALUE"""),233.35)</f>
        <v>233.35</v>
      </c>
      <c r="E499" s="1">
        <f>IFERROR(__xludf.DUMMYFUNCTION("""COMPUTED_VALUE"""),235.32)</f>
        <v>235.32</v>
      </c>
      <c r="F499" s="1">
        <f>IFERROR(__xludf.DUMMYFUNCTION("""COMPUTED_VALUE"""),2.37E7)</f>
        <v>23700000</v>
      </c>
    </row>
    <row r="500">
      <c r="A500" s="2">
        <f>IFERROR(__xludf.DUMMYFUNCTION("""COMPUTED_VALUE"""),32125.666666666668)</f>
        <v>32125.66667</v>
      </c>
      <c r="B500" s="1">
        <f>IFERROR(__xludf.DUMMYFUNCTION("""COMPUTED_VALUE"""),235.3)</f>
        <v>235.3</v>
      </c>
      <c r="C500" s="1">
        <f>IFERROR(__xludf.DUMMYFUNCTION("""COMPUTED_VALUE"""),242.34)</f>
        <v>242.34</v>
      </c>
      <c r="D500" s="1">
        <f>IFERROR(__xludf.DUMMYFUNCTION("""COMPUTED_VALUE"""),235.04)</f>
        <v>235.04</v>
      </c>
      <c r="E500" s="1">
        <f>IFERROR(__xludf.DUMMYFUNCTION("""COMPUTED_VALUE"""),242.19)</f>
        <v>242.19</v>
      </c>
      <c r="F500" s="1">
        <f>IFERROR(__xludf.DUMMYFUNCTION("""COMPUTED_VALUE"""),2.9325E7)</f>
        <v>29325000</v>
      </c>
    </row>
    <row r="501">
      <c r="A501" s="2">
        <f>IFERROR(__xludf.DUMMYFUNCTION("""COMPUTED_VALUE"""),32126.666666666668)</f>
        <v>32126.66667</v>
      </c>
      <c r="B501" s="1">
        <f>IFERROR(__xludf.DUMMYFUNCTION("""COMPUTED_VALUE"""),242.19)</f>
        <v>242.19</v>
      </c>
      <c r="C501" s="1">
        <f>IFERROR(__xludf.DUMMYFUNCTION("""COMPUTED_VALUE"""),245.59)</f>
        <v>245.59</v>
      </c>
      <c r="D501" s="1">
        <f>IFERROR(__xludf.DUMMYFUNCTION("""COMPUTED_VALUE"""),241.31)</f>
        <v>241.31</v>
      </c>
      <c r="E501" s="1">
        <f>IFERROR(__xludf.DUMMYFUNCTION("""COMPUTED_VALUE"""),242.81)</f>
        <v>242.81</v>
      </c>
      <c r="F501" s="1">
        <f>IFERROR(__xludf.DUMMYFUNCTION("""COMPUTED_VALUE"""),3.3589064E7)</f>
        <v>33589064</v>
      </c>
    </row>
    <row r="502">
      <c r="A502" s="2">
        <f>IFERROR(__xludf.DUMMYFUNCTION("""COMPUTED_VALUE"""),32127.666666666668)</f>
        <v>32127.66667</v>
      </c>
      <c r="B502" s="1">
        <f>IFERROR(__xludf.DUMMYFUNCTION("""COMPUTED_VALUE"""),242.81)</f>
        <v>242.81</v>
      </c>
      <c r="C502" s="1">
        <f>IFERROR(__xludf.DUMMYFUNCTION("""COMPUTED_VALUE"""),248.11)</f>
        <v>248.11</v>
      </c>
      <c r="D502" s="1">
        <f>IFERROR(__xludf.DUMMYFUNCTION("""COMPUTED_VALUE"""),242.8)</f>
        <v>242.8</v>
      </c>
      <c r="E502" s="1">
        <f>IFERROR(__xludf.DUMMYFUNCTION("""COMPUTED_VALUE"""),248.08)</f>
        <v>248.08</v>
      </c>
      <c r="F502" s="1">
        <f>IFERROR(__xludf.DUMMYFUNCTION("""COMPUTED_VALUE"""),3.0284376E7)</f>
        <v>30284376</v>
      </c>
    </row>
    <row r="503">
      <c r="A503" s="2">
        <f>IFERROR(__xludf.DUMMYFUNCTION("""COMPUTED_VALUE"""),32128.666666666668)</f>
        <v>32128.66667</v>
      </c>
      <c r="B503" s="1">
        <f>IFERROR(__xludf.DUMMYFUNCTION("""COMPUTED_VALUE"""),248.08)</f>
        <v>248.08</v>
      </c>
      <c r="C503" s="1">
        <f>IFERROR(__xludf.DUMMYFUNCTION("""COMPUTED_VALUE"""),248.6)</f>
        <v>248.6</v>
      </c>
      <c r="D503" s="1">
        <f>IFERROR(__xludf.DUMMYFUNCTION("""COMPUTED_VALUE"""),242.96)</f>
        <v>242.96</v>
      </c>
      <c r="E503" s="1">
        <f>IFERROR(__xludf.DUMMYFUNCTION("""COMPUTED_VALUE"""),242.98)</f>
        <v>242.98</v>
      </c>
      <c r="F503" s="1">
        <f>IFERROR(__xludf.DUMMYFUNCTION("""COMPUTED_VALUE"""),2.9965624E7)</f>
        <v>29965624</v>
      </c>
    </row>
    <row r="504">
      <c r="A504" s="2">
        <f>IFERROR(__xludf.DUMMYFUNCTION("""COMPUTED_VALUE"""),32129.666666666668)</f>
        <v>32129.66667</v>
      </c>
      <c r="B504" s="1">
        <f>IFERROR(__xludf.DUMMYFUNCTION("""COMPUTED_VALUE"""),243.01)</f>
        <v>243.01</v>
      </c>
      <c r="C504" s="1">
        <f>IFERROR(__xludf.DUMMYFUNCTION("""COMPUTED_VALUE"""),249.18)</f>
        <v>249.18</v>
      </c>
      <c r="D504" s="1">
        <f>IFERROR(__xludf.DUMMYFUNCTION("""COMPUTED_VALUE"""),243.01)</f>
        <v>243.01</v>
      </c>
      <c r="E504" s="1">
        <f>IFERROR(__xludf.DUMMYFUNCTION("""COMPUTED_VALUE"""),249.16)</f>
        <v>249.16</v>
      </c>
      <c r="F504" s="1">
        <f>IFERROR(__xludf.DUMMYFUNCTION("""COMPUTED_VALUE"""),4.3159376E7)</f>
        <v>43159376</v>
      </c>
    </row>
    <row r="505">
      <c r="A505" s="2">
        <f>IFERROR(__xludf.DUMMYFUNCTION("""COMPUTED_VALUE"""),32132.666666666668)</f>
        <v>32132.66667</v>
      </c>
      <c r="B505" s="1">
        <f>IFERROR(__xludf.DUMMYFUNCTION("""COMPUTED_VALUE"""),249.14)</f>
        <v>249.14</v>
      </c>
      <c r="C505" s="1">
        <f>IFERROR(__xludf.DUMMYFUNCTION("""COMPUTED_VALUE"""),250.25)</f>
        <v>250.25</v>
      </c>
      <c r="D505" s="1">
        <f>IFERROR(__xludf.DUMMYFUNCTION("""COMPUTED_VALUE"""),248.3)</f>
        <v>248.3</v>
      </c>
      <c r="E505" s="1">
        <f>IFERROR(__xludf.DUMMYFUNCTION("""COMPUTED_VALUE"""),249.54)</f>
        <v>249.54</v>
      </c>
      <c r="F505" s="1">
        <f>IFERROR(__xludf.DUMMYFUNCTION("""COMPUTED_VALUE"""),2.5279688E7)</f>
        <v>25279688</v>
      </c>
    </row>
    <row r="506">
      <c r="A506" s="2">
        <f>IFERROR(__xludf.DUMMYFUNCTION("""COMPUTED_VALUE"""),32133.666666666668)</f>
        <v>32133.66667</v>
      </c>
      <c r="B506" s="1">
        <f>IFERROR(__xludf.DUMMYFUNCTION("""COMPUTED_VALUE"""),249.56)</f>
        <v>249.56</v>
      </c>
      <c r="C506" s="1">
        <f>IFERROR(__xludf.DUMMYFUNCTION("""COMPUTED_VALUE"""),249.97)</f>
        <v>249.97</v>
      </c>
      <c r="D506" s="1">
        <f>IFERROR(__xludf.DUMMYFUNCTION("""COMPUTED_VALUE"""),247.01)</f>
        <v>247.01</v>
      </c>
      <c r="E506" s="1">
        <f>IFERROR(__xludf.DUMMYFUNCTION("""COMPUTED_VALUE"""),249.95)</f>
        <v>249.95</v>
      </c>
      <c r="F506" s="1">
        <f>IFERROR(__xludf.DUMMYFUNCTION("""COMPUTED_VALUE"""),3.0101562E7)</f>
        <v>30101562</v>
      </c>
    </row>
    <row r="507">
      <c r="A507" s="2">
        <f>IFERROR(__xludf.DUMMYFUNCTION("""COMPUTED_VALUE"""),32134.666666666668)</f>
        <v>32134.66667</v>
      </c>
      <c r="B507" s="1">
        <f>IFERROR(__xludf.DUMMYFUNCTION("""COMPUTED_VALUE"""),249.96)</f>
        <v>249.96</v>
      </c>
      <c r="C507" s="1">
        <f>IFERROR(__xludf.DUMMYFUNCTION("""COMPUTED_VALUE"""),253.35)</f>
        <v>253.35</v>
      </c>
      <c r="D507" s="1">
        <f>IFERROR(__xludf.DUMMYFUNCTION("""COMPUTED_VALUE"""),249.95)</f>
        <v>249.95</v>
      </c>
      <c r="E507" s="1">
        <f>IFERROR(__xludf.DUMMYFUNCTION("""COMPUTED_VALUE"""),253.16)</f>
        <v>253.16</v>
      </c>
      <c r="F507" s="1">
        <f>IFERROR(__xludf.DUMMYFUNCTION("""COMPUTED_VALUE"""),3.1735938E7)</f>
        <v>31735938</v>
      </c>
    </row>
    <row r="508">
      <c r="A508" s="2">
        <f>IFERROR(__xludf.DUMMYFUNCTION("""COMPUTED_VALUE"""),32135.666666666668)</f>
        <v>32135.66667</v>
      </c>
      <c r="B508" s="1">
        <f>IFERROR(__xludf.DUMMYFUNCTION("""COMPUTED_VALUE"""),253.13)</f>
        <v>253.13</v>
      </c>
      <c r="C508" s="1">
        <f>IFERROR(__xludf.DUMMYFUNCTION("""COMPUTED_VALUE"""),253.16)</f>
        <v>253.16</v>
      </c>
      <c r="D508" s="1">
        <f>IFERROR(__xludf.DUMMYFUNCTION("""COMPUTED_VALUE"""),251.68)</f>
        <v>251.68</v>
      </c>
      <c r="E508" s="1">
        <f>IFERROR(__xludf.DUMMYFUNCTION("""COMPUTED_VALUE"""),252.03)</f>
        <v>252.03</v>
      </c>
      <c r="F508" s="1">
        <f>IFERROR(__xludf.DUMMYFUNCTION("""COMPUTED_VALUE"""),1.7E7)</f>
        <v>17000000</v>
      </c>
    </row>
    <row r="509">
      <c r="A509" s="2">
        <f>IFERROR(__xludf.DUMMYFUNCTION("""COMPUTED_VALUE"""),32139.666666666668)</f>
        <v>32139.66667</v>
      </c>
      <c r="B509" s="1">
        <f>IFERROR(__xludf.DUMMYFUNCTION("""COMPUTED_VALUE"""),252.01)</f>
        <v>252.01</v>
      </c>
      <c r="C509" s="1">
        <f>IFERROR(__xludf.DUMMYFUNCTION("""COMPUTED_VALUE"""),252.02)</f>
        <v>252.02</v>
      </c>
      <c r="D509" s="1">
        <f>IFERROR(__xludf.DUMMYFUNCTION("""COMPUTED_VALUE"""),244.19)</f>
        <v>244.19</v>
      </c>
      <c r="E509" s="1">
        <f>IFERROR(__xludf.DUMMYFUNCTION("""COMPUTED_VALUE"""),245.57)</f>
        <v>245.57</v>
      </c>
      <c r="F509" s="1">
        <f>IFERROR(__xludf.DUMMYFUNCTION("""COMPUTED_VALUE"""),2.0503124E7)</f>
        <v>20503124</v>
      </c>
    </row>
    <row r="510">
      <c r="A510" s="2">
        <f>IFERROR(__xludf.DUMMYFUNCTION("""COMPUTED_VALUE"""),32140.666666666668)</f>
        <v>32140.66667</v>
      </c>
      <c r="B510" s="1">
        <f>IFERROR(__xludf.DUMMYFUNCTION("""COMPUTED_VALUE"""),245.58)</f>
        <v>245.58</v>
      </c>
      <c r="C510" s="1">
        <f>IFERROR(__xludf.DUMMYFUNCTION("""COMPUTED_VALUE"""),245.88)</f>
        <v>245.88</v>
      </c>
      <c r="D510" s="1">
        <f>IFERROR(__xludf.DUMMYFUNCTION("""COMPUTED_VALUE"""),244.28)</f>
        <v>244.28</v>
      </c>
      <c r="E510" s="1">
        <f>IFERROR(__xludf.DUMMYFUNCTION("""COMPUTED_VALUE"""),244.59)</f>
        <v>244.59</v>
      </c>
      <c r="F510" s="1">
        <f>IFERROR(__xludf.DUMMYFUNCTION("""COMPUTED_VALUE"""),1.7434376E7)</f>
        <v>17434376</v>
      </c>
    </row>
    <row r="511">
      <c r="A511" s="2">
        <f>IFERROR(__xludf.DUMMYFUNCTION("""COMPUTED_VALUE"""),32141.666666666668)</f>
        <v>32141.66667</v>
      </c>
      <c r="B511" s="1">
        <f>IFERROR(__xludf.DUMMYFUNCTION("""COMPUTED_VALUE"""),244.63)</f>
        <v>244.63</v>
      </c>
      <c r="C511" s="1">
        <f>IFERROR(__xludf.DUMMYFUNCTION("""COMPUTED_VALUE"""),248.06)</f>
        <v>248.06</v>
      </c>
      <c r="D511" s="1">
        <f>IFERROR(__xludf.DUMMYFUNCTION("""COMPUTED_VALUE"""),244.59)</f>
        <v>244.59</v>
      </c>
      <c r="E511" s="1">
        <f>IFERROR(__xludf.DUMMYFUNCTION("""COMPUTED_VALUE"""),247.86)</f>
        <v>247.86</v>
      </c>
      <c r="F511" s="1">
        <f>IFERROR(__xludf.DUMMYFUNCTION("""COMPUTED_VALUE"""),2.3317188E7)</f>
        <v>23317188</v>
      </c>
    </row>
    <row r="512">
      <c r="A512" s="2">
        <f>IFERROR(__xludf.DUMMYFUNCTION("""COMPUTED_VALUE"""),32142.666666666668)</f>
        <v>32142.66667</v>
      </c>
      <c r="B512" s="1">
        <f>IFERROR(__xludf.DUMMYFUNCTION("""COMPUTED_VALUE"""),247.84)</f>
        <v>247.84</v>
      </c>
      <c r="C512" s="1">
        <f>IFERROR(__xludf.DUMMYFUNCTION("""COMPUTED_VALUE"""),247.86)</f>
        <v>247.86</v>
      </c>
      <c r="D512" s="1">
        <f>IFERROR(__xludf.DUMMYFUNCTION("""COMPUTED_VALUE"""),245.22)</f>
        <v>245.22</v>
      </c>
      <c r="E512" s="1">
        <f>IFERROR(__xludf.DUMMYFUNCTION("""COMPUTED_VALUE"""),247.08)</f>
        <v>247.08</v>
      </c>
      <c r="F512" s="1">
        <f>IFERROR(__xludf.DUMMYFUNCTION("""COMPUTED_VALUE"""),2.6584376E7)</f>
        <v>26584376</v>
      </c>
    </row>
    <row r="513">
      <c r="A513" s="2">
        <f>IFERROR(__xludf.DUMMYFUNCTION("""COMPUTED_VALUE"""),32146.666666666668)</f>
        <v>32146.66667</v>
      </c>
      <c r="B513" s="1">
        <f>IFERROR(__xludf.DUMMYFUNCTION("""COMPUTED_VALUE"""),247.1)</f>
        <v>247.1</v>
      </c>
      <c r="C513" s="1">
        <f>IFERROR(__xludf.DUMMYFUNCTION("""COMPUTED_VALUE"""),256.44)</f>
        <v>256.44</v>
      </c>
      <c r="D513" s="1">
        <f>IFERROR(__xludf.DUMMYFUNCTION("""COMPUTED_VALUE"""),247.08)</f>
        <v>247.08</v>
      </c>
      <c r="E513" s="1">
        <f>IFERROR(__xludf.DUMMYFUNCTION("""COMPUTED_VALUE"""),255.94)</f>
        <v>255.94</v>
      </c>
      <c r="F513" s="1">
        <f>IFERROR(__xludf.DUMMYFUNCTION("""COMPUTED_VALUE"""),2.8407812E7)</f>
        <v>28407812</v>
      </c>
    </row>
    <row r="514">
      <c r="A514" s="2">
        <f>IFERROR(__xludf.DUMMYFUNCTION("""COMPUTED_VALUE"""),32147.666666666668)</f>
        <v>32147.66667</v>
      </c>
      <c r="B514" s="1">
        <f>IFERROR(__xludf.DUMMYFUNCTION("""COMPUTED_VALUE"""),255.95)</f>
        <v>255.95</v>
      </c>
      <c r="C514" s="1">
        <f>IFERROR(__xludf.DUMMYFUNCTION("""COMPUTED_VALUE"""),261.78)</f>
        <v>261.78</v>
      </c>
      <c r="D514" s="1">
        <f>IFERROR(__xludf.DUMMYFUNCTION("""COMPUTED_VALUE"""),255.95)</f>
        <v>255.95</v>
      </c>
      <c r="E514" s="1">
        <f>IFERROR(__xludf.DUMMYFUNCTION("""COMPUTED_VALUE"""),258.63)</f>
        <v>258.63</v>
      </c>
      <c r="F514" s="1">
        <f>IFERROR(__xludf.DUMMYFUNCTION("""COMPUTED_VALUE"""),3.27375E7)</f>
        <v>32737500</v>
      </c>
    </row>
    <row r="515">
      <c r="A515" s="2">
        <f>IFERROR(__xludf.DUMMYFUNCTION("""COMPUTED_VALUE"""),32148.666666666668)</f>
        <v>32148.66667</v>
      </c>
      <c r="B515" s="1">
        <f>IFERROR(__xludf.DUMMYFUNCTION("""COMPUTED_VALUE"""),258.64)</f>
        <v>258.64</v>
      </c>
      <c r="C515" s="1">
        <f>IFERROR(__xludf.DUMMYFUNCTION("""COMPUTED_VALUE"""),259.79)</f>
        <v>259.79</v>
      </c>
      <c r="D515" s="1">
        <f>IFERROR(__xludf.DUMMYFUNCTION("""COMPUTED_VALUE"""),257.18)</f>
        <v>257.18</v>
      </c>
      <c r="E515" s="1">
        <f>IFERROR(__xludf.DUMMYFUNCTION("""COMPUTED_VALUE"""),258.89)</f>
        <v>258.89</v>
      </c>
      <c r="F515" s="1">
        <f>IFERROR(__xludf.DUMMYFUNCTION("""COMPUTED_VALUE"""),2.6520312E7)</f>
        <v>26520312</v>
      </c>
    </row>
    <row r="516">
      <c r="A516" s="2">
        <f>IFERROR(__xludf.DUMMYFUNCTION("""COMPUTED_VALUE"""),32149.666666666668)</f>
        <v>32149.66667</v>
      </c>
      <c r="B516" s="1">
        <f>IFERROR(__xludf.DUMMYFUNCTION("""COMPUTED_VALUE"""),258.87)</f>
        <v>258.87</v>
      </c>
      <c r="C516" s="1">
        <f>IFERROR(__xludf.DUMMYFUNCTION("""COMPUTED_VALUE"""),261.32)</f>
        <v>261.32</v>
      </c>
      <c r="D516" s="1">
        <f>IFERROR(__xludf.DUMMYFUNCTION("""COMPUTED_VALUE"""),256.18)</f>
        <v>256.18</v>
      </c>
      <c r="E516" s="1">
        <f>IFERROR(__xludf.DUMMYFUNCTION("""COMPUTED_VALUE"""),261.07)</f>
        <v>261.07</v>
      </c>
      <c r="F516" s="1">
        <f>IFERROR(__xludf.DUMMYFUNCTION("""COMPUTED_VALUE"""),2.74E7)</f>
        <v>27400000</v>
      </c>
    </row>
    <row r="517">
      <c r="A517" s="2">
        <f>IFERROR(__xludf.DUMMYFUNCTION("""COMPUTED_VALUE"""),32150.666666666668)</f>
        <v>32150.66667</v>
      </c>
      <c r="B517" s="1">
        <f>IFERROR(__xludf.DUMMYFUNCTION("""COMPUTED_VALUE"""),261.05)</f>
        <v>261.05</v>
      </c>
      <c r="C517" s="1">
        <f>IFERROR(__xludf.DUMMYFUNCTION("""COMPUTED_VALUE"""),261.07)</f>
        <v>261.07</v>
      </c>
      <c r="D517" s="1">
        <f>IFERROR(__xludf.DUMMYFUNCTION("""COMPUTED_VALUE"""),242.95)</f>
        <v>242.95</v>
      </c>
      <c r="E517" s="1">
        <f>IFERROR(__xludf.DUMMYFUNCTION("""COMPUTED_VALUE"""),243.4)</f>
        <v>243.4</v>
      </c>
      <c r="F517" s="1">
        <f>IFERROR(__xludf.DUMMYFUNCTION("""COMPUTED_VALUE"""),3.0828124E7)</f>
        <v>30828124</v>
      </c>
    </row>
    <row r="518">
      <c r="A518" s="2">
        <f>IFERROR(__xludf.DUMMYFUNCTION("""COMPUTED_VALUE"""),32153.666666666668)</f>
        <v>32153.66667</v>
      </c>
      <c r="B518" s="1">
        <f>IFERROR(__xludf.DUMMYFUNCTION("""COMPUTED_VALUE"""),243.38)</f>
        <v>243.38</v>
      </c>
      <c r="C518" s="1">
        <f>IFERROR(__xludf.DUMMYFUNCTION("""COMPUTED_VALUE"""),247.51)</f>
        <v>247.51</v>
      </c>
      <c r="D518" s="1">
        <f>IFERROR(__xludf.DUMMYFUNCTION("""COMPUTED_VALUE"""),241.07)</f>
        <v>241.07</v>
      </c>
      <c r="E518" s="1">
        <f>IFERROR(__xludf.DUMMYFUNCTION("""COMPUTED_VALUE"""),247.49)</f>
        <v>247.49</v>
      </c>
      <c r="F518" s="1">
        <f>IFERROR(__xludf.DUMMYFUNCTION("""COMPUTED_VALUE"""),2.4840624E7)</f>
        <v>24840624</v>
      </c>
    </row>
    <row r="519">
      <c r="A519" s="2">
        <f>IFERROR(__xludf.DUMMYFUNCTION("""COMPUTED_VALUE"""),32154.666666666668)</f>
        <v>32154.66667</v>
      </c>
      <c r="B519" s="1">
        <f>IFERROR(__xludf.DUMMYFUNCTION("""COMPUTED_VALUE"""),247.44)</f>
        <v>247.44</v>
      </c>
      <c r="C519" s="1">
        <f>IFERROR(__xludf.DUMMYFUNCTION("""COMPUTED_VALUE"""),247.49)</f>
        <v>247.49</v>
      </c>
      <c r="D519" s="1">
        <f>IFERROR(__xludf.DUMMYFUNCTION("""COMPUTED_VALUE"""),240.46)</f>
        <v>240.46</v>
      </c>
      <c r="E519" s="1">
        <f>IFERROR(__xludf.DUMMYFUNCTION("""COMPUTED_VALUE"""),245.42)</f>
        <v>245.42</v>
      </c>
      <c r="F519" s="1">
        <f>IFERROR(__xludf.DUMMYFUNCTION("""COMPUTED_VALUE"""),2.5895312E7)</f>
        <v>25895312</v>
      </c>
    </row>
    <row r="520">
      <c r="A520" s="2">
        <f>IFERROR(__xludf.DUMMYFUNCTION("""COMPUTED_VALUE"""),32155.666666666668)</f>
        <v>32155.66667</v>
      </c>
      <c r="B520" s="1">
        <f>IFERROR(__xludf.DUMMYFUNCTION("""COMPUTED_VALUE"""),245.41)</f>
        <v>245.41</v>
      </c>
      <c r="C520" s="1">
        <f>IFERROR(__xludf.DUMMYFUNCTION("""COMPUTED_VALUE"""),249.25)</f>
        <v>249.25</v>
      </c>
      <c r="D520" s="1">
        <f>IFERROR(__xludf.DUMMYFUNCTION("""COMPUTED_VALUE"""),241.41)</f>
        <v>241.41</v>
      </c>
      <c r="E520" s="1">
        <f>IFERROR(__xludf.DUMMYFUNCTION("""COMPUTED_VALUE"""),245.81)</f>
        <v>245.81</v>
      </c>
      <c r="F520" s="1">
        <f>IFERROR(__xludf.DUMMYFUNCTION("""COMPUTED_VALUE"""),2.4065624E7)</f>
        <v>24065624</v>
      </c>
    </row>
    <row r="521">
      <c r="A521" s="2">
        <f>IFERROR(__xludf.DUMMYFUNCTION("""COMPUTED_VALUE"""),32156.666666666668)</f>
        <v>32156.66667</v>
      </c>
      <c r="B521" s="1">
        <f>IFERROR(__xludf.DUMMYFUNCTION("""COMPUTED_VALUE"""),245.83)</f>
        <v>245.83</v>
      </c>
      <c r="C521" s="1">
        <f>IFERROR(__xludf.DUMMYFUNCTION("""COMPUTED_VALUE"""),247.0)</f>
        <v>247</v>
      </c>
      <c r="D521" s="1">
        <f>IFERROR(__xludf.DUMMYFUNCTION("""COMPUTED_VALUE"""),243.97)</f>
        <v>243.97</v>
      </c>
      <c r="E521" s="1">
        <f>IFERROR(__xludf.DUMMYFUNCTION("""COMPUTED_VALUE"""),245.88)</f>
        <v>245.88</v>
      </c>
      <c r="F521" s="1">
        <f>IFERROR(__xludf.DUMMYFUNCTION("""COMPUTED_VALUE"""),2.1964062E7)</f>
        <v>21964062</v>
      </c>
    </row>
    <row r="522">
      <c r="A522" s="2">
        <f>IFERROR(__xludf.DUMMYFUNCTION("""COMPUTED_VALUE"""),32157.666666666668)</f>
        <v>32157.66667</v>
      </c>
      <c r="B522" s="1">
        <f>IFERROR(__xludf.DUMMYFUNCTION("""COMPUTED_VALUE"""),246.02)</f>
        <v>246.02</v>
      </c>
      <c r="C522" s="1">
        <f>IFERROR(__xludf.DUMMYFUNCTION("""COMPUTED_VALUE"""),253.65)</f>
        <v>253.65</v>
      </c>
      <c r="D522" s="1">
        <f>IFERROR(__xludf.DUMMYFUNCTION("""COMPUTED_VALUE"""),245.88)</f>
        <v>245.88</v>
      </c>
      <c r="E522" s="1">
        <f>IFERROR(__xludf.DUMMYFUNCTION("""COMPUTED_VALUE"""),252.05)</f>
        <v>252.05</v>
      </c>
      <c r="F522" s="1">
        <f>IFERROR(__xludf.DUMMYFUNCTION("""COMPUTED_VALUE"""),3.0928124E7)</f>
        <v>30928124</v>
      </c>
    </row>
    <row r="523">
      <c r="A523" s="2">
        <f>IFERROR(__xludf.DUMMYFUNCTION("""COMPUTED_VALUE"""),32160.666666666668)</f>
        <v>32160.66667</v>
      </c>
      <c r="B523" s="1">
        <f>IFERROR(__xludf.DUMMYFUNCTION("""COMPUTED_VALUE"""),252.05)</f>
        <v>252.05</v>
      </c>
      <c r="C523" s="1">
        <f>IFERROR(__xludf.DUMMYFUNCTION("""COMPUTED_VALUE"""),252.86)</f>
        <v>252.86</v>
      </c>
      <c r="D523" s="1">
        <f>IFERROR(__xludf.DUMMYFUNCTION("""COMPUTED_VALUE"""),249.98)</f>
        <v>249.98</v>
      </c>
      <c r="E523" s="1">
        <f>IFERROR(__xludf.DUMMYFUNCTION("""COMPUTED_VALUE"""),251.88)</f>
        <v>251.88</v>
      </c>
      <c r="F523" s="1">
        <f>IFERROR(__xludf.DUMMYFUNCTION("""COMPUTED_VALUE"""),2.1109376E7)</f>
        <v>21109376</v>
      </c>
    </row>
    <row r="524">
      <c r="A524" s="2">
        <f>IFERROR(__xludf.DUMMYFUNCTION("""COMPUTED_VALUE"""),32161.666666666668)</f>
        <v>32161.66667</v>
      </c>
      <c r="B524" s="1">
        <f>IFERROR(__xludf.DUMMYFUNCTION("""COMPUTED_VALUE"""),251.84)</f>
        <v>251.84</v>
      </c>
      <c r="C524" s="1">
        <f>IFERROR(__xludf.DUMMYFUNCTION("""COMPUTED_VALUE"""),253.33)</f>
        <v>253.33</v>
      </c>
      <c r="D524" s="1">
        <f>IFERROR(__xludf.DUMMYFUNCTION("""COMPUTED_VALUE"""),248.75)</f>
        <v>248.75</v>
      </c>
      <c r="E524" s="1">
        <f>IFERROR(__xludf.DUMMYFUNCTION("""COMPUTED_VALUE"""),249.32)</f>
        <v>249.32</v>
      </c>
      <c r="F524" s="1">
        <f>IFERROR(__xludf.DUMMYFUNCTION("""COMPUTED_VALUE"""),2.3992188E7)</f>
        <v>23992188</v>
      </c>
    </row>
    <row r="525">
      <c r="A525" s="2">
        <f>IFERROR(__xludf.DUMMYFUNCTION("""COMPUTED_VALUE"""),32162.666666666668)</f>
        <v>32162.66667</v>
      </c>
      <c r="B525" s="1">
        <f>IFERROR(__xludf.DUMMYFUNCTION("""COMPUTED_VALUE"""),249.31)</f>
        <v>249.31</v>
      </c>
      <c r="C525" s="1">
        <f>IFERROR(__xludf.DUMMYFUNCTION("""COMPUTED_VALUE"""),249.32)</f>
        <v>249.32</v>
      </c>
      <c r="D525" s="1">
        <f>IFERROR(__xludf.DUMMYFUNCTION("""COMPUTED_VALUE"""),241.14)</f>
        <v>241.14</v>
      </c>
      <c r="E525" s="1">
        <f>IFERROR(__xludf.DUMMYFUNCTION("""COMPUTED_VALUE"""),242.63)</f>
        <v>242.63</v>
      </c>
      <c r="F525" s="1">
        <f>IFERROR(__xludf.DUMMYFUNCTION("""COMPUTED_VALUE"""),2.8384376E7)</f>
        <v>28384376</v>
      </c>
    </row>
    <row r="526">
      <c r="A526" s="2">
        <f>IFERROR(__xludf.DUMMYFUNCTION("""COMPUTED_VALUE"""),32163.666666666668)</f>
        <v>32163.66667</v>
      </c>
      <c r="B526" s="1">
        <f>IFERROR(__xludf.DUMMYFUNCTION("""COMPUTED_VALUE"""),242.65)</f>
        <v>242.65</v>
      </c>
      <c r="C526" s="1">
        <f>IFERROR(__xludf.DUMMYFUNCTION("""COMPUTED_VALUE"""),244.25)</f>
        <v>244.25</v>
      </c>
      <c r="D526" s="1">
        <f>IFERROR(__xludf.DUMMYFUNCTION("""COMPUTED_VALUE"""),240.17)</f>
        <v>240.17</v>
      </c>
      <c r="E526" s="1">
        <f>IFERROR(__xludf.DUMMYFUNCTION("""COMPUTED_VALUE"""),243.14)</f>
        <v>243.14</v>
      </c>
      <c r="F526" s="1">
        <f>IFERROR(__xludf.DUMMYFUNCTION("""COMPUTED_VALUE"""),2.47E7)</f>
        <v>24700000</v>
      </c>
    </row>
    <row r="527">
      <c r="A527" s="2">
        <f>IFERROR(__xludf.DUMMYFUNCTION("""COMPUTED_VALUE"""),32164.666666666668)</f>
        <v>32164.66667</v>
      </c>
      <c r="B527" s="1">
        <f>IFERROR(__xludf.DUMMYFUNCTION("""COMPUTED_VALUE"""),243.14)</f>
        <v>243.14</v>
      </c>
      <c r="C527" s="1">
        <f>IFERROR(__xludf.DUMMYFUNCTION("""COMPUTED_VALUE"""),246.5)</f>
        <v>246.5</v>
      </c>
      <c r="D527" s="1">
        <f>IFERROR(__xludf.DUMMYFUNCTION("""COMPUTED_VALUE"""),243.14)</f>
        <v>243.14</v>
      </c>
      <c r="E527" s="1">
        <f>IFERROR(__xludf.DUMMYFUNCTION("""COMPUTED_VALUE"""),246.5)</f>
        <v>246.5</v>
      </c>
      <c r="F527" s="1">
        <f>IFERROR(__xludf.DUMMYFUNCTION("""COMPUTED_VALUE"""),2.2976562E7)</f>
        <v>22976562</v>
      </c>
    </row>
    <row r="528">
      <c r="A528" s="2">
        <f>IFERROR(__xludf.DUMMYFUNCTION("""COMPUTED_VALUE"""),32167.666666666668)</f>
        <v>32167.66667</v>
      </c>
      <c r="B528" s="1">
        <f>IFERROR(__xludf.DUMMYFUNCTION("""COMPUTED_VALUE"""),246.53)</f>
        <v>246.53</v>
      </c>
      <c r="C528" s="1">
        <f>IFERROR(__xludf.DUMMYFUNCTION("""COMPUTED_VALUE"""),252.87)</f>
        <v>252.87</v>
      </c>
      <c r="D528" s="1">
        <f>IFERROR(__xludf.DUMMYFUNCTION("""COMPUTED_VALUE"""),246.5)</f>
        <v>246.5</v>
      </c>
      <c r="E528" s="1">
        <f>IFERROR(__xludf.DUMMYFUNCTION("""COMPUTED_VALUE"""),252.17)</f>
        <v>252.17</v>
      </c>
      <c r="F528" s="1">
        <f>IFERROR(__xludf.DUMMYFUNCTION("""COMPUTED_VALUE"""),4.3007812E7)</f>
        <v>43007812</v>
      </c>
    </row>
    <row r="529">
      <c r="A529" s="2">
        <f>IFERROR(__xludf.DUMMYFUNCTION("""COMPUTED_VALUE"""),32168.666666666668)</f>
        <v>32168.66667</v>
      </c>
      <c r="B529" s="1">
        <f>IFERROR(__xludf.DUMMYFUNCTION("""COMPUTED_VALUE"""),252.13)</f>
        <v>252.13</v>
      </c>
      <c r="C529" s="1">
        <f>IFERROR(__xludf.DUMMYFUNCTION("""COMPUTED_VALUE"""),252.17)</f>
        <v>252.17</v>
      </c>
      <c r="D529" s="1">
        <f>IFERROR(__xludf.DUMMYFUNCTION("""COMPUTED_VALUE"""),249.1)</f>
        <v>249.1</v>
      </c>
      <c r="E529" s="1">
        <f>IFERROR(__xludf.DUMMYFUNCTION("""COMPUTED_VALUE"""),249.57)</f>
        <v>249.57</v>
      </c>
      <c r="F529" s="1">
        <f>IFERROR(__xludf.DUMMYFUNCTION("""COMPUTED_VALUE"""),2.1621876E7)</f>
        <v>21621876</v>
      </c>
    </row>
    <row r="530">
      <c r="A530" s="2">
        <f>IFERROR(__xludf.DUMMYFUNCTION("""COMPUTED_VALUE"""),32169.666666666668)</f>
        <v>32169.66667</v>
      </c>
      <c r="B530" s="1">
        <f>IFERROR(__xludf.DUMMYFUNCTION("""COMPUTED_VALUE"""),249.58)</f>
        <v>249.58</v>
      </c>
      <c r="C530" s="1">
        <f>IFERROR(__xludf.DUMMYFUNCTION("""COMPUTED_VALUE"""),253.02)</f>
        <v>253.02</v>
      </c>
      <c r="D530" s="1">
        <f>IFERROR(__xludf.DUMMYFUNCTION("""COMPUTED_VALUE"""),248.5)</f>
        <v>248.5</v>
      </c>
      <c r="E530" s="1">
        <f>IFERROR(__xludf.DUMMYFUNCTION("""COMPUTED_VALUE"""),249.38)</f>
        <v>249.38</v>
      </c>
      <c r="F530" s="1">
        <f>IFERROR(__xludf.DUMMYFUNCTION("""COMPUTED_VALUE"""),2.755625E7)</f>
        <v>27556250</v>
      </c>
    </row>
    <row r="531">
      <c r="A531" s="2">
        <f>IFERROR(__xludf.DUMMYFUNCTION("""COMPUTED_VALUE"""),32170.666666666668)</f>
        <v>32170.66667</v>
      </c>
      <c r="B531" s="1">
        <f>IFERROR(__xludf.DUMMYFUNCTION("""COMPUTED_VALUE"""),249.39)</f>
        <v>249.39</v>
      </c>
      <c r="C531" s="1">
        <f>IFERROR(__xludf.DUMMYFUNCTION("""COMPUTED_VALUE"""),253.66)</f>
        <v>253.66</v>
      </c>
      <c r="D531" s="1">
        <f>IFERROR(__xludf.DUMMYFUNCTION("""COMPUTED_VALUE"""),249.38)</f>
        <v>249.38</v>
      </c>
      <c r="E531" s="1">
        <f>IFERROR(__xludf.DUMMYFUNCTION("""COMPUTED_VALUE"""),253.29)</f>
        <v>253.29</v>
      </c>
      <c r="F531" s="1">
        <f>IFERROR(__xludf.DUMMYFUNCTION("""COMPUTED_VALUE"""),2.6004688E7)</f>
        <v>26004688</v>
      </c>
    </row>
    <row r="532">
      <c r="A532" s="2">
        <f>IFERROR(__xludf.DUMMYFUNCTION("""COMPUTED_VALUE"""),32171.666666666668)</f>
        <v>32171.66667</v>
      </c>
      <c r="B532" s="1">
        <f>IFERROR(__xludf.DUMMYFUNCTION("""COMPUTED_VALUE"""),253.31)</f>
        <v>253.31</v>
      </c>
      <c r="C532" s="1">
        <f>IFERROR(__xludf.DUMMYFUNCTION("""COMPUTED_VALUE"""),257.07)</f>
        <v>257.07</v>
      </c>
      <c r="D532" s="1">
        <f>IFERROR(__xludf.DUMMYFUNCTION("""COMPUTED_VALUE"""),252.7)</f>
        <v>252.7</v>
      </c>
      <c r="E532" s="1">
        <f>IFERROR(__xludf.DUMMYFUNCTION("""COMPUTED_VALUE"""),257.07)</f>
        <v>257.07</v>
      </c>
      <c r="F532" s="1">
        <f>IFERROR(__xludf.DUMMYFUNCTION("""COMPUTED_VALUE"""),3.310625E7)</f>
        <v>33106250</v>
      </c>
    </row>
    <row r="533">
      <c r="A533" s="2">
        <f>IFERROR(__xludf.DUMMYFUNCTION("""COMPUTED_VALUE"""),32174.666666666668)</f>
        <v>32174.66667</v>
      </c>
      <c r="B533" s="1">
        <f>IFERROR(__xludf.DUMMYFUNCTION("""COMPUTED_VALUE"""),257.05)</f>
        <v>257.05</v>
      </c>
      <c r="C533" s="1">
        <f>IFERROR(__xludf.DUMMYFUNCTION("""COMPUTED_VALUE"""),258.27)</f>
        <v>258.27</v>
      </c>
      <c r="D533" s="1">
        <f>IFERROR(__xludf.DUMMYFUNCTION("""COMPUTED_VALUE"""),254.93)</f>
        <v>254.93</v>
      </c>
      <c r="E533" s="1">
        <f>IFERROR(__xludf.DUMMYFUNCTION("""COMPUTED_VALUE"""),255.04)</f>
        <v>255.04</v>
      </c>
      <c r="F533" s="1">
        <f>IFERROR(__xludf.DUMMYFUNCTION("""COMPUTED_VALUE"""),3.2915624E7)</f>
        <v>32915624</v>
      </c>
    </row>
    <row r="534">
      <c r="A534" s="2">
        <f>IFERROR(__xludf.DUMMYFUNCTION("""COMPUTED_VALUE"""),32175.666666666668)</f>
        <v>32175.66667</v>
      </c>
      <c r="B534" s="1">
        <f>IFERROR(__xludf.DUMMYFUNCTION("""COMPUTED_VALUE"""),255.05)</f>
        <v>255.05</v>
      </c>
      <c r="C534" s="1">
        <f>IFERROR(__xludf.DUMMYFUNCTION("""COMPUTED_VALUE"""),256.08)</f>
        <v>256.08</v>
      </c>
      <c r="D534" s="1">
        <f>IFERROR(__xludf.DUMMYFUNCTION("""COMPUTED_VALUE"""),252.8)</f>
        <v>252.8</v>
      </c>
      <c r="E534" s="1">
        <f>IFERROR(__xludf.DUMMYFUNCTION("""COMPUTED_VALUE"""),255.57)</f>
        <v>255.57</v>
      </c>
      <c r="F534" s="1">
        <f>IFERROR(__xludf.DUMMYFUNCTION("""COMPUTED_VALUE"""),2.576875E7)</f>
        <v>25768750</v>
      </c>
    </row>
    <row r="535">
      <c r="A535" s="2">
        <f>IFERROR(__xludf.DUMMYFUNCTION("""COMPUTED_VALUE"""),32176.666666666668)</f>
        <v>32176.66667</v>
      </c>
      <c r="B535" s="1">
        <f>IFERROR(__xludf.DUMMYFUNCTION("""COMPUTED_VALUE"""),255.56)</f>
        <v>255.56</v>
      </c>
      <c r="C535" s="1">
        <f>IFERROR(__xludf.DUMMYFUNCTION("""COMPUTED_VALUE"""),256.98)</f>
        <v>256.98</v>
      </c>
      <c r="D535" s="1">
        <f>IFERROR(__xludf.DUMMYFUNCTION("""COMPUTED_VALUE"""),250.56)</f>
        <v>250.56</v>
      </c>
      <c r="E535" s="1">
        <f>IFERROR(__xludf.DUMMYFUNCTION("""COMPUTED_VALUE"""),252.21)</f>
        <v>252.21</v>
      </c>
      <c r="F535" s="1">
        <f>IFERROR(__xludf.DUMMYFUNCTION("""COMPUTED_VALUE"""),3.7073436E7)</f>
        <v>37073436</v>
      </c>
    </row>
    <row r="536">
      <c r="A536" s="2">
        <f>IFERROR(__xludf.DUMMYFUNCTION("""COMPUTED_VALUE"""),32177.666666666668)</f>
        <v>32177.66667</v>
      </c>
      <c r="B536" s="1">
        <f>IFERROR(__xludf.DUMMYFUNCTION("""COMPUTED_VALUE"""),252.2)</f>
        <v>252.2</v>
      </c>
      <c r="C536" s="1">
        <f>IFERROR(__xludf.DUMMYFUNCTION("""COMPUTED_VALUE"""),253.03)</f>
        <v>253.03</v>
      </c>
      <c r="D536" s="1">
        <f>IFERROR(__xludf.DUMMYFUNCTION("""COMPUTED_VALUE"""),250.34)</f>
        <v>250.34</v>
      </c>
      <c r="E536" s="1">
        <f>IFERROR(__xludf.DUMMYFUNCTION("""COMPUTED_VALUE"""),252.21)</f>
        <v>252.21</v>
      </c>
      <c r="F536" s="1">
        <f>IFERROR(__xludf.DUMMYFUNCTION("""COMPUTED_VALUE"""),2.9139062E7)</f>
        <v>29139062</v>
      </c>
    </row>
    <row r="537">
      <c r="A537" s="2">
        <f>IFERROR(__xludf.DUMMYFUNCTION("""COMPUTED_VALUE"""),32178.666666666668)</f>
        <v>32178.66667</v>
      </c>
      <c r="B537" s="1">
        <f>IFERROR(__xludf.DUMMYFUNCTION("""COMPUTED_VALUE"""),252.22)</f>
        <v>252.22</v>
      </c>
      <c r="C537" s="1">
        <f>IFERROR(__xludf.DUMMYFUNCTION("""COMPUTED_VALUE"""),253.85)</f>
        <v>253.85</v>
      </c>
      <c r="D537" s="1">
        <f>IFERROR(__xludf.DUMMYFUNCTION("""COMPUTED_VALUE"""),250.9)</f>
        <v>250.9</v>
      </c>
      <c r="E537" s="1">
        <f>IFERROR(__xludf.DUMMYFUNCTION("""COMPUTED_VALUE"""),250.96)</f>
        <v>250.96</v>
      </c>
      <c r="F537" s="1">
        <f>IFERROR(__xludf.DUMMYFUNCTION("""COMPUTED_VALUE"""),2.5204688E7)</f>
        <v>25204688</v>
      </c>
    </row>
    <row r="538">
      <c r="A538" s="2">
        <f>IFERROR(__xludf.DUMMYFUNCTION("""COMPUTED_VALUE"""),32181.666666666668)</f>
        <v>32181.66667</v>
      </c>
      <c r="B538" s="1">
        <f>IFERROR(__xludf.DUMMYFUNCTION("""COMPUTED_VALUE"""),250.95)</f>
        <v>250.95</v>
      </c>
      <c r="C538" s="1">
        <f>IFERROR(__xludf.DUMMYFUNCTION("""COMPUTED_VALUE"""),250.96)</f>
        <v>250.96</v>
      </c>
      <c r="D538" s="1">
        <f>IFERROR(__xludf.DUMMYFUNCTION("""COMPUTED_VALUE"""),247.82)</f>
        <v>247.82</v>
      </c>
      <c r="E538" s="1">
        <f>IFERROR(__xludf.DUMMYFUNCTION("""COMPUTED_VALUE"""),249.1)</f>
        <v>249.1</v>
      </c>
      <c r="F538" s="1">
        <f>IFERROR(__xludf.DUMMYFUNCTION("""COMPUTED_VALUE"""),2.6382812E7)</f>
        <v>26382812</v>
      </c>
    </row>
    <row r="539">
      <c r="A539" s="2">
        <f>IFERROR(__xludf.DUMMYFUNCTION("""COMPUTED_VALUE"""),32182.666666666668)</f>
        <v>32182.66667</v>
      </c>
      <c r="B539" s="1">
        <f>IFERROR(__xludf.DUMMYFUNCTION("""COMPUTED_VALUE"""),249.11)</f>
        <v>249.11</v>
      </c>
      <c r="C539" s="1">
        <f>IFERROR(__xludf.DUMMYFUNCTION("""COMPUTED_VALUE"""),251.72)</f>
        <v>251.72</v>
      </c>
      <c r="D539" s="1">
        <f>IFERROR(__xludf.DUMMYFUNCTION("""COMPUTED_VALUE"""),248.66)</f>
        <v>248.66</v>
      </c>
      <c r="E539" s="1">
        <f>IFERROR(__xludf.DUMMYFUNCTION("""COMPUTED_VALUE"""),251.72)</f>
        <v>251.72</v>
      </c>
      <c r="F539" s="1">
        <f>IFERROR(__xludf.DUMMYFUNCTION("""COMPUTED_VALUE"""),2.5367188E7)</f>
        <v>25367188</v>
      </c>
    </row>
    <row r="540">
      <c r="A540" s="2">
        <f>IFERROR(__xludf.DUMMYFUNCTION("""COMPUTED_VALUE"""),32183.666666666668)</f>
        <v>32183.66667</v>
      </c>
      <c r="B540" s="1">
        <f>IFERROR(__xludf.DUMMYFUNCTION("""COMPUTED_VALUE"""),251.74)</f>
        <v>251.74</v>
      </c>
      <c r="C540" s="1">
        <f>IFERROR(__xludf.DUMMYFUNCTION("""COMPUTED_VALUE"""),256.92)</f>
        <v>256.92</v>
      </c>
      <c r="D540" s="1">
        <f>IFERROR(__xludf.DUMMYFUNCTION("""COMPUTED_VALUE"""),251.72)</f>
        <v>251.72</v>
      </c>
      <c r="E540" s="1">
        <f>IFERROR(__xludf.DUMMYFUNCTION("""COMPUTED_VALUE"""),256.66)</f>
        <v>256.66</v>
      </c>
      <c r="F540" s="1">
        <f>IFERROR(__xludf.DUMMYFUNCTION("""COMPUTED_VALUE"""),2.9371876E7)</f>
        <v>29371876</v>
      </c>
    </row>
    <row r="541">
      <c r="A541" s="2">
        <f>IFERROR(__xludf.DUMMYFUNCTION("""COMPUTED_VALUE"""),32184.666666666668)</f>
        <v>32184.66667</v>
      </c>
      <c r="B541" s="1">
        <f>IFERROR(__xludf.DUMMYFUNCTION("""COMPUTED_VALUE"""),256.63)</f>
        <v>256.63</v>
      </c>
      <c r="C541" s="1">
        <f>IFERROR(__xludf.DUMMYFUNCTION("""COMPUTED_VALUE"""),257.77)</f>
        <v>257.77</v>
      </c>
      <c r="D541" s="1">
        <f>IFERROR(__xludf.DUMMYFUNCTION("""COMPUTED_VALUE"""),255.12)</f>
        <v>255.12</v>
      </c>
      <c r="E541" s="1">
        <f>IFERROR(__xludf.DUMMYFUNCTION("""COMPUTED_VALUE"""),255.95)</f>
        <v>255.95</v>
      </c>
      <c r="F541" s="1">
        <f>IFERROR(__xludf.DUMMYFUNCTION("""COMPUTED_VALUE"""),3.136875E7)</f>
        <v>31368750</v>
      </c>
    </row>
    <row r="542">
      <c r="A542" s="2">
        <f>IFERROR(__xludf.DUMMYFUNCTION("""COMPUTED_VALUE"""),32185.666666666668)</f>
        <v>32185.66667</v>
      </c>
      <c r="B542" s="1">
        <f>IFERROR(__xludf.DUMMYFUNCTION("""COMPUTED_VALUE"""),255.95)</f>
        <v>255.95</v>
      </c>
      <c r="C542" s="1">
        <f>IFERROR(__xludf.DUMMYFUNCTION("""COMPUTED_VALUE"""),258.86)</f>
        <v>258.86</v>
      </c>
      <c r="D542" s="1">
        <f>IFERROR(__xludf.DUMMYFUNCTION("""COMPUTED_VALUE"""),255.85)</f>
        <v>255.85</v>
      </c>
      <c r="E542" s="1">
        <f>IFERROR(__xludf.DUMMYFUNCTION("""COMPUTED_VALUE"""),257.63)</f>
        <v>257.63</v>
      </c>
      <c r="F542" s="1">
        <f>IFERROR(__xludf.DUMMYFUNCTION("""COMPUTED_VALUE"""),2.7685938E7)</f>
        <v>27685938</v>
      </c>
    </row>
    <row r="543">
      <c r="A543" s="2">
        <f>IFERROR(__xludf.DUMMYFUNCTION("""COMPUTED_VALUE"""),32188.666666666668)</f>
        <v>32188.66667</v>
      </c>
      <c r="B543" s="1">
        <f>IFERROR(__xludf.DUMMYFUNCTION("""COMPUTED_VALUE"""),259.83)</f>
        <v>259.83</v>
      </c>
      <c r="C543" s="1">
        <f>IFERROR(__xludf.DUMMYFUNCTION("""COMPUTED_VALUE"""),259.83)</f>
        <v>259.83</v>
      </c>
      <c r="D543" s="1">
        <f>IFERROR(__xludf.DUMMYFUNCTION("""COMPUTED_VALUE"""),259.83)</f>
        <v>259.83</v>
      </c>
      <c r="E543" s="1">
        <f>IFERROR(__xludf.DUMMYFUNCTION("""COMPUTED_VALUE"""),259.83)</f>
        <v>259.83</v>
      </c>
      <c r="F543" s="1">
        <f>IFERROR(__xludf.DUMMYFUNCTION("""COMPUTED_VALUE"""),0.0)</f>
        <v>0</v>
      </c>
    </row>
    <row r="544">
      <c r="A544" s="2">
        <f>IFERROR(__xludf.DUMMYFUNCTION("""COMPUTED_VALUE"""),32189.666666666668)</f>
        <v>32189.66667</v>
      </c>
      <c r="B544" s="1">
        <f>IFERROR(__xludf.DUMMYFUNCTION("""COMPUTED_VALUE"""),257.61)</f>
        <v>257.61</v>
      </c>
      <c r="C544" s="1">
        <f>IFERROR(__xludf.DUMMYFUNCTION("""COMPUTED_VALUE"""),259.84)</f>
        <v>259.84</v>
      </c>
      <c r="D544" s="1">
        <f>IFERROR(__xludf.DUMMYFUNCTION("""COMPUTED_VALUE"""),256.57)</f>
        <v>256.57</v>
      </c>
      <c r="E544" s="1">
        <f>IFERROR(__xludf.DUMMYFUNCTION("""COMPUTED_VALUE"""),259.83)</f>
        <v>259.83</v>
      </c>
      <c r="F544" s="1">
        <f>IFERROR(__xludf.DUMMYFUNCTION("""COMPUTED_VALUE"""),2.1153124E7)</f>
        <v>21153124</v>
      </c>
    </row>
    <row r="545">
      <c r="A545" s="2">
        <f>IFERROR(__xludf.DUMMYFUNCTION("""COMPUTED_VALUE"""),32190.666666666668)</f>
        <v>32190.66667</v>
      </c>
      <c r="B545" s="1">
        <f>IFERROR(__xludf.DUMMYFUNCTION("""COMPUTED_VALUE"""),259.94)</f>
        <v>259.94</v>
      </c>
      <c r="C545" s="1">
        <f>IFERROR(__xludf.DUMMYFUNCTION("""COMPUTED_VALUE"""),261.47)</f>
        <v>261.47</v>
      </c>
      <c r="D545" s="1">
        <f>IFERROR(__xludf.DUMMYFUNCTION("""COMPUTED_VALUE"""),257.83)</f>
        <v>257.83</v>
      </c>
      <c r="E545" s="1">
        <f>IFERROR(__xludf.DUMMYFUNCTION("""COMPUTED_VALUE"""),259.21)</f>
        <v>259.21</v>
      </c>
      <c r="F545" s="1">
        <f>IFERROR(__xludf.DUMMYFUNCTION("""COMPUTED_VALUE"""),2.7629688E7)</f>
        <v>27629688</v>
      </c>
    </row>
    <row r="546">
      <c r="A546" s="2">
        <f>IFERROR(__xludf.DUMMYFUNCTION("""COMPUTED_VALUE"""),32191.666666666668)</f>
        <v>32191.66667</v>
      </c>
      <c r="B546" s="1">
        <f>IFERROR(__xludf.DUMMYFUNCTION("""COMPUTED_VALUE"""),258.82)</f>
        <v>258.82</v>
      </c>
      <c r="C546" s="1">
        <f>IFERROR(__xludf.DUMMYFUNCTION("""COMPUTED_VALUE"""),259.6)</f>
        <v>259.6</v>
      </c>
      <c r="D546" s="1">
        <f>IFERROR(__xludf.DUMMYFUNCTION("""COMPUTED_VALUE"""),256.9)</f>
        <v>256.9</v>
      </c>
      <c r="E546" s="1">
        <f>IFERROR(__xludf.DUMMYFUNCTION("""COMPUTED_VALUE"""),257.91)</f>
        <v>257.91</v>
      </c>
      <c r="F546" s="1">
        <f>IFERROR(__xludf.DUMMYFUNCTION("""COMPUTED_VALUE"""),2.3660938E7)</f>
        <v>23660938</v>
      </c>
    </row>
    <row r="547">
      <c r="A547" s="2">
        <f>IFERROR(__xludf.DUMMYFUNCTION("""COMPUTED_VALUE"""),32192.666666666668)</f>
        <v>32192.66667</v>
      </c>
      <c r="B547" s="1">
        <f>IFERROR(__xludf.DUMMYFUNCTION("""COMPUTED_VALUE"""),257.9)</f>
        <v>257.9</v>
      </c>
      <c r="C547" s="1">
        <f>IFERROR(__xludf.DUMMYFUNCTION("""COMPUTED_VALUE"""),261.61)</f>
        <v>261.61</v>
      </c>
      <c r="D547" s="1">
        <f>IFERROR(__xludf.DUMMYFUNCTION("""COMPUTED_VALUE"""),257.62)</f>
        <v>257.62</v>
      </c>
      <c r="E547" s="1">
        <f>IFERROR(__xludf.DUMMYFUNCTION("""COMPUTED_VALUE"""),261.61)</f>
        <v>261.61</v>
      </c>
      <c r="F547" s="1">
        <f>IFERROR(__xludf.DUMMYFUNCTION("""COMPUTED_VALUE"""),2.8171876E7)</f>
        <v>28171876</v>
      </c>
    </row>
    <row r="548">
      <c r="A548" s="2">
        <f>IFERROR(__xludf.DUMMYFUNCTION("""COMPUTED_VALUE"""),32195.666666666668)</f>
        <v>32195.66667</v>
      </c>
      <c r="B548" s="1">
        <f>IFERROR(__xludf.DUMMYFUNCTION("""COMPUTED_VALUE"""),261.6)</f>
        <v>261.6</v>
      </c>
      <c r="C548" s="1">
        <f>IFERROR(__xludf.DUMMYFUNCTION("""COMPUTED_VALUE"""),266.06)</f>
        <v>266.06</v>
      </c>
      <c r="D548" s="1">
        <f>IFERROR(__xludf.DUMMYFUNCTION("""COMPUTED_VALUE"""),260.88)</f>
        <v>260.88</v>
      </c>
      <c r="E548" s="1">
        <f>IFERROR(__xludf.DUMMYFUNCTION("""COMPUTED_VALUE"""),265.64)</f>
        <v>265.64</v>
      </c>
      <c r="F548" s="1">
        <f>IFERROR(__xludf.DUMMYFUNCTION("""COMPUTED_VALUE"""),2.7957812E7)</f>
        <v>27957812</v>
      </c>
    </row>
    <row r="549">
      <c r="A549" s="2">
        <f>IFERROR(__xludf.DUMMYFUNCTION("""COMPUTED_VALUE"""),32196.666666666668)</f>
        <v>32196.66667</v>
      </c>
      <c r="B549" s="1">
        <f>IFERROR(__xludf.DUMMYFUNCTION("""COMPUTED_VALUE"""),265.62)</f>
        <v>265.62</v>
      </c>
      <c r="C549" s="1">
        <f>IFERROR(__xludf.DUMMYFUNCTION("""COMPUTED_VALUE"""),266.12)</f>
        <v>266.12</v>
      </c>
      <c r="D549" s="1">
        <f>IFERROR(__xludf.DUMMYFUNCTION("""COMPUTED_VALUE"""),263.11)</f>
        <v>263.11</v>
      </c>
      <c r="E549" s="1">
        <f>IFERROR(__xludf.DUMMYFUNCTION("""COMPUTED_VALUE"""),265.02)</f>
        <v>265.02</v>
      </c>
      <c r="F549" s="1">
        <f>IFERROR(__xludf.DUMMYFUNCTION("""COMPUTED_VALUE"""),3.0040624E7)</f>
        <v>30040624</v>
      </c>
    </row>
    <row r="550">
      <c r="A550" s="2">
        <f>IFERROR(__xludf.DUMMYFUNCTION("""COMPUTED_VALUE"""),32197.666666666668)</f>
        <v>32197.66667</v>
      </c>
      <c r="B550" s="1">
        <f>IFERROR(__xludf.DUMMYFUNCTION("""COMPUTED_VALUE"""),265.01)</f>
        <v>265.01</v>
      </c>
      <c r="C550" s="1">
        <f>IFERROR(__xludf.DUMMYFUNCTION("""COMPUTED_VALUE"""),266.25)</f>
        <v>266.25</v>
      </c>
      <c r="D550" s="1">
        <f>IFERROR(__xludf.DUMMYFUNCTION("""COMPUTED_VALUE"""),263.87)</f>
        <v>263.87</v>
      </c>
      <c r="E550" s="1">
        <f>IFERROR(__xludf.DUMMYFUNCTION("""COMPUTED_VALUE"""),264.43)</f>
        <v>264.43</v>
      </c>
      <c r="F550" s="1">
        <f>IFERROR(__xludf.DUMMYFUNCTION("""COMPUTED_VALUE"""),3.3239062E7)</f>
        <v>33239062</v>
      </c>
    </row>
    <row r="551">
      <c r="A551" s="2">
        <f>IFERROR(__xludf.DUMMYFUNCTION("""COMPUTED_VALUE"""),32198.666666666668)</f>
        <v>32198.66667</v>
      </c>
      <c r="B551" s="1">
        <f>IFERROR(__xludf.DUMMYFUNCTION("""COMPUTED_VALUE"""),264.39)</f>
        <v>264.39</v>
      </c>
      <c r="C551" s="1">
        <f>IFERROR(__xludf.DUMMYFUNCTION("""COMPUTED_VALUE"""),267.75)</f>
        <v>267.75</v>
      </c>
      <c r="D551" s="1">
        <f>IFERROR(__xludf.DUMMYFUNCTION("""COMPUTED_VALUE"""),261.05)</f>
        <v>261.05</v>
      </c>
      <c r="E551" s="1">
        <f>IFERROR(__xludf.DUMMYFUNCTION("""COMPUTED_VALUE"""),261.58)</f>
        <v>261.58</v>
      </c>
      <c r="F551" s="1">
        <f>IFERROR(__xludf.DUMMYFUNCTION("""COMPUTED_VALUE"""),3.3357812E7)</f>
        <v>33357812</v>
      </c>
    </row>
    <row r="552">
      <c r="A552" s="2">
        <f>IFERROR(__xludf.DUMMYFUNCTION("""COMPUTED_VALUE"""),32199.666666666668)</f>
        <v>32199.66667</v>
      </c>
      <c r="B552" s="1">
        <f>IFERROR(__xludf.DUMMYFUNCTION("""COMPUTED_VALUE"""),261.56)</f>
        <v>261.56</v>
      </c>
      <c r="C552" s="1">
        <f>IFERROR(__xludf.DUMMYFUNCTION("""COMPUTED_VALUE"""),263.0)</f>
        <v>263</v>
      </c>
      <c r="D552" s="1">
        <f>IFERROR(__xludf.DUMMYFUNCTION("""COMPUTED_VALUE"""),261.38)</f>
        <v>261.38</v>
      </c>
      <c r="E552" s="1">
        <f>IFERROR(__xludf.DUMMYFUNCTION("""COMPUTED_VALUE"""),262.46)</f>
        <v>262.46</v>
      </c>
      <c r="F552" s="1">
        <f>IFERROR(__xludf.DUMMYFUNCTION("""COMPUTED_VALUE"""),2.4696876E7)</f>
        <v>24696876</v>
      </c>
    </row>
    <row r="553">
      <c r="A553" s="2">
        <f>IFERROR(__xludf.DUMMYFUNCTION("""COMPUTED_VALUE"""),32202.666666666668)</f>
        <v>32202.66667</v>
      </c>
      <c r="B553" s="1">
        <f>IFERROR(__xludf.DUMMYFUNCTION("""COMPUTED_VALUE"""),262.46)</f>
        <v>262.46</v>
      </c>
      <c r="C553" s="1">
        <f>IFERROR(__xludf.DUMMYFUNCTION("""COMPUTED_VALUE"""),267.82)</f>
        <v>267.82</v>
      </c>
      <c r="D553" s="1">
        <f>IFERROR(__xludf.DUMMYFUNCTION("""COMPUTED_VALUE"""),262.46)</f>
        <v>262.46</v>
      </c>
      <c r="E553" s="1">
        <f>IFERROR(__xludf.DUMMYFUNCTION("""COMPUTED_VALUE"""),267.82)</f>
        <v>267.82</v>
      </c>
      <c r="F553" s="1">
        <f>IFERROR(__xludf.DUMMYFUNCTION("""COMPUTED_VALUE"""),3.6882812E7)</f>
        <v>36882812</v>
      </c>
    </row>
    <row r="554">
      <c r="A554" s="2">
        <f>IFERROR(__xludf.DUMMYFUNCTION("""COMPUTED_VALUE"""),32203.666666666668)</f>
        <v>32203.66667</v>
      </c>
      <c r="B554" s="1">
        <f>IFERROR(__xludf.DUMMYFUNCTION("""COMPUTED_VALUE"""),267.82)</f>
        <v>267.82</v>
      </c>
      <c r="C554" s="1">
        <f>IFERROR(__xludf.DUMMYFUNCTION("""COMPUTED_VALUE"""),267.95)</f>
        <v>267.95</v>
      </c>
      <c r="D554" s="1">
        <f>IFERROR(__xludf.DUMMYFUNCTION("""COMPUTED_VALUE"""),265.39)</f>
        <v>265.39</v>
      </c>
      <c r="E554" s="1">
        <f>IFERROR(__xludf.DUMMYFUNCTION("""COMPUTED_VALUE"""),267.22)</f>
        <v>267.22</v>
      </c>
      <c r="F554" s="1">
        <f>IFERROR(__xludf.DUMMYFUNCTION("""COMPUTED_VALUE"""),3.1248438E7)</f>
        <v>31248438</v>
      </c>
    </row>
    <row r="555">
      <c r="A555" s="2">
        <f>IFERROR(__xludf.DUMMYFUNCTION("""COMPUTED_VALUE"""),32204.666666666668)</f>
        <v>32204.66667</v>
      </c>
      <c r="B555" s="1">
        <f>IFERROR(__xludf.DUMMYFUNCTION("""COMPUTED_VALUE"""),267.23)</f>
        <v>267.23</v>
      </c>
      <c r="C555" s="1">
        <f>IFERROR(__xludf.DUMMYFUNCTION("""COMPUTED_VALUE"""),268.75)</f>
        <v>268.75</v>
      </c>
      <c r="D555" s="1">
        <f>IFERROR(__xludf.DUMMYFUNCTION("""COMPUTED_VALUE"""),267.0)</f>
        <v>267</v>
      </c>
      <c r="E555" s="1">
        <f>IFERROR(__xludf.DUMMYFUNCTION("""COMPUTED_VALUE"""),267.98)</f>
        <v>267.98</v>
      </c>
      <c r="F555" s="1">
        <f>IFERROR(__xludf.DUMMYFUNCTION("""COMPUTED_VALUE"""),3.1192188E7)</f>
        <v>31192188</v>
      </c>
    </row>
    <row r="556">
      <c r="A556" s="2">
        <f>IFERROR(__xludf.DUMMYFUNCTION("""COMPUTED_VALUE"""),32205.666666666668)</f>
        <v>32205.66667</v>
      </c>
      <c r="B556" s="1">
        <f>IFERROR(__xludf.DUMMYFUNCTION("""COMPUTED_VALUE"""),267.98)</f>
        <v>267.98</v>
      </c>
      <c r="C556" s="1">
        <f>IFERROR(__xludf.DUMMYFUNCTION("""COMPUTED_VALUE"""),268.4)</f>
        <v>268.4</v>
      </c>
      <c r="D556" s="1">
        <f>IFERROR(__xludf.DUMMYFUNCTION("""COMPUTED_VALUE"""),266.82)</f>
        <v>266.82</v>
      </c>
      <c r="E556" s="1">
        <f>IFERROR(__xludf.DUMMYFUNCTION("""COMPUTED_VALUE"""),267.88)</f>
        <v>267.88</v>
      </c>
      <c r="F556" s="1">
        <f>IFERROR(__xludf.DUMMYFUNCTION("""COMPUTED_VALUE"""),3.1767188E7)</f>
        <v>31767188</v>
      </c>
    </row>
    <row r="557">
      <c r="A557" s="2">
        <f>IFERROR(__xludf.DUMMYFUNCTION("""COMPUTED_VALUE"""),32206.666666666668)</f>
        <v>32206.66667</v>
      </c>
      <c r="B557" s="1">
        <f>IFERROR(__xludf.DUMMYFUNCTION("""COMPUTED_VALUE"""),267.87)</f>
        <v>267.87</v>
      </c>
      <c r="C557" s="1">
        <f>IFERROR(__xludf.DUMMYFUNCTION("""COMPUTED_VALUE"""),268.4)</f>
        <v>268.4</v>
      </c>
      <c r="D557" s="1">
        <f>IFERROR(__xludf.DUMMYFUNCTION("""COMPUTED_VALUE"""),264.72)</f>
        <v>264.72</v>
      </c>
      <c r="E557" s="1">
        <f>IFERROR(__xludf.DUMMYFUNCTION("""COMPUTED_VALUE"""),267.3)</f>
        <v>267.3</v>
      </c>
      <c r="F557" s="1">
        <f>IFERROR(__xludf.DUMMYFUNCTION("""COMPUTED_VALUE"""),3.1470312E7)</f>
        <v>31470312</v>
      </c>
    </row>
    <row r="558">
      <c r="A558" s="2">
        <f>IFERROR(__xludf.DUMMYFUNCTION("""COMPUTED_VALUE"""),32209.666666666668)</f>
        <v>32209.66667</v>
      </c>
      <c r="B558" s="1">
        <f>IFERROR(__xludf.DUMMYFUNCTION("""COMPUTED_VALUE"""),267.28)</f>
        <v>267.28</v>
      </c>
      <c r="C558" s="1">
        <f>IFERROR(__xludf.DUMMYFUNCTION("""COMPUTED_VALUE"""),267.69)</f>
        <v>267.69</v>
      </c>
      <c r="D558" s="1">
        <f>IFERROR(__xludf.DUMMYFUNCTION("""COMPUTED_VALUE"""),265.94)</f>
        <v>265.94</v>
      </c>
      <c r="E558" s="1">
        <f>IFERROR(__xludf.DUMMYFUNCTION("""COMPUTED_VALUE"""),267.38)</f>
        <v>267.38</v>
      </c>
      <c r="F558" s="1">
        <f>IFERROR(__xludf.DUMMYFUNCTION("""COMPUTED_VALUE"""),2.3903124E7)</f>
        <v>23903124</v>
      </c>
    </row>
    <row r="559">
      <c r="A559" s="2">
        <f>IFERROR(__xludf.DUMMYFUNCTION("""COMPUTED_VALUE"""),32210.666666666668)</f>
        <v>32210.66667</v>
      </c>
      <c r="B559" s="1">
        <f>IFERROR(__xludf.DUMMYFUNCTION("""COMPUTED_VALUE"""),267.38)</f>
        <v>267.38</v>
      </c>
      <c r="C559" s="1">
        <f>IFERROR(__xludf.DUMMYFUNCTION("""COMPUTED_VALUE"""),270.06)</f>
        <v>270.06</v>
      </c>
      <c r="D559" s="1">
        <f>IFERROR(__xludf.DUMMYFUNCTION("""COMPUTED_VALUE"""),267.38)</f>
        <v>267.38</v>
      </c>
      <c r="E559" s="1">
        <f>IFERROR(__xludf.DUMMYFUNCTION("""COMPUTED_VALUE"""),269.43)</f>
        <v>269.43</v>
      </c>
      <c r="F559" s="1">
        <f>IFERROR(__xludf.DUMMYFUNCTION("""COMPUTED_VALUE"""),3.71375E7)</f>
        <v>37137500</v>
      </c>
    </row>
    <row r="560">
      <c r="A560" s="2">
        <f>IFERROR(__xludf.DUMMYFUNCTION("""COMPUTED_VALUE"""),32211.666666666668)</f>
        <v>32211.66667</v>
      </c>
      <c r="B560" s="1">
        <f>IFERROR(__xludf.DUMMYFUNCTION("""COMPUTED_VALUE"""),269.46)</f>
        <v>269.46</v>
      </c>
      <c r="C560" s="1">
        <f>IFERROR(__xludf.DUMMYFUNCTION("""COMPUTED_VALUE"""),270.76)</f>
        <v>270.76</v>
      </c>
      <c r="D560" s="1">
        <f>IFERROR(__xludf.DUMMYFUNCTION("""COMPUTED_VALUE"""),268.65)</f>
        <v>268.65</v>
      </c>
      <c r="E560" s="1">
        <f>IFERROR(__xludf.DUMMYFUNCTION("""COMPUTED_VALUE"""),269.06)</f>
        <v>269.06</v>
      </c>
      <c r="F560" s="1">
        <f>IFERROR(__xludf.DUMMYFUNCTION("""COMPUTED_VALUE"""),3.2953124E7)</f>
        <v>32953124</v>
      </c>
    </row>
    <row r="561">
      <c r="A561" s="2">
        <f>IFERROR(__xludf.DUMMYFUNCTION("""COMPUTED_VALUE"""),32212.666666666668)</f>
        <v>32212.66667</v>
      </c>
      <c r="B561" s="1">
        <f>IFERROR(__xludf.DUMMYFUNCTION("""COMPUTED_VALUE"""),269.07)</f>
        <v>269.07</v>
      </c>
      <c r="C561" s="1">
        <f>IFERROR(__xludf.DUMMYFUNCTION("""COMPUTED_VALUE"""),269.35)</f>
        <v>269.35</v>
      </c>
      <c r="D561" s="1">
        <f>IFERROR(__xludf.DUMMYFUNCTION("""COMPUTED_VALUE"""),263.8)</f>
        <v>263.8</v>
      </c>
      <c r="E561" s="1">
        <f>IFERROR(__xludf.DUMMYFUNCTION("""COMPUTED_VALUE"""),263.84)</f>
        <v>263.84</v>
      </c>
      <c r="F561" s="1">
        <f>IFERROR(__xludf.DUMMYFUNCTION("""COMPUTED_VALUE"""),3.0821876E7)</f>
        <v>30821876</v>
      </c>
    </row>
    <row r="562">
      <c r="A562" s="2">
        <f>IFERROR(__xludf.DUMMYFUNCTION("""COMPUTED_VALUE"""),32213.666666666668)</f>
        <v>32213.66667</v>
      </c>
      <c r="B562" s="1">
        <f>IFERROR(__xludf.DUMMYFUNCTION("""COMPUTED_VALUE"""),263.85)</f>
        <v>263.85</v>
      </c>
      <c r="C562" s="1">
        <f>IFERROR(__xludf.DUMMYFUNCTION("""COMPUTED_VALUE"""),264.94)</f>
        <v>264.94</v>
      </c>
      <c r="D562" s="1">
        <f>IFERROR(__xludf.DUMMYFUNCTION("""COMPUTED_VALUE"""),261.27)</f>
        <v>261.27</v>
      </c>
      <c r="E562" s="1">
        <f>IFERROR(__xludf.DUMMYFUNCTION("""COMPUTED_VALUE"""),264.94)</f>
        <v>264.94</v>
      </c>
      <c r="F562" s="1">
        <f>IFERROR(__xludf.DUMMYFUNCTION("""COMPUTED_VALUE"""),3.1253124E7)</f>
        <v>31253124</v>
      </c>
    </row>
    <row r="563">
      <c r="A563" s="2">
        <f>IFERROR(__xludf.DUMMYFUNCTION("""COMPUTED_VALUE"""),32216.666666666668)</f>
        <v>32216.66667</v>
      </c>
      <c r="B563" s="1">
        <f>IFERROR(__xludf.DUMMYFUNCTION("""COMPUTED_VALUE"""),264.93)</f>
        <v>264.93</v>
      </c>
      <c r="C563" s="1">
        <f>IFERROR(__xludf.DUMMYFUNCTION("""COMPUTED_VALUE"""),266.55)</f>
        <v>266.55</v>
      </c>
      <c r="D563" s="1">
        <f>IFERROR(__xludf.DUMMYFUNCTION("""COMPUTED_VALUE"""),264.52)</f>
        <v>264.52</v>
      </c>
      <c r="E563" s="1">
        <f>IFERROR(__xludf.DUMMYFUNCTION("""COMPUTED_VALUE"""),266.37)</f>
        <v>266.37</v>
      </c>
      <c r="F563" s="1">
        <f>IFERROR(__xludf.DUMMYFUNCTION("""COMPUTED_VALUE"""),2.0607812E7)</f>
        <v>20607812</v>
      </c>
    </row>
    <row r="564">
      <c r="A564" s="2">
        <f>IFERROR(__xludf.DUMMYFUNCTION("""COMPUTED_VALUE"""),32217.666666666668)</f>
        <v>32217.66667</v>
      </c>
      <c r="B564" s="1">
        <f>IFERROR(__xludf.DUMMYFUNCTION("""COMPUTED_VALUE"""),266.34)</f>
        <v>266.34</v>
      </c>
      <c r="C564" s="1">
        <f>IFERROR(__xludf.DUMMYFUNCTION("""COMPUTED_VALUE"""),266.41)</f>
        <v>266.41</v>
      </c>
      <c r="D564" s="1">
        <f>IFERROR(__xludf.DUMMYFUNCTION("""COMPUTED_VALUE"""),264.92)</f>
        <v>264.92</v>
      </c>
      <c r="E564" s="1">
        <f>IFERROR(__xludf.DUMMYFUNCTION("""COMPUTED_VALUE"""),266.13)</f>
        <v>266.13</v>
      </c>
      <c r="F564" s="1">
        <f>IFERROR(__xludf.DUMMYFUNCTION("""COMPUTED_VALUE"""),2.0807812E7)</f>
        <v>20807812</v>
      </c>
    </row>
    <row r="565">
      <c r="A565" s="2">
        <f>IFERROR(__xludf.DUMMYFUNCTION("""COMPUTED_VALUE"""),32218.666666666668)</f>
        <v>32218.66667</v>
      </c>
      <c r="B565" s="1">
        <f>IFERROR(__xludf.DUMMYFUNCTION("""COMPUTED_VALUE"""),266.11)</f>
        <v>266.11</v>
      </c>
      <c r="C565" s="1">
        <f>IFERROR(__xludf.DUMMYFUNCTION("""COMPUTED_VALUE"""),268.68)</f>
        <v>268.68</v>
      </c>
      <c r="D565" s="1">
        <f>IFERROR(__xludf.DUMMYFUNCTION("""COMPUTED_VALUE"""),264.81)</f>
        <v>264.81</v>
      </c>
      <c r="E565" s="1">
        <f>IFERROR(__xludf.DUMMYFUNCTION("""COMPUTED_VALUE"""),268.65)</f>
        <v>268.65</v>
      </c>
      <c r="F565" s="1">
        <f>IFERROR(__xludf.DUMMYFUNCTION("""COMPUTED_VALUE"""),2.3998438E7)</f>
        <v>23998438</v>
      </c>
    </row>
    <row r="566">
      <c r="A566" s="2">
        <f>IFERROR(__xludf.DUMMYFUNCTION("""COMPUTED_VALUE"""),32219.666666666668)</f>
        <v>32219.66667</v>
      </c>
      <c r="B566" s="1">
        <f>IFERROR(__xludf.DUMMYFUNCTION("""COMPUTED_VALUE"""),268.66)</f>
        <v>268.66</v>
      </c>
      <c r="C566" s="1">
        <f>IFERROR(__xludf.DUMMYFUNCTION("""COMPUTED_VALUE"""),271.22)</f>
        <v>271.22</v>
      </c>
      <c r="D566" s="1">
        <f>IFERROR(__xludf.DUMMYFUNCTION("""COMPUTED_VALUE"""),268.65)</f>
        <v>268.65</v>
      </c>
      <c r="E566" s="1">
        <f>IFERROR(__xludf.DUMMYFUNCTION("""COMPUTED_VALUE"""),271.22)</f>
        <v>271.22</v>
      </c>
      <c r="F566" s="1">
        <f>IFERROR(__xludf.DUMMYFUNCTION("""COMPUTED_VALUE"""),3.31125E7)</f>
        <v>33112500</v>
      </c>
    </row>
    <row r="567">
      <c r="A567" s="2">
        <f>IFERROR(__xludf.DUMMYFUNCTION("""COMPUTED_VALUE"""),32220.666666666668)</f>
        <v>32220.66667</v>
      </c>
      <c r="B567" s="1">
        <f>IFERROR(__xludf.DUMMYFUNCTION("""COMPUTED_VALUE"""),271.22)</f>
        <v>271.22</v>
      </c>
      <c r="C567" s="1">
        <f>IFERROR(__xludf.DUMMYFUNCTION("""COMPUTED_VALUE"""),272.64)</f>
        <v>272.64</v>
      </c>
      <c r="D567" s="1">
        <f>IFERROR(__xludf.DUMMYFUNCTION("""COMPUTED_VALUE"""),269.76)</f>
        <v>269.76</v>
      </c>
      <c r="E567" s="1">
        <f>IFERROR(__xludf.DUMMYFUNCTION("""COMPUTED_VALUE"""),271.12)</f>
        <v>271.12</v>
      </c>
      <c r="F567" s="1">
        <f>IFERROR(__xludf.DUMMYFUNCTION("""COMPUTED_VALUE"""),3.8398436E7)</f>
        <v>38398436</v>
      </c>
    </row>
    <row r="568">
      <c r="A568" s="2">
        <f>IFERROR(__xludf.DUMMYFUNCTION("""COMPUTED_VALUE"""),32223.666666666668)</f>
        <v>32223.66667</v>
      </c>
      <c r="B568" s="1">
        <f>IFERROR(__xludf.DUMMYFUNCTION("""COMPUTED_VALUE"""),271.1)</f>
        <v>271.1</v>
      </c>
      <c r="C568" s="1">
        <f>IFERROR(__xludf.DUMMYFUNCTION("""COMPUTED_VALUE"""),271.12)</f>
        <v>271.12</v>
      </c>
      <c r="D568" s="1">
        <f>IFERROR(__xludf.DUMMYFUNCTION("""COMPUTED_VALUE"""),267.42)</f>
        <v>267.42</v>
      </c>
      <c r="E568" s="1">
        <f>IFERROR(__xludf.DUMMYFUNCTION("""COMPUTED_VALUE"""),268.74)</f>
        <v>268.74</v>
      </c>
      <c r="F568" s="1">
        <f>IFERROR(__xludf.DUMMYFUNCTION("""COMPUTED_VALUE"""),2.0129688E7)</f>
        <v>20129688</v>
      </c>
    </row>
    <row r="569">
      <c r="A569" s="2">
        <f>IFERROR(__xludf.DUMMYFUNCTION("""COMPUTED_VALUE"""),32224.666666666668)</f>
        <v>32224.66667</v>
      </c>
      <c r="B569" s="1">
        <f>IFERROR(__xludf.DUMMYFUNCTION("""COMPUTED_VALUE"""),268.73)</f>
        <v>268.73</v>
      </c>
      <c r="C569" s="1">
        <f>IFERROR(__xludf.DUMMYFUNCTION("""COMPUTED_VALUE"""),269.61)</f>
        <v>269.61</v>
      </c>
      <c r="D569" s="1">
        <f>IFERROR(__xludf.DUMMYFUNCTION("""COMPUTED_VALUE"""),267.9)</f>
        <v>267.9</v>
      </c>
      <c r="E569" s="1">
        <f>IFERROR(__xludf.DUMMYFUNCTION("""COMPUTED_VALUE"""),268.84)</f>
        <v>268.84</v>
      </c>
      <c r="F569" s="1">
        <f>IFERROR(__xludf.DUMMYFUNCTION("""COMPUTED_VALUE"""),2.21875E7)</f>
        <v>22187500</v>
      </c>
    </row>
    <row r="570">
      <c r="A570" s="2">
        <f>IFERROR(__xludf.DUMMYFUNCTION("""COMPUTED_VALUE"""),32225.666666666668)</f>
        <v>32225.66667</v>
      </c>
      <c r="B570" s="1">
        <f>IFERROR(__xludf.DUMMYFUNCTION("""COMPUTED_VALUE"""),268.81)</f>
        <v>268.81</v>
      </c>
      <c r="C570" s="1">
        <f>IFERROR(__xludf.DUMMYFUNCTION("""COMPUTED_VALUE"""),269.79)</f>
        <v>269.79</v>
      </c>
      <c r="D570" s="1">
        <f>IFERROR(__xludf.DUMMYFUNCTION("""COMPUTED_VALUE"""),268.01)</f>
        <v>268.01</v>
      </c>
      <c r="E570" s="1">
        <f>IFERROR(__xludf.DUMMYFUNCTION("""COMPUTED_VALUE"""),268.91)</f>
        <v>268.91</v>
      </c>
      <c r="F570" s="1">
        <f>IFERROR(__xludf.DUMMYFUNCTION("""COMPUTED_VALUE"""),2.6151562E7)</f>
        <v>26151562</v>
      </c>
    </row>
    <row r="571">
      <c r="A571" s="2">
        <f>IFERROR(__xludf.DUMMYFUNCTION("""COMPUTED_VALUE"""),32226.666666666668)</f>
        <v>32226.66667</v>
      </c>
      <c r="B571" s="1">
        <f>IFERROR(__xludf.DUMMYFUNCTION("""COMPUTED_VALUE"""),268.91)</f>
        <v>268.91</v>
      </c>
      <c r="C571" s="1">
        <f>IFERROR(__xludf.DUMMYFUNCTION("""COMPUTED_VALUE"""),268.91)</f>
        <v>268.91</v>
      </c>
      <c r="D571" s="1">
        <f>IFERROR(__xludf.DUMMYFUNCTION("""COMPUTED_VALUE"""),262.48)</f>
        <v>262.48</v>
      </c>
      <c r="E571" s="1">
        <f>IFERROR(__xludf.DUMMYFUNCTION("""COMPUTED_VALUE"""),263.35)</f>
        <v>263.35</v>
      </c>
      <c r="F571" s="1">
        <f>IFERROR(__xludf.DUMMYFUNCTION("""COMPUTED_VALUE"""),2.8892188E7)</f>
        <v>28892188</v>
      </c>
    </row>
    <row r="572">
      <c r="A572" s="2">
        <f>IFERROR(__xludf.DUMMYFUNCTION("""COMPUTED_VALUE"""),32227.666666666668)</f>
        <v>32227.66667</v>
      </c>
      <c r="B572" s="1">
        <f>IFERROR(__xludf.DUMMYFUNCTION("""COMPUTED_VALUE"""),263.34)</f>
        <v>263.34</v>
      </c>
      <c r="C572" s="1">
        <f>IFERROR(__xludf.DUMMYFUNCTION("""COMPUTED_VALUE"""),263.44)</f>
        <v>263.44</v>
      </c>
      <c r="D572" s="1">
        <f>IFERROR(__xludf.DUMMYFUNCTION("""COMPUTED_VALUE"""),258.12)</f>
        <v>258.12</v>
      </c>
      <c r="E572" s="1">
        <f>IFERROR(__xludf.DUMMYFUNCTION("""COMPUTED_VALUE"""),258.51)</f>
        <v>258.51</v>
      </c>
      <c r="F572" s="1">
        <f>IFERROR(__xludf.DUMMYFUNCTION("""COMPUTED_VALUE"""),2.5495312E7)</f>
        <v>25495312</v>
      </c>
    </row>
    <row r="573">
      <c r="A573" s="2">
        <f>IFERROR(__xludf.DUMMYFUNCTION("""COMPUTED_VALUE"""),32230.666666666668)</f>
        <v>32230.66667</v>
      </c>
      <c r="B573" s="1">
        <f>IFERROR(__xludf.DUMMYFUNCTION("""COMPUTED_VALUE"""),258.5)</f>
        <v>258.5</v>
      </c>
      <c r="C573" s="1">
        <f>IFERROR(__xludf.DUMMYFUNCTION("""COMPUTED_VALUE"""),258.51)</f>
        <v>258.51</v>
      </c>
      <c r="D573" s="1">
        <f>IFERROR(__xludf.DUMMYFUNCTION("""COMPUTED_VALUE"""),256.07)</f>
        <v>256.07</v>
      </c>
      <c r="E573" s="1">
        <f>IFERROR(__xludf.DUMMYFUNCTION("""COMPUTED_VALUE"""),258.06)</f>
        <v>258.06</v>
      </c>
      <c r="F573" s="1">
        <f>IFERROR(__xludf.DUMMYFUNCTION("""COMPUTED_VALUE"""),2.2315624E7)</f>
        <v>22315624</v>
      </c>
    </row>
    <row r="574">
      <c r="A574" s="2">
        <f>IFERROR(__xludf.DUMMYFUNCTION("""COMPUTED_VALUE"""),32231.666666666668)</f>
        <v>32231.66667</v>
      </c>
      <c r="B574" s="1">
        <f>IFERROR(__xludf.DUMMYFUNCTION("""COMPUTED_VALUE"""),258.11)</f>
        <v>258.11</v>
      </c>
      <c r="C574" s="1">
        <f>IFERROR(__xludf.DUMMYFUNCTION("""COMPUTED_VALUE"""),260.86)</f>
        <v>260.86</v>
      </c>
      <c r="D574" s="1">
        <f>IFERROR(__xludf.DUMMYFUNCTION("""COMPUTED_VALUE"""),258.06)</f>
        <v>258.06</v>
      </c>
      <c r="E574" s="1">
        <f>IFERROR(__xludf.DUMMYFUNCTION("""COMPUTED_VALUE"""),260.07)</f>
        <v>260.07</v>
      </c>
      <c r="F574" s="1">
        <f>IFERROR(__xludf.DUMMYFUNCTION("""COMPUTED_VALUE"""),2.3857812E7)</f>
        <v>23857812</v>
      </c>
    </row>
    <row r="575">
      <c r="A575" s="2">
        <f>IFERROR(__xludf.DUMMYFUNCTION("""COMPUTED_VALUE"""),32232.666666666668)</f>
        <v>32232.66667</v>
      </c>
      <c r="B575" s="1">
        <f>IFERROR(__xludf.DUMMYFUNCTION("""COMPUTED_VALUE"""),260.06)</f>
        <v>260.06</v>
      </c>
      <c r="C575" s="1">
        <f>IFERROR(__xludf.DUMMYFUNCTION("""COMPUTED_VALUE"""),261.59)</f>
        <v>261.59</v>
      </c>
      <c r="D575" s="1">
        <f>IFERROR(__xludf.DUMMYFUNCTION("""COMPUTED_VALUE"""),257.92)</f>
        <v>257.92</v>
      </c>
      <c r="E575" s="1">
        <f>IFERROR(__xludf.DUMMYFUNCTION("""COMPUTED_VALUE"""),258.07)</f>
        <v>258.07</v>
      </c>
      <c r="F575" s="1">
        <f>IFERROR(__xludf.DUMMYFUNCTION("""COMPUTED_VALUE"""),2.3720312E7)</f>
        <v>23720312</v>
      </c>
    </row>
    <row r="576">
      <c r="A576" s="2">
        <f>IFERROR(__xludf.DUMMYFUNCTION("""COMPUTED_VALUE"""),32233.666666666668)</f>
        <v>32233.66667</v>
      </c>
      <c r="B576" s="1">
        <f>IFERROR(__xludf.DUMMYFUNCTION("""COMPUTED_VALUE"""),258.03)</f>
        <v>258.03</v>
      </c>
      <c r="C576" s="1">
        <f>IFERROR(__xludf.DUMMYFUNCTION("""COMPUTED_VALUE"""),259.03)</f>
        <v>259.03</v>
      </c>
      <c r="D576" s="1">
        <f>IFERROR(__xludf.DUMMYFUNCTION("""COMPUTED_VALUE"""),256.16)</f>
        <v>256.16</v>
      </c>
      <c r="E576" s="1">
        <f>IFERROR(__xludf.DUMMYFUNCTION("""COMPUTED_VALUE"""),258.89)</f>
        <v>258.89</v>
      </c>
      <c r="F576" s="1">
        <f>IFERROR(__xludf.DUMMYFUNCTION("""COMPUTED_VALUE"""),2.1854688E7)</f>
        <v>21854688</v>
      </c>
    </row>
    <row r="577">
      <c r="A577" s="2">
        <f>IFERROR(__xludf.DUMMYFUNCTION("""COMPUTED_VALUE"""),32237.666666666668)</f>
        <v>32237.66667</v>
      </c>
      <c r="B577" s="1">
        <f>IFERROR(__xludf.DUMMYFUNCTION("""COMPUTED_VALUE"""),258.89)</f>
        <v>258.89</v>
      </c>
      <c r="C577" s="1">
        <f>IFERROR(__xludf.DUMMYFUNCTION("""COMPUTED_VALUE"""),259.06)</f>
        <v>259.06</v>
      </c>
      <c r="D577" s="1">
        <f>IFERROR(__xludf.DUMMYFUNCTION("""COMPUTED_VALUE"""),255.68)</f>
        <v>255.68</v>
      </c>
      <c r="E577" s="1">
        <f>IFERROR(__xludf.DUMMYFUNCTION("""COMPUTED_VALUE"""),256.09)</f>
        <v>256.09</v>
      </c>
      <c r="F577" s="1">
        <f>IFERROR(__xludf.DUMMYFUNCTION("""COMPUTED_VALUE"""),2.8475E7)</f>
        <v>28475000</v>
      </c>
    </row>
    <row r="578">
      <c r="A578" s="2">
        <f>IFERROR(__xludf.DUMMYFUNCTION("""COMPUTED_VALUE"""),32238.666666666668)</f>
        <v>32238.66667</v>
      </c>
      <c r="B578" s="1">
        <f>IFERROR(__xludf.DUMMYFUNCTION("""COMPUTED_VALUE"""),256.1)</f>
        <v>256.1</v>
      </c>
      <c r="C578" s="1">
        <f>IFERROR(__xludf.DUMMYFUNCTION("""COMPUTED_VALUE"""),258.52)</f>
        <v>258.52</v>
      </c>
      <c r="D578" s="1">
        <f>IFERROR(__xludf.DUMMYFUNCTION("""COMPUTED_VALUE"""),256.03)</f>
        <v>256.03</v>
      </c>
      <c r="E578" s="1">
        <f>IFERROR(__xludf.DUMMYFUNCTION("""COMPUTED_VALUE"""),258.51)</f>
        <v>258.51</v>
      </c>
      <c r="F578" s="1">
        <f>IFERROR(__xludf.DUMMYFUNCTION("""COMPUTED_VALUE"""),2.1139062E7)</f>
        <v>21139062</v>
      </c>
    </row>
    <row r="579">
      <c r="A579" s="2">
        <f>IFERROR(__xludf.DUMMYFUNCTION("""COMPUTED_VALUE"""),32239.666666666668)</f>
        <v>32239.66667</v>
      </c>
      <c r="B579" s="1">
        <f>IFERROR(__xludf.DUMMYFUNCTION("""COMPUTED_VALUE"""),258.52)</f>
        <v>258.52</v>
      </c>
      <c r="C579" s="1">
        <f>IFERROR(__xludf.DUMMYFUNCTION("""COMPUTED_VALUE"""),265.5)</f>
        <v>265.5</v>
      </c>
      <c r="D579" s="1">
        <f>IFERROR(__xludf.DUMMYFUNCTION("""COMPUTED_VALUE"""),258.22)</f>
        <v>258.22</v>
      </c>
      <c r="E579" s="1">
        <f>IFERROR(__xludf.DUMMYFUNCTION("""COMPUTED_VALUE"""),265.49)</f>
        <v>265.49</v>
      </c>
      <c r="F579" s="1">
        <f>IFERROR(__xludf.DUMMYFUNCTION("""COMPUTED_VALUE"""),2.965E7)</f>
        <v>29650000</v>
      </c>
    </row>
    <row r="580">
      <c r="A580" s="2">
        <f>IFERROR(__xludf.DUMMYFUNCTION("""COMPUTED_VALUE"""),32240.666666666668)</f>
        <v>32240.66667</v>
      </c>
      <c r="B580" s="1">
        <f>IFERROR(__xludf.DUMMYFUNCTION("""COMPUTED_VALUE"""),265.51)</f>
        <v>265.51</v>
      </c>
      <c r="C580" s="1">
        <f>IFERROR(__xludf.DUMMYFUNCTION("""COMPUTED_VALUE"""),267.32)</f>
        <v>267.32</v>
      </c>
      <c r="D580" s="1">
        <f>IFERROR(__xludf.DUMMYFUNCTION("""COMPUTED_VALUE"""),265.22)</f>
        <v>265.22</v>
      </c>
      <c r="E580" s="1">
        <f>IFERROR(__xludf.DUMMYFUNCTION("""COMPUTED_VALUE"""),266.16)</f>
        <v>266.16</v>
      </c>
      <c r="F580" s="1">
        <f>IFERROR(__xludf.DUMMYFUNCTION("""COMPUTED_VALUE"""),2.77875E7)</f>
        <v>27787500</v>
      </c>
    </row>
    <row r="581">
      <c r="A581" s="2">
        <f>IFERROR(__xludf.DUMMYFUNCTION("""COMPUTED_VALUE"""),32241.666666666668)</f>
        <v>32241.66667</v>
      </c>
      <c r="B581" s="1">
        <f>IFERROR(__xludf.DUMMYFUNCTION("""COMPUTED_VALUE"""),266.15)</f>
        <v>266.15</v>
      </c>
      <c r="C581" s="1">
        <f>IFERROR(__xludf.DUMMYFUNCTION("""COMPUTED_VALUE"""),270.22)</f>
        <v>270.22</v>
      </c>
      <c r="D581" s="1">
        <f>IFERROR(__xludf.DUMMYFUNCTION("""COMPUTED_VALUE"""),266.11)</f>
        <v>266.11</v>
      </c>
      <c r="E581" s="1">
        <f>IFERROR(__xludf.DUMMYFUNCTION("""COMPUTED_VALUE"""),269.43)</f>
        <v>269.43</v>
      </c>
      <c r="F581" s="1">
        <f>IFERROR(__xludf.DUMMYFUNCTION("""COMPUTED_VALUE"""),2.6453124E7)</f>
        <v>26453124</v>
      </c>
    </row>
    <row r="582">
      <c r="A582" s="2">
        <f>IFERROR(__xludf.DUMMYFUNCTION("""COMPUTED_VALUE"""),32244.666666666668)</f>
        <v>32244.66667</v>
      </c>
      <c r="B582" s="1">
        <f>IFERROR(__xludf.DUMMYFUNCTION("""COMPUTED_VALUE"""),269.43)</f>
        <v>269.43</v>
      </c>
      <c r="C582" s="1">
        <f>IFERROR(__xludf.DUMMYFUNCTION("""COMPUTED_VALUE"""),270.41)</f>
        <v>270.41</v>
      </c>
      <c r="D582" s="1">
        <f>IFERROR(__xludf.DUMMYFUNCTION("""COMPUTED_VALUE"""),268.61)</f>
        <v>268.61</v>
      </c>
      <c r="E582" s="1">
        <f>IFERROR(__xludf.DUMMYFUNCTION("""COMPUTED_VALUE"""),270.16)</f>
        <v>270.16</v>
      </c>
      <c r="F582" s="1">
        <f>IFERROR(__xludf.DUMMYFUNCTION("""COMPUTED_VALUE"""),2.2870312E7)</f>
        <v>22870312</v>
      </c>
    </row>
    <row r="583">
      <c r="A583" s="2">
        <f>IFERROR(__xludf.DUMMYFUNCTION("""COMPUTED_VALUE"""),32245.666666666668)</f>
        <v>32245.66667</v>
      </c>
      <c r="B583" s="1">
        <f>IFERROR(__xludf.DUMMYFUNCTION("""COMPUTED_VALUE"""),269.88)</f>
        <v>269.88</v>
      </c>
      <c r="C583" s="1">
        <f>IFERROR(__xludf.DUMMYFUNCTION("""COMPUTED_VALUE"""),272.05)</f>
        <v>272.05</v>
      </c>
      <c r="D583" s="1">
        <f>IFERROR(__xludf.DUMMYFUNCTION("""COMPUTED_VALUE"""),269.66)</f>
        <v>269.66</v>
      </c>
      <c r="E583" s="1">
        <f>IFERROR(__xludf.DUMMYFUNCTION("""COMPUTED_VALUE"""),271.37)</f>
        <v>271.37</v>
      </c>
      <c r="F583" s="1">
        <f>IFERROR(__xludf.DUMMYFUNCTION("""COMPUTED_VALUE"""),2.2875E7)</f>
        <v>22875000</v>
      </c>
    </row>
    <row r="584">
      <c r="A584" s="2">
        <f>IFERROR(__xludf.DUMMYFUNCTION("""COMPUTED_VALUE"""),32246.666666666668)</f>
        <v>32246.66667</v>
      </c>
      <c r="B584" s="1">
        <f>IFERROR(__xludf.DUMMYFUNCTION("""COMPUTED_VALUE"""),271.33)</f>
        <v>271.33</v>
      </c>
      <c r="C584" s="1">
        <f>IFERROR(__xludf.DUMMYFUNCTION("""COMPUTED_VALUE"""),271.7)</f>
        <v>271.7</v>
      </c>
      <c r="D584" s="1">
        <f>IFERROR(__xludf.DUMMYFUNCTION("""COMPUTED_VALUE"""),269.23)</f>
        <v>269.23</v>
      </c>
      <c r="E584" s="1">
        <f>IFERROR(__xludf.DUMMYFUNCTION("""COMPUTED_VALUE"""),271.58)</f>
        <v>271.58</v>
      </c>
      <c r="F584" s="1">
        <f>IFERROR(__xludf.DUMMYFUNCTION("""COMPUTED_VALUE"""),2.8925E7)</f>
        <v>28925000</v>
      </c>
    </row>
    <row r="585">
      <c r="A585" s="2">
        <f>IFERROR(__xludf.DUMMYFUNCTION("""COMPUTED_VALUE"""),32247.666666666668)</f>
        <v>32247.66667</v>
      </c>
      <c r="B585" s="1">
        <f>IFERROR(__xludf.DUMMYFUNCTION("""COMPUTED_VALUE"""),271.55)</f>
        <v>271.55</v>
      </c>
      <c r="C585" s="1">
        <f>IFERROR(__xludf.DUMMYFUNCTION("""COMPUTED_VALUE"""),271.57)</f>
        <v>271.57</v>
      </c>
      <c r="D585" s="1">
        <f>IFERROR(__xludf.DUMMYFUNCTION("""COMPUTED_VALUE"""),259.37)</f>
        <v>259.37</v>
      </c>
      <c r="E585" s="1">
        <f>IFERROR(__xludf.DUMMYFUNCTION("""COMPUTED_VALUE"""),259.75)</f>
        <v>259.75</v>
      </c>
      <c r="F585" s="1">
        <f>IFERROR(__xludf.DUMMYFUNCTION("""COMPUTED_VALUE"""),3.3095312E7)</f>
        <v>33095312</v>
      </c>
    </row>
    <row r="586">
      <c r="A586" s="2">
        <f>IFERROR(__xludf.DUMMYFUNCTION("""COMPUTED_VALUE"""),32248.666666666668)</f>
        <v>32248.66667</v>
      </c>
      <c r="B586" s="1">
        <f>IFERROR(__xludf.DUMMYFUNCTION("""COMPUTED_VALUE"""),259.74)</f>
        <v>259.74</v>
      </c>
      <c r="C586" s="1">
        <f>IFERROR(__xludf.DUMMYFUNCTION("""COMPUTED_VALUE"""),260.39)</f>
        <v>260.39</v>
      </c>
      <c r="D586" s="1">
        <f>IFERROR(__xludf.DUMMYFUNCTION("""COMPUTED_VALUE"""),255.97)</f>
        <v>255.97</v>
      </c>
      <c r="E586" s="1">
        <f>IFERROR(__xludf.DUMMYFUNCTION("""COMPUTED_VALUE"""),259.77)</f>
        <v>259.77</v>
      </c>
      <c r="F586" s="1">
        <f>IFERROR(__xludf.DUMMYFUNCTION("""COMPUTED_VALUE"""),3.65875E7)</f>
        <v>36587500</v>
      </c>
    </row>
    <row r="587">
      <c r="A587" s="2">
        <f>IFERROR(__xludf.DUMMYFUNCTION("""COMPUTED_VALUE"""),32251.666666666668)</f>
        <v>32251.66667</v>
      </c>
      <c r="B587" s="1">
        <f>IFERROR(__xludf.DUMMYFUNCTION("""COMPUTED_VALUE"""),259.75)</f>
        <v>259.75</v>
      </c>
      <c r="C587" s="1">
        <f>IFERROR(__xludf.DUMMYFUNCTION("""COMPUTED_VALUE"""),259.81)</f>
        <v>259.81</v>
      </c>
      <c r="D587" s="1">
        <f>IFERROR(__xludf.DUMMYFUNCTION("""COMPUTED_VALUE"""),258.03)</f>
        <v>258.03</v>
      </c>
      <c r="E587" s="1">
        <f>IFERROR(__xludf.DUMMYFUNCTION("""COMPUTED_VALUE"""),259.21)</f>
        <v>259.21</v>
      </c>
      <c r="F587" s="1">
        <f>IFERROR(__xludf.DUMMYFUNCTION("""COMPUTED_VALUE"""),2.2601562E7)</f>
        <v>22601562</v>
      </c>
    </row>
    <row r="588">
      <c r="A588" s="2">
        <f>IFERROR(__xludf.DUMMYFUNCTION("""COMPUTED_VALUE"""),32252.666666666668)</f>
        <v>32252.66667</v>
      </c>
      <c r="B588" s="1">
        <f>IFERROR(__xludf.DUMMYFUNCTION("""COMPUTED_VALUE"""),259.24)</f>
        <v>259.24</v>
      </c>
      <c r="C588" s="1">
        <f>IFERROR(__xludf.DUMMYFUNCTION("""COMPUTED_VALUE"""),262.38)</f>
        <v>262.38</v>
      </c>
      <c r="D588" s="1">
        <f>IFERROR(__xludf.DUMMYFUNCTION("""COMPUTED_VALUE"""),257.91)</f>
        <v>257.91</v>
      </c>
      <c r="E588" s="1">
        <f>IFERROR(__xludf.DUMMYFUNCTION("""COMPUTED_VALUE"""),257.92)</f>
        <v>257.92</v>
      </c>
      <c r="F588" s="1">
        <f>IFERROR(__xludf.DUMMYFUNCTION("""COMPUTED_VALUE"""),2.5298438E7)</f>
        <v>25298438</v>
      </c>
    </row>
    <row r="589">
      <c r="A589" s="2">
        <f>IFERROR(__xludf.DUMMYFUNCTION("""COMPUTED_VALUE"""),32253.666666666668)</f>
        <v>32253.66667</v>
      </c>
      <c r="B589" s="1">
        <f>IFERROR(__xludf.DUMMYFUNCTION("""COMPUTED_VALUE"""),257.91)</f>
        <v>257.91</v>
      </c>
      <c r="C589" s="1">
        <f>IFERROR(__xludf.DUMMYFUNCTION("""COMPUTED_VALUE"""),258.54)</f>
        <v>258.54</v>
      </c>
      <c r="D589" s="1">
        <f>IFERROR(__xludf.DUMMYFUNCTION("""COMPUTED_VALUE"""),256.12)</f>
        <v>256.12</v>
      </c>
      <c r="E589" s="1">
        <f>IFERROR(__xludf.DUMMYFUNCTION("""COMPUTED_VALUE"""),256.13)</f>
        <v>256.13</v>
      </c>
      <c r="F589" s="1">
        <f>IFERROR(__xludf.DUMMYFUNCTION("""COMPUTED_VALUE"""),2.3060938E7)</f>
        <v>23060938</v>
      </c>
    </row>
    <row r="590">
      <c r="A590" s="2">
        <f>IFERROR(__xludf.DUMMYFUNCTION("""COMPUTED_VALUE"""),32254.666666666668)</f>
        <v>32254.66667</v>
      </c>
      <c r="B590" s="1">
        <f>IFERROR(__xludf.DUMMYFUNCTION("""COMPUTED_VALUE"""),256.15)</f>
        <v>256.15</v>
      </c>
      <c r="C590" s="1">
        <f>IFERROR(__xludf.DUMMYFUNCTION("""COMPUTED_VALUE"""),260.44)</f>
        <v>260.44</v>
      </c>
      <c r="D590" s="1">
        <f>IFERROR(__xludf.DUMMYFUNCTION("""COMPUTED_VALUE"""),254.71)</f>
        <v>254.71</v>
      </c>
      <c r="E590" s="1">
        <f>IFERROR(__xludf.DUMMYFUNCTION("""COMPUTED_VALUE"""),256.42)</f>
        <v>256.42</v>
      </c>
      <c r="F590" s="1">
        <f>IFERROR(__xludf.DUMMYFUNCTION("""COMPUTED_VALUE"""),2.631875E7)</f>
        <v>26318750</v>
      </c>
    </row>
    <row r="591">
      <c r="A591" s="2">
        <f>IFERROR(__xludf.DUMMYFUNCTION("""COMPUTED_VALUE"""),32255.666666666668)</f>
        <v>32255.66667</v>
      </c>
      <c r="B591" s="1">
        <f>IFERROR(__xludf.DUMMYFUNCTION("""COMPUTED_VALUE"""),256.45)</f>
        <v>256.45</v>
      </c>
      <c r="C591" s="1">
        <f>IFERROR(__xludf.DUMMYFUNCTION("""COMPUTED_VALUE"""),261.16)</f>
        <v>261.16</v>
      </c>
      <c r="D591" s="1">
        <f>IFERROR(__xludf.DUMMYFUNCTION("""COMPUTED_VALUE"""),256.42)</f>
        <v>256.42</v>
      </c>
      <c r="E591" s="1">
        <f>IFERROR(__xludf.DUMMYFUNCTION("""COMPUTED_VALUE"""),260.14)</f>
        <v>260.14</v>
      </c>
      <c r="F591" s="1">
        <f>IFERROR(__xludf.DUMMYFUNCTION("""COMPUTED_VALUE"""),2.383125E7)</f>
        <v>23831250</v>
      </c>
    </row>
    <row r="592">
      <c r="A592" s="2">
        <f>IFERROR(__xludf.DUMMYFUNCTION("""COMPUTED_VALUE"""),32258.666666666668)</f>
        <v>32258.66667</v>
      </c>
      <c r="B592" s="1">
        <f>IFERROR(__xludf.DUMMYFUNCTION("""COMPUTED_VALUE"""),260.15)</f>
        <v>260.15</v>
      </c>
      <c r="C592" s="1">
        <f>IFERROR(__xludf.DUMMYFUNCTION("""COMPUTED_VALUE"""),263.29)</f>
        <v>263.29</v>
      </c>
      <c r="D592" s="1">
        <f>IFERROR(__xludf.DUMMYFUNCTION("""COMPUTED_VALUE"""),260.14)</f>
        <v>260.14</v>
      </c>
      <c r="E592" s="1">
        <f>IFERROR(__xludf.DUMMYFUNCTION("""COMPUTED_VALUE"""),262.51)</f>
        <v>262.51</v>
      </c>
      <c r="F592" s="1">
        <f>IFERROR(__xludf.DUMMYFUNCTION("""COMPUTED_VALUE"""),2.4523438E7)</f>
        <v>24523438</v>
      </c>
    </row>
    <row r="593">
      <c r="A593" s="2">
        <f>IFERROR(__xludf.DUMMYFUNCTION("""COMPUTED_VALUE"""),32259.666666666668)</f>
        <v>32259.66667</v>
      </c>
      <c r="B593" s="1">
        <f>IFERROR(__xludf.DUMMYFUNCTION("""COMPUTED_VALUE"""),262.45)</f>
        <v>262.45</v>
      </c>
      <c r="C593" s="1">
        <f>IFERROR(__xludf.DUMMYFUNCTION("""COMPUTED_VALUE"""),265.06)</f>
        <v>265.06</v>
      </c>
      <c r="D593" s="1">
        <f>IFERROR(__xludf.DUMMYFUNCTION("""COMPUTED_VALUE"""),262.18)</f>
        <v>262.18</v>
      </c>
      <c r="E593" s="1">
        <f>IFERROR(__xludf.DUMMYFUNCTION("""COMPUTED_VALUE"""),263.93)</f>
        <v>263.93</v>
      </c>
      <c r="F593" s="1">
        <f>IFERROR(__xludf.DUMMYFUNCTION("""COMPUTED_VALUE"""),2.3796876E7)</f>
        <v>23796876</v>
      </c>
    </row>
    <row r="594">
      <c r="A594" s="2">
        <f>IFERROR(__xludf.DUMMYFUNCTION("""COMPUTED_VALUE"""),32260.666666666668)</f>
        <v>32260.66667</v>
      </c>
      <c r="B594" s="1">
        <f>IFERROR(__xludf.DUMMYFUNCTION("""COMPUTED_VALUE"""),263.94)</f>
        <v>263.94</v>
      </c>
      <c r="C594" s="1">
        <f>IFERROR(__xludf.DUMMYFUNCTION("""COMPUTED_VALUE"""),265.09)</f>
        <v>265.09</v>
      </c>
      <c r="D594" s="1">
        <f>IFERROR(__xludf.DUMMYFUNCTION("""COMPUTED_VALUE"""),263.45)</f>
        <v>263.45</v>
      </c>
      <c r="E594" s="1">
        <f>IFERROR(__xludf.DUMMYFUNCTION("""COMPUTED_VALUE"""),263.8)</f>
        <v>263.8</v>
      </c>
      <c r="F594" s="1">
        <f>IFERROR(__xludf.DUMMYFUNCTION("""COMPUTED_VALUE"""),2.0907812E7)</f>
        <v>20907812</v>
      </c>
    </row>
    <row r="595">
      <c r="A595" s="2">
        <f>IFERROR(__xludf.DUMMYFUNCTION("""COMPUTED_VALUE"""),32261.666666666668)</f>
        <v>32261.66667</v>
      </c>
      <c r="B595" s="1">
        <f>IFERROR(__xludf.DUMMYFUNCTION("""COMPUTED_VALUE"""),263.79)</f>
        <v>263.79</v>
      </c>
      <c r="C595" s="1">
        <f>IFERROR(__xludf.DUMMYFUNCTION("""COMPUTED_VALUE"""),263.8)</f>
        <v>263.8</v>
      </c>
      <c r="D595" s="1">
        <f>IFERROR(__xludf.DUMMYFUNCTION("""COMPUTED_VALUE"""),262.22)</f>
        <v>262.22</v>
      </c>
      <c r="E595" s="1">
        <f>IFERROR(__xludf.DUMMYFUNCTION("""COMPUTED_VALUE"""),262.61)</f>
        <v>262.61</v>
      </c>
      <c r="F595" s="1">
        <f>IFERROR(__xludf.DUMMYFUNCTION("""COMPUTED_VALUE"""),2.010625E7)</f>
        <v>20106250</v>
      </c>
    </row>
    <row r="596">
      <c r="A596" s="2">
        <f>IFERROR(__xludf.DUMMYFUNCTION("""COMPUTED_VALUE"""),32262.666666666668)</f>
        <v>32262.66667</v>
      </c>
      <c r="B596" s="1">
        <f>IFERROR(__xludf.DUMMYFUNCTION("""COMPUTED_VALUE"""),262.59)</f>
        <v>262.59</v>
      </c>
      <c r="C596" s="1">
        <f>IFERROR(__xludf.DUMMYFUNCTION("""COMPUTED_VALUE"""),262.61)</f>
        <v>262.61</v>
      </c>
      <c r="D596" s="1">
        <f>IFERROR(__xludf.DUMMYFUNCTION("""COMPUTED_VALUE"""),259.97)</f>
        <v>259.97</v>
      </c>
      <c r="E596" s="1">
        <f>IFERROR(__xludf.DUMMYFUNCTION("""COMPUTED_VALUE"""),261.33)</f>
        <v>261.33</v>
      </c>
      <c r="F596" s="1">
        <f>IFERROR(__xludf.DUMMYFUNCTION("""COMPUTED_VALUE"""),2.1190624E7)</f>
        <v>21190624</v>
      </c>
    </row>
    <row r="597">
      <c r="A597" s="2">
        <f>IFERROR(__xludf.DUMMYFUNCTION("""COMPUTED_VALUE"""),32265.666666666668)</f>
        <v>32265.66667</v>
      </c>
      <c r="B597" s="1">
        <f>IFERROR(__xludf.DUMMYFUNCTION("""COMPUTED_VALUE"""),261.36)</f>
        <v>261.36</v>
      </c>
      <c r="C597" s="1">
        <f>IFERROR(__xludf.DUMMYFUNCTION("""COMPUTED_VALUE"""),261.56)</f>
        <v>261.56</v>
      </c>
      <c r="D597" s="1">
        <f>IFERROR(__xludf.DUMMYFUNCTION("""COMPUTED_VALUE"""),259.99)</f>
        <v>259.99</v>
      </c>
      <c r="E597" s="1">
        <f>IFERROR(__xludf.DUMMYFUNCTION("""COMPUTED_VALUE"""),261.56)</f>
        <v>261.56</v>
      </c>
      <c r="F597" s="1">
        <f>IFERROR(__xludf.DUMMYFUNCTION("""COMPUTED_VALUE"""),2.1323438E7)</f>
        <v>21323438</v>
      </c>
    </row>
    <row r="598">
      <c r="A598" s="2">
        <f>IFERROR(__xludf.DUMMYFUNCTION("""COMPUTED_VALUE"""),32266.666666666668)</f>
        <v>32266.66667</v>
      </c>
      <c r="B598" s="1">
        <f>IFERROR(__xludf.DUMMYFUNCTION("""COMPUTED_VALUE"""),261.55)</f>
        <v>261.55</v>
      </c>
      <c r="C598" s="1">
        <f>IFERROR(__xludf.DUMMYFUNCTION("""COMPUTED_VALUE"""),263.7)</f>
        <v>263.7</v>
      </c>
      <c r="D598" s="1">
        <f>IFERROR(__xludf.DUMMYFUNCTION("""COMPUTED_VALUE"""),261.55)</f>
        <v>261.55</v>
      </c>
      <c r="E598" s="1">
        <f>IFERROR(__xludf.DUMMYFUNCTION("""COMPUTED_VALUE"""),263.0)</f>
        <v>263</v>
      </c>
      <c r="F598" s="1">
        <f>IFERROR(__xludf.DUMMYFUNCTION("""COMPUTED_VALUE"""),2.764375E7)</f>
        <v>27643750</v>
      </c>
    </row>
    <row r="599">
      <c r="A599" s="2">
        <f>IFERROR(__xludf.DUMMYFUNCTION("""COMPUTED_VALUE"""),32267.666666666668)</f>
        <v>32267.66667</v>
      </c>
      <c r="B599" s="1">
        <f>IFERROR(__xludf.DUMMYFUNCTION("""COMPUTED_VALUE"""),263.05)</f>
        <v>263.05</v>
      </c>
      <c r="C599" s="1">
        <f>IFERROR(__xludf.DUMMYFUNCTION("""COMPUTED_VALUE"""),263.23)</f>
        <v>263.23</v>
      </c>
      <c r="D599" s="1">
        <f>IFERROR(__xludf.DUMMYFUNCTION("""COMPUTED_VALUE"""),260.31)</f>
        <v>260.31</v>
      </c>
      <c r="E599" s="1">
        <f>IFERROR(__xludf.DUMMYFUNCTION("""COMPUTED_VALUE"""),260.32)</f>
        <v>260.32</v>
      </c>
      <c r="F599" s="1">
        <f>IFERROR(__xludf.DUMMYFUNCTION("""COMPUTED_VALUE"""),2.208125E7)</f>
        <v>22081250</v>
      </c>
    </row>
    <row r="600">
      <c r="A600" s="2">
        <f>IFERROR(__xludf.DUMMYFUNCTION("""COMPUTED_VALUE"""),32268.666666666668)</f>
        <v>32268.66667</v>
      </c>
      <c r="B600" s="1">
        <f>IFERROR(__xludf.DUMMYFUNCTION("""COMPUTED_VALUE"""),260.3)</f>
        <v>260.3</v>
      </c>
      <c r="C600" s="1">
        <f>IFERROR(__xludf.DUMMYFUNCTION("""COMPUTED_VALUE"""),260.32)</f>
        <v>260.32</v>
      </c>
      <c r="D600" s="1">
        <f>IFERROR(__xludf.DUMMYFUNCTION("""COMPUTED_VALUE"""),258.13)</f>
        <v>258.13</v>
      </c>
      <c r="E600" s="1">
        <f>IFERROR(__xludf.DUMMYFUNCTION("""COMPUTED_VALUE"""),258.79)</f>
        <v>258.79</v>
      </c>
      <c r="F600" s="1">
        <f>IFERROR(__xludf.DUMMYFUNCTION("""COMPUTED_VALUE"""),2.685E7)</f>
        <v>26850000</v>
      </c>
    </row>
    <row r="601">
      <c r="A601" s="2">
        <f>IFERROR(__xludf.DUMMYFUNCTION("""COMPUTED_VALUE"""),32269.666666666668)</f>
        <v>32269.66667</v>
      </c>
      <c r="B601" s="1">
        <f>IFERROR(__xludf.DUMMYFUNCTION("""COMPUTED_VALUE"""),258.8)</f>
        <v>258.8</v>
      </c>
      <c r="C601" s="1">
        <f>IFERROR(__xludf.DUMMYFUNCTION("""COMPUTED_VALUE"""),260.31)</f>
        <v>260.31</v>
      </c>
      <c r="D601" s="1">
        <f>IFERROR(__xludf.DUMMYFUNCTION("""COMPUTED_VALUE"""),257.03)</f>
        <v>257.03</v>
      </c>
      <c r="E601" s="1">
        <f>IFERROR(__xludf.DUMMYFUNCTION("""COMPUTED_VALUE"""),257.48)</f>
        <v>257.48</v>
      </c>
      <c r="F601" s="1">
        <f>IFERROR(__xludf.DUMMYFUNCTION("""COMPUTED_VALUE"""),2.016875E7)</f>
        <v>20168750</v>
      </c>
    </row>
    <row r="602">
      <c r="A602" s="2">
        <f>IFERROR(__xludf.DUMMYFUNCTION("""COMPUTED_VALUE"""),32272.666666666668)</f>
        <v>32272.66667</v>
      </c>
      <c r="B602" s="1">
        <f>IFERROR(__xludf.DUMMYFUNCTION("""COMPUTED_VALUE"""),257.47)</f>
        <v>257.47</v>
      </c>
      <c r="C602" s="1">
        <f>IFERROR(__xludf.DUMMYFUNCTION("""COMPUTED_VALUE"""),258.22)</f>
        <v>258.22</v>
      </c>
      <c r="D602" s="1">
        <f>IFERROR(__xludf.DUMMYFUNCTION("""COMPUTED_VALUE"""),255.45)</f>
        <v>255.45</v>
      </c>
      <c r="E602" s="1">
        <f>IFERROR(__xludf.DUMMYFUNCTION("""COMPUTED_VALUE"""),256.54)</f>
        <v>256.54</v>
      </c>
      <c r="F602" s="1">
        <f>IFERROR(__xludf.DUMMYFUNCTION("""COMPUTED_VALUE"""),2.59875E7)</f>
        <v>25987500</v>
      </c>
    </row>
    <row r="603">
      <c r="A603" s="2">
        <f>IFERROR(__xludf.DUMMYFUNCTION("""COMPUTED_VALUE"""),32273.666666666668)</f>
        <v>32273.66667</v>
      </c>
      <c r="B603" s="1">
        <f>IFERROR(__xludf.DUMMYFUNCTION("""COMPUTED_VALUE"""),256.53)</f>
        <v>256.53</v>
      </c>
      <c r="C603" s="1">
        <f>IFERROR(__xludf.DUMMYFUNCTION("""COMPUTED_VALUE"""),258.3)</f>
        <v>258.3</v>
      </c>
      <c r="D603" s="1">
        <f>IFERROR(__xludf.DUMMYFUNCTION("""COMPUTED_VALUE"""),255.93)</f>
        <v>255.93</v>
      </c>
      <c r="E603" s="1">
        <f>IFERROR(__xludf.DUMMYFUNCTION("""COMPUTED_VALUE"""),257.62)</f>
        <v>257.62</v>
      </c>
      <c r="F603" s="1">
        <f>IFERROR(__xludf.DUMMYFUNCTION("""COMPUTED_VALUE"""),2.05E7)</f>
        <v>20500000</v>
      </c>
    </row>
    <row r="604">
      <c r="A604" s="2">
        <f>IFERROR(__xludf.DUMMYFUNCTION("""COMPUTED_VALUE"""),32274.666666666668)</f>
        <v>32274.66667</v>
      </c>
      <c r="B604" s="1">
        <f>IFERROR(__xludf.DUMMYFUNCTION("""COMPUTED_VALUE"""),257.6)</f>
        <v>257.6</v>
      </c>
      <c r="C604" s="1">
        <f>IFERROR(__xludf.DUMMYFUNCTION("""COMPUTED_VALUE"""),257.62)</f>
        <v>257.62</v>
      </c>
      <c r="D604" s="1">
        <f>IFERROR(__xludf.DUMMYFUNCTION("""COMPUTED_VALUE"""),252.32)</f>
        <v>252.32</v>
      </c>
      <c r="E604" s="1">
        <f>IFERROR(__xludf.DUMMYFUNCTION("""COMPUTED_VALUE"""),253.31)</f>
        <v>253.31</v>
      </c>
      <c r="F604" s="1">
        <f>IFERROR(__xludf.DUMMYFUNCTION("""COMPUTED_VALUE"""),2.76125E7)</f>
        <v>27612500</v>
      </c>
    </row>
    <row r="605">
      <c r="A605" s="2">
        <f>IFERROR(__xludf.DUMMYFUNCTION("""COMPUTED_VALUE"""),32275.666666666668)</f>
        <v>32275.66667</v>
      </c>
      <c r="B605" s="1">
        <f>IFERROR(__xludf.DUMMYFUNCTION("""COMPUTED_VALUE"""),253.32)</f>
        <v>253.32</v>
      </c>
      <c r="C605" s="1">
        <f>IFERROR(__xludf.DUMMYFUNCTION("""COMPUTED_VALUE"""),254.87)</f>
        <v>254.87</v>
      </c>
      <c r="D605" s="1">
        <f>IFERROR(__xludf.DUMMYFUNCTION("""COMPUTED_VALUE"""),253.31)</f>
        <v>253.31</v>
      </c>
      <c r="E605" s="1">
        <f>IFERROR(__xludf.DUMMYFUNCTION("""COMPUTED_VALUE"""),253.85)</f>
        <v>253.85</v>
      </c>
      <c r="F605" s="1">
        <f>IFERROR(__xludf.DUMMYFUNCTION("""COMPUTED_VALUE"""),2.248125E7)</f>
        <v>22481250</v>
      </c>
    </row>
    <row r="606">
      <c r="A606" s="2">
        <f>IFERROR(__xludf.DUMMYFUNCTION("""COMPUTED_VALUE"""),32276.666666666668)</f>
        <v>32276.66667</v>
      </c>
      <c r="B606" s="1">
        <f>IFERROR(__xludf.DUMMYFUNCTION("""COMPUTED_VALUE"""),253.88)</f>
        <v>253.88</v>
      </c>
      <c r="C606" s="1">
        <f>IFERROR(__xludf.DUMMYFUNCTION("""COMPUTED_VALUE"""),256.83)</f>
        <v>256.83</v>
      </c>
      <c r="D606" s="1">
        <f>IFERROR(__xludf.DUMMYFUNCTION("""COMPUTED_VALUE"""),253.85)</f>
        <v>253.85</v>
      </c>
      <c r="E606" s="1">
        <f>IFERROR(__xludf.DUMMYFUNCTION("""COMPUTED_VALUE"""),256.78)</f>
        <v>256.78</v>
      </c>
      <c r="F606" s="1">
        <f>IFERROR(__xludf.DUMMYFUNCTION("""COMPUTED_VALUE"""),2.300625E7)</f>
        <v>23006250</v>
      </c>
    </row>
    <row r="607">
      <c r="A607" s="2">
        <f>IFERROR(__xludf.DUMMYFUNCTION("""COMPUTED_VALUE"""),32279.666666666668)</f>
        <v>32279.66667</v>
      </c>
      <c r="B607" s="1">
        <f>IFERROR(__xludf.DUMMYFUNCTION("""COMPUTED_VALUE"""),256.75)</f>
        <v>256.75</v>
      </c>
      <c r="C607" s="1">
        <f>IFERROR(__xludf.DUMMYFUNCTION("""COMPUTED_VALUE"""),258.71)</f>
        <v>258.71</v>
      </c>
      <c r="D607" s="1">
        <f>IFERROR(__xludf.DUMMYFUNCTION("""COMPUTED_VALUE"""),256.28)</f>
        <v>256.28</v>
      </c>
      <c r="E607" s="1">
        <f>IFERROR(__xludf.DUMMYFUNCTION("""COMPUTED_VALUE"""),258.71)</f>
        <v>258.71</v>
      </c>
      <c r="F607" s="1">
        <f>IFERROR(__xludf.DUMMYFUNCTION("""COMPUTED_VALUE"""),2.4220312E7)</f>
        <v>24220312</v>
      </c>
    </row>
    <row r="608">
      <c r="A608" s="2">
        <f>IFERROR(__xludf.DUMMYFUNCTION("""COMPUTED_VALUE"""),32280.666666666668)</f>
        <v>32280.66667</v>
      </c>
      <c r="B608" s="1">
        <f>IFERROR(__xludf.DUMMYFUNCTION("""COMPUTED_VALUE"""),258.72)</f>
        <v>258.72</v>
      </c>
      <c r="C608" s="1">
        <f>IFERROR(__xludf.DUMMYFUNCTION("""COMPUTED_VALUE"""),260.2)</f>
        <v>260.2</v>
      </c>
      <c r="D608" s="1">
        <f>IFERROR(__xludf.DUMMYFUNCTION("""COMPUTED_VALUE"""),255.35)</f>
        <v>255.35</v>
      </c>
      <c r="E608" s="1">
        <f>IFERROR(__xludf.DUMMYFUNCTION("""COMPUTED_VALUE"""),255.39)</f>
        <v>255.39</v>
      </c>
      <c r="F608" s="1">
        <f>IFERROR(__xludf.DUMMYFUNCTION("""COMPUTED_VALUE"""),2.0914062E7)</f>
        <v>20914062</v>
      </c>
    </row>
    <row r="609">
      <c r="A609" s="2">
        <f>IFERROR(__xludf.DUMMYFUNCTION("""COMPUTED_VALUE"""),32281.666666666668)</f>
        <v>32281.66667</v>
      </c>
      <c r="B609" s="1">
        <f>IFERROR(__xludf.DUMMYFUNCTION("""COMPUTED_VALUE"""),255.4)</f>
        <v>255.4</v>
      </c>
      <c r="C609" s="1">
        <f>IFERROR(__xludf.DUMMYFUNCTION("""COMPUTED_VALUE"""),255.67)</f>
        <v>255.67</v>
      </c>
      <c r="D609" s="1">
        <f>IFERROR(__xludf.DUMMYFUNCTION("""COMPUTED_VALUE"""),250.73)</f>
        <v>250.73</v>
      </c>
      <c r="E609" s="1">
        <f>IFERROR(__xludf.DUMMYFUNCTION("""COMPUTED_VALUE"""),251.35)</f>
        <v>251.35</v>
      </c>
      <c r="F609" s="1">
        <f>IFERROR(__xludf.DUMMYFUNCTION("""COMPUTED_VALUE"""),3.2721876E7)</f>
        <v>32721876</v>
      </c>
    </row>
    <row r="610">
      <c r="A610" s="2">
        <f>IFERROR(__xludf.DUMMYFUNCTION("""COMPUTED_VALUE"""),32282.666666666668)</f>
        <v>32282.66667</v>
      </c>
      <c r="B610" s="1">
        <f>IFERROR(__xludf.DUMMYFUNCTION("""COMPUTED_VALUE"""),251.36)</f>
        <v>251.36</v>
      </c>
      <c r="C610" s="1">
        <f>IFERROR(__xludf.DUMMYFUNCTION("""COMPUTED_VALUE"""),252.57)</f>
        <v>252.57</v>
      </c>
      <c r="D610" s="1">
        <f>IFERROR(__xludf.DUMMYFUNCTION("""COMPUTED_VALUE"""),248.85)</f>
        <v>248.85</v>
      </c>
      <c r="E610" s="1">
        <f>IFERROR(__xludf.DUMMYFUNCTION("""COMPUTED_VALUE"""),252.57)</f>
        <v>252.57</v>
      </c>
      <c r="F610" s="1">
        <f>IFERROR(__xludf.DUMMYFUNCTION("""COMPUTED_VALUE"""),2.580625E7)</f>
        <v>25806250</v>
      </c>
    </row>
    <row r="611">
      <c r="A611" s="2">
        <f>IFERROR(__xludf.DUMMYFUNCTION("""COMPUTED_VALUE"""),32283.666666666668)</f>
        <v>32283.66667</v>
      </c>
      <c r="B611" s="1">
        <f>IFERROR(__xludf.DUMMYFUNCTION("""COMPUTED_VALUE"""),252.61)</f>
        <v>252.61</v>
      </c>
      <c r="C611" s="1">
        <f>IFERROR(__xludf.DUMMYFUNCTION("""COMPUTED_VALUE"""),253.7)</f>
        <v>253.7</v>
      </c>
      <c r="D611" s="1">
        <f>IFERROR(__xludf.DUMMYFUNCTION("""COMPUTED_VALUE"""),251.79)</f>
        <v>251.79</v>
      </c>
      <c r="E611" s="1">
        <f>IFERROR(__xludf.DUMMYFUNCTION("""COMPUTED_VALUE"""),253.02)</f>
        <v>253.02</v>
      </c>
      <c r="F611" s="1">
        <f>IFERROR(__xludf.DUMMYFUNCTION("""COMPUTED_VALUE"""),1.884375E7)</f>
        <v>18843750</v>
      </c>
    </row>
    <row r="612">
      <c r="A612" s="2">
        <f>IFERROR(__xludf.DUMMYFUNCTION("""COMPUTED_VALUE"""),32286.666666666668)</f>
        <v>32286.66667</v>
      </c>
      <c r="B612" s="1">
        <f>IFERROR(__xludf.DUMMYFUNCTION("""COMPUTED_VALUE"""),253.0)</f>
        <v>253</v>
      </c>
      <c r="C612" s="1">
        <f>IFERROR(__xludf.DUMMYFUNCTION("""COMPUTED_VALUE"""),253.02)</f>
        <v>253.02</v>
      </c>
      <c r="D612" s="1">
        <f>IFERROR(__xludf.DUMMYFUNCTION("""COMPUTED_VALUE"""),249.82)</f>
        <v>249.82</v>
      </c>
      <c r="E612" s="1">
        <f>IFERROR(__xludf.DUMMYFUNCTION("""COMPUTED_VALUE"""),250.83)</f>
        <v>250.83</v>
      </c>
      <c r="F612" s="1">
        <f>IFERROR(__xludf.DUMMYFUNCTION("""COMPUTED_VALUE"""),1.60375E7)</f>
        <v>16037500</v>
      </c>
    </row>
    <row r="613">
      <c r="A613" s="2">
        <f>IFERROR(__xludf.DUMMYFUNCTION("""COMPUTED_VALUE"""),32287.666666666668)</f>
        <v>32287.66667</v>
      </c>
      <c r="B613" s="1">
        <f>IFERROR(__xludf.DUMMYFUNCTION("""COMPUTED_VALUE"""),250.84)</f>
        <v>250.84</v>
      </c>
      <c r="C613" s="1">
        <f>IFERROR(__xludf.DUMMYFUNCTION("""COMPUTED_VALUE"""),253.51)</f>
        <v>253.51</v>
      </c>
      <c r="D613" s="1">
        <f>IFERROR(__xludf.DUMMYFUNCTION("""COMPUTED_VALUE"""),250.83)</f>
        <v>250.83</v>
      </c>
      <c r="E613" s="1">
        <f>IFERROR(__xludf.DUMMYFUNCTION("""COMPUTED_VALUE"""),253.51)</f>
        <v>253.51</v>
      </c>
      <c r="F613" s="1">
        <f>IFERROR(__xludf.DUMMYFUNCTION("""COMPUTED_VALUE"""),2.1864062E7)</f>
        <v>21864062</v>
      </c>
    </row>
    <row r="614">
      <c r="A614" s="2">
        <f>IFERROR(__xludf.DUMMYFUNCTION("""COMPUTED_VALUE"""),32288.666666666668)</f>
        <v>32288.66667</v>
      </c>
      <c r="B614" s="1">
        <f>IFERROR(__xludf.DUMMYFUNCTION("""COMPUTED_VALUE"""),253.52)</f>
        <v>253.52</v>
      </c>
      <c r="C614" s="1">
        <f>IFERROR(__xludf.DUMMYFUNCTION("""COMPUTED_VALUE"""),255.34)</f>
        <v>255.34</v>
      </c>
      <c r="D614" s="1">
        <f>IFERROR(__xludf.DUMMYFUNCTION("""COMPUTED_VALUE"""),253.51)</f>
        <v>253.51</v>
      </c>
      <c r="E614" s="1">
        <f>IFERROR(__xludf.DUMMYFUNCTION("""COMPUTED_VALUE"""),253.76)</f>
        <v>253.76</v>
      </c>
      <c r="F614" s="1">
        <f>IFERROR(__xludf.DUMMYFUNCTION("""COMPUTED_VALUE"""),2.1610938E7)</f>
        <v>21610938</v>
      </c>
    </row>
    <row r="615">
      <c r="A615" s="2">
        <f>IFERROR(__xludf.DUMMYFUNCTION("""COMPUTED_VALUE"""),32289.666666666668)</f>
        <v>32289.66667</v>
      </c>
      <c r="B615" s="1">
        <f>IFERROR(__xludf.DUMMYFUNCTION("""COMPUTED_VALUE"""),253.75)</f>
        <v>253.75</v>
      </c>
      <c r="C615" s="1">
        <f>IFERROR(__xludf.DUMMYFUNCTION("""COMPUTED_VALUE"""),254.98)</f>
        <v>254.98</v>
      </c>
      <c r="D615" s="1">
        <f>IFERROR(__xludf.DUMMYFUNCTION("""COMPUTED_VALUE"""),253.52)</f>
        <v>253.52</v>
      </c>
      <c r="E615" s="1">
        <f>IFERROR(__xludf.DUMMYFUNCTION("""COMPUTED_VALUE"""),254.63)</f>
        <v>254.63</v>
      </c>
      <c r="F615" s="1">
        <f>IFERROR(__xludf.DUMMYFUNCTION("""COMPUTED_VALUE"""),2.5665624E7)</f>
        <v>25665624</v>
      </c>
    </row>
    <row r="616">
      <c r="A616" s="2">
        <f>IFERROR(__xludf.DUMMYFUNCTION("""COMPUTED_VALUE"""),32290.666666666668)</f>
        <v>32290.66667</v>
      </c>
      <c r="B616" s="1">
        <f>IFERROR(__xludf.DUMMYFUNCTION("""COMPUTED_VALUE"""),254.62)</f>
        <v>254.62</v>
      </c>
      <c r="C616" s="1">
        <f>IFERROR(__xludf.DUMMYFUNCTION("""COMPUTED_VALUE"""),254.63)</f>
        <v>254.63</v>
      </c>
      <c r="D616" s="1">
        <f>IFERROR(__xludf.DUMMYFUNCTION("""COMPUTED_VALUE"""),252.74)</f>
        <v>252.74</v>
      </c>
      <c r="E616" s="1">
        <f>IFERROR(__xludf.DUMMYFUNCTION("""COMPUTED_VALUE"""),253.42)</f>
        <v>253.42</v>
      </c>
      <c r="F616" s="1">
        <f>IFERROR(__xludf.DUMMYFUNCTION("""COMPUTED_VALUE"""),2.0873438E7)</f>
        <v>20873438</v>
      </c>
    </row>
    <row r="617">
      <c r="A617" s="2">
        <f>IFERROR(__xludf.DUMMYFUNCTION("""COMPUTED_VALUE"""),32294.666666666668)</f>
        <v>32294.66667</v>
      </c>
      <c r="B617" s="1">
        <f>IFERROR(__xludf.DUMMYFUNCTION("""COMPUTED_VALUE"""),253.44)</f>
        <v>253.44</v>
      </c>
      <c r="C617" s="1">
        <f>IFERROR(__xludf.DUMMYFUNCTION("""COMPUTED_VALUE"""),262.16)</f>
        <v>262.16</v>
      </c>
      <c r="D617" s="1">
        <f>IFERROR(__xludf.DUMMYFUNCTION("""COMPUTED_VALUE"""),253.42)</f>
        <v>253.42</v>
      </c>
      <c r="E617" s="1">
        <f>IFERROR(__xludf.DUMMYFUNCTION("""COMPUTED_VALUE"""),262.16)</f>
        <v>262.16</v>
      </c>
      <c r="F617" s="1">
        <f>IFERROR(__xludf.DUMMYFUNCTION("""COMPUTED_VALUE"""),3.8689064E7)</f>
        <v>38689064</v>
      </c>
    </row>
    <row r="618">
      <c r="A618" s="2">
        <f>IFERROR(__xludf.DUMMYFUNCTION("""COMPUTED_VALUE"""),32295.666666666668)</f>
        <v>32295.66667</v>
      </c>
      <c r="B618" s="1">
        <f>IFERROR(__xludf.DUMMYFUNCTION("""COMPUTED_VALUE"""),262.16)</f>
        <v>262.16</v>
      </c>
      <c r="C618" s="1">
        <f>IFERROR(__xludf.DUMMYFUNCTION("""COMPUTED_VALUE"""),267.43)</f>
        <v>267.43</v>
      </c>
      <c r="D618" s="1">
        <f>IFERROR(__xludf.DUMMYFUNCTION("""COMPUTED_VALUE"""),262.1)</f>
        <v>262.1</v>
      </c>
      <c r="E618" s="1">
        <f>IFERROR(__xludf.DUMMYFUNCTION("""COMPUTED_VALUE"""),266.69)</f>
        <v>266.69</v>
      </c>
      <c r="F618" s="1">
        <f>IFERROR(__xludf.DUMMYFUNCTION("""COMPUTED_VALUE"""),3.665E7)</f>
        <v>36650000</v>
      </c>
    </row>
    <row r="619">
      <c r="A619" s="2">
        <f>IFERROR(__xludf.DUMMYFUNCTION("""COMPUTED_VALUE"""),32296.666666666668)</f>
        <v>32296.66667</v>
      </c>
      <c r="B619" s="1">
        <f>IFERROR(__xludf.DUMMYFUNCTION("""COMPUTED_VALUE"""),266.65)</f>
        <v>266.65</v>
      </c>
      <c r="C619" s="1">
        <f>IFERROR(__xludf.DUMMYFUNCTION("""COMPUTED_VALUE"""),266.71)</f>
        <v>266.71</v>
      </c>
      <c r="D619" s="1">
        <f>IFERROR(__xludf.DUMMYFUNCTION("""COMPUTED_VALUE"""),264.12)</f>
        <v>264.12</v>
      </c>
      <c r="E619" s="1">
        <f>IFERROR(__xludf.DUMMYFUNCTION("""COMPUTED_VALUE"""),265.33)</f>
        <v>265.33</v>
      </c>
      <c r="F619" s="1">
        <f>IFERROR(__xludf.DUMMYFUNCTION("""COMPUTED_VALUE"""),3.0240624E7)</f>
        <v>30240624</v>
      </c>
    </row>
    <row r="620">
      <c r="A620" s="2">
        <f>IFERROR(__xludf.DUMMYFUNCTION("""COMPUTED_VALUE"""),32297.666666666668)</f>
        <v>32297.66667</v>
      </c>
      <c r="B620" s="1">
        <f>IFERROR(__xludf.DUMMYFUNCTION("""COMPUTED_VALUE"""),265.34)</f>
        <v>265.34</v>
      </c>
      <c r="C620" s="1">
        <f>IFERROR(__xludf.DUMMYFUNCTION("""COMPUTED_VALUE"""),267.11)</f>
        <v>267.11</v>
      </c>
      <c r="D620" s="1">
        <f>IFERROR(__xludf.DUMMYFUNCTION("""COMPUTED_VALUE"""),264.42)</f>
        <v>264.42</v>
      </c>
      <c r="E620" s="1">
        <f>IFERROR(__xludf.DUMMYFUNCTION("""COMPUTED_VALUE"""),266.45)</f>
        <v>266.45</v>
      </c>
      <c r="F620" s="1">
        <f>IFERROR(__xludf.DUMMYFUNCTION("""COMPUTED_VALUE"""),2.9625E7)</f>
        <v>29625000</v>
      </c>
    </row>
    <row r="621">
      <c r="A621" s="2">
        <f>IFERROR(__xludf.DUMMYFUNCTION("""COMPUTED_VALUE"""),32300.666666666668)</f>
        <v>32300.66667</v>
      </c>
      <c r="B621" s="1">
        <f>IFERROR(__xludf.DUMMYFUNCTION("""COMPUTED_VALUE"""),266.46)</f>
        <v>266.46</v>
      </c>
      <c r="C621" s="1">
        <f>IFERROR(__xludf.DUMMYFUNCTION("""COMPUTED_VALUE"""),267.05)</f>
        <v>267.05</v>
      </c>
      <c r="D621" s="1">
        <f>IFERROR(__xludf.DUMMYFUNCTION("""COMPUTED_VALUE"""),264.97)</f>
        <v>264.97</v>
      </c>
      <c r="E621" s="1">
        <f>IFERROR(__xludf.DUMMYFUNCTION("""COMPUTED_VALUE"""),267.05)</f>
        <v>267.05</v>
      </c>
      <c r="F621" s="1">
        <f>IFERROR(__xludf.DUMMYFUNCTION("""COMPUTED_VALUE"""),2.3821876E7)</f>
        <v>23821876</v>
      </c>
    </row>
    <row r="622">
      <c r="A622" s="2">
        <f>IFERROR(__xludf.DUMMYFUNCTION("""COMPUTED_VALUE"""),32301.666666666668)</f>
        <v>32301.66667</v>
      </c>
      <c r="B622" s="1">
        <f>IFERROR(__xludf.DUMMYFUNCTION("""COMPUTED_VALUE"""),267.02)</f>
        <v>267.02</v>
      </c>
      <c r="C622" s="1">
        <f>IFERROR(__xludf.DUMMYFUNCTION("""COMPUTED_VALUE"""),267.28)</f>
        <v>267.28</v>
      </c>
      <c r="D622" s="1">
        <f>IFERROR(__xludf.DUMMYFUNCTION("""COMPUTED_VALUE"""),264.5)</f>
        <v>264.5</v>
      </c>
      <c r="E622" s="1">
        <f>IFERROR(__xludf.DUMMYFUNCTION("""COMPUTED_VALUE"""),265.17)</f>
        <v>265.17</v>
      </c>
      <c r="F622" s="1">
        <f>IFERROR(__xludf.DUMMYFUNCTION("""COMPUTED_VALUE"""),2.6360938E7)</f>
        <v>26360938</v>
      </c>
    </row>
    <row r="623">
      <c r="A623" s="2">
        <f>IFERROR(__xludf.DUMMYFUNCTION("""COMPUTED_VALUE"""),32302.666666666668)</f>
        <v>32302.66667</v>
      </c>
      <c r="B623" s="1">
        <f>IFERROR(__xludf.DUMMYFUNCTION("""COMPUTED_VALUE"""),265.32)</f>
        <v>265.32</v>
      </c>
      <c r="C623" s="1">
        <f>IFERROR(__xludf.DUMMYFUNCTION("""COMPUTED_VALUE"""),272.01)</f>
        <v>272.01</v>
      </c>
      <c r="D623" s="1">
        <f>IFERROR(__xludf.DUMMYFUNCTION("""COMPUTED_VALUE"""),265.17)</f>
        <v>265.17</v>
      </c>
      <c r="E623" s="1">
        <f>IFERROR(__xludf.DUMMYFUNCTION("""COMPUTED_VALUE"""),271.52)</f>
        <v>271.52</v>
      </c>
      <c r="F623" s="1">
        <f>IFERROR(__xludf.DUMMYFUNCTION("""COMPUTED_VALUE"""),4.8442188E7)</f>
        <v>48442188</v>
      </c>
    </row>
    <row r="624">
      <c r="A624" s="2">
        <f>IFERROR(__xludf.DUMMYFUNCTION("""COMPUTED_VALUE"""),32303.666666666668)</f>
        <v>32303.66667</v>
      </c>
      <c r="B624" s="1">
        <f>IFERROR(__xludf.DUMMYFUNCTION("""COMPUTED_VALUE"""),271.5)</f>
        <v>271.5</v>
      </c>
      <c r="C624" s="1">
        <f>IFERROR(__xludf.DUMMYFUNCTION("""COMPUTED_VALUE"""),272.29)</f>
        <v>272.29</v>
      </c>
      <c r="D624" s="1">
        <f>IFERROR(__xludf.DUMMYFUNCTION("""COMPUTED_VALUE"""),270.19)</f>
        <v>270.19</v>
      </c>
      <c r="E624" s="1">
        <f>IFERROR(__xludf.DUMMYFUNCTION("""COMPUTED_VALUE"""),270.2)</f>
        <v>270.2</v>
      </c>
      <c r="F624" s="1">
        <f>IFERROR(__xludf.DUMMYFUNCTION("""COMPUTED_VALUE"""),3.6743752E7)</f>
        <v>36743752</v>
      </c>
    </row>
    <row r="625">
      <c r="A625" s="2">
        <f>IFERROR(__xludf.DUMMYFUNCTION("""COMPUTED_VALUE"""),32304.666666666668)</f>
        <v>32304.66667</v>
      </c>
      <c r="B625" s="1">
        <f>IFERROR(__xludf.DUMMYFUNCTION("""COMPUTED_VALUE"""),270.22)</f>
        <v>270.22</v>
      </c>
      <c r="C625" s="1">
        <f>IFERROR(__xludf.DUMMYFUNCTION("""COMPUTED_VALUE"""),273.21)</f>
        <v>273.21</v>
      </c>
      <c r="D625" s="1">
        <f>IFERROR(__xludf.DUMMYFUNCTION("""COMPUTED_VALUE"""),270.2)</f>
        <v>270.2</v>
      </c>
      <c r="E625" s="1">
        <f>IFERROR(__xludf.DUMMYFUNCTION("""COMPUTED_VALUE"""),271.26)</f>
        <v>271.26</v>
      </c>
      <c r="F625" s="1">
        <f>IFERROR(__xludf.DUMMYFUNCTION("""COMPUTED_VALUE"""),2.4329688E7)</f>
        <v>24329688</v>
      </c>
    </row>
    <row r="626">
      <c r="A626" s="2">
        <f>IFERROR(__xludf.DUMMYFUNCTION("""COMPUTED_VALUE"""),32307.666666666668)</f>
        <v>32307.66667</v>
      </c>
      <c r="B626" s="1">
        <f>IFERROR(__xludf.DUMMYFUNCTION("""COMPUTED_VALUE"""),271.28)</f>
        <v>271.28</v>
      </c>
      <c r="C626" s="1">
        <f>IFERROR(__xludf.DUMMYFUNCTION("""COMPUTED_VALUE"""),271.94)</f>
        <v>271.94</v>
      </c>
      <c r="D626" s="1">
        <f>IFERROR(__xludf.DUMMYFUNCTION("""COMPUTED_VALUE"""),270.53)</f>
        <v>270.53</v>
      </c>
      <c r="E626" s="1">
        <f>IFERROR(__xludf.DUMMYFUNCTION("""COMPUTED_VALUE"""),271.43)</f>
        <v>271.43</v>
      </c>
      <c r="F626" s="1">
        <f>IFERROR(__xludf.DUMMYFUNCTION("""COMPUTED_VALUE"""),1.9579688E7)</f>
        <v>19579688</v>
      </c>
    </row>
    <row r="627">
      <c r="A627" s="2">
        <f>IFERROR(__xludf.DUMMYFUNCTION("""COMPUTED_VALUE"""),32308.666666666668)</f>
        <v>32308.66667</v>
      </c>
      <c r="B627" s="1">
        <f>IFERROR(__xludf.DUMMYFUNCTION("""COMPUTED_VALUE"""),271.58)</f>
        <v>271.58</v>
      </c>
      <c r="C627" s="1">
        <f>IFERROR(__xludf.DUMMYFUNCTION("""COMPUTED_VALUE"""),276.14)</f>
        <v>276.14</v>
      </c>
      <c r="D627" s="1">
        <f>IFERROR(__xludf.DUMMYFUNCTION("""COMPUTED_VALUE"""),271.44)</f>
        <v>271.44</v>
      </c>
      <c r="E627" s="1">
        <f>IFERROR(__xludf.DUMMYFUNCTION("""COMPUTED_VALUE"""),274.3)</f>
        <v>274.3</v>
      </c>
      <c r="F627" s="1">
        <f>IFERROR(__xludf.DUMMYFUNCTION("""COMPUTED_VALUE"""),3.5492188E7)</f>
        <v>35492188</v>
      </c>
    </row>
    <row r="628">
      <c r="A628" s="2">
        <f>IFERROR(__xludf.DUMMYFUNCTION("""COMPUTED_VALUE"""),32309.666666666668)</f>
        <v>32309.66667</v>
      </c>
      <c r="B628" s="1">
        <f>IFERROR(__xludf.DUMMYFUNCTION("""COMPUTED_VALUE"""),274.29)</f>
        <v>274.29</v>
      </c>
      <c r="C628" s="1">
        <f>IFERROR(__xludf.DUMMYFUNCTION("""COMPUTED_VALUE"""),274.45)</f>
        <v>274.45</v>
      </c>
      <c r="D628" s="1">
        <f>IFERROR(__xludf.DUMMYFUNCTION("""COMPUTED_VALUE"""),272.75)</f>
        <v>272.75</v>
      </c>
      <c r="E628" s="1">
        <f>IFERROR(__xludf.DUMMYFUNCTION("""COMPUTED_VALUE"""),274.45)</f>
        <v>274.45</v>
      </c>
      <c r="F628" s="1">
        <f>IFERROR(__xludf.DUMMYFUNCTION("""COMPUTED_VALUE"""),2.3478124E7)</f>
        <v>23478124</v>
      </c>
    </row>
    <row r="629">
      <c r="A629" s="2">
        <f>IFERROR(__xludf.DUMMYFUNCTION("""COMPUTED_VALUE"""),32310.666666666668)</f>
        <v>32310.66667</v>
      </c>
      <c r="B629" s="1">
        <f>IFERROR(__xludf.DUMMYFUNCTION("""COMPUTED_VALUE"""),274.44)</f>
        <v>274.44</v>
      </c>
      <c r="C629" s="1">
        <f>IFERROR(__xludf.DUMMYFUNCTION("""COMPUTED_VALUE"""),274.45)</f>
        <v>274.45</v>
      </c>
      <c r="D629" s="1">
        <f>IFERROR(__xludf.DUMMYFUNCTION("""COMPUTED_VALUE"""),268.76)</f>
        <v>268.76</v>
      </c>
      <c r="E629" s="1">
        <f>IFERROR(__xludf.DUMMYFUNCTION("""COMPUTED_VALUE"""),269.77)</f>
        <v>269.77</v>
      </c>
      <c r="F629" s="1">
        <f>IFERROR(__xludf.DUMMYFUNCTION("""COMPUTED_VALUE"""),2.5242188E7)</f>
        <v>25242188</v>
      </c>
    </row>
    <row r="630">
      <c r="A630" s="2">
        <f>IFERROR(__xludf.DUMMYFUNCTION("""COMPUTED_VALUE"""),32311.666666666668)</f>
        <v>32311.66667</v>
      </c>
      <c r="B630" s="1">
        <f>IFERROR(__xludf.DUMMYFUNCTION("""COMPUTED_VALUE"""),269.79)</f>
        <v>269.79</v>
      </c>
      <c r="C630" s="1">
        <f>IFERROR(__xludf.DUMMYFUNCTION("""COMPUTED_VALUE"""),270.77)</f>
        <v>270.77</v>
      </c>
      <c r="D630" s="1">
        <f>IFERROR(__xludf.DUMMYFUNCTION("""COMPUTED_VALUE"""),268.09)</f>
        <v>268.09</v>
      </c>
      <c r="E630" s="1">
        <f>IFERROR(__xludf.DUMMYFUNCTION("""COMPUTED_VALUE"""),270.68)</f>
        <v>270.68</v>
      </c>
      <c r="F630" s="1">
        <f>IFERROR(__xludf.DUMMYFUNCTION("""COMPUTED_VALUE"""),5.37375E7)</f>
        <v>53737500</v>
      </c>
    </row>
    <row r="631">
      <c r="A631" s="2">
        <f>IFERROR(__xludf.DUMMYFUNCTION("""COMPUTED_VALUE"""),32314.666666666668)</f>
        <v>32314.66667</v>
      </c>
      <c r="B631" s="1">
        <f>IFERROR(__xludf.DUMMYFUNCTION("""COMPUTED_VALUE"""),270.67)</f>
        <v>270.67</v>
      </c>
      <c r="C631" s="1">
        <f>IFERROR(__xludf.DUMMYFUNCTION("""COMPUTED_VALUE"""),270.68)</f>
        <v>270.68</v>
      </c>
      <c r="D631" s="1">
        <f>IFERROR(__xludf.DUMMYFUNCTION("""COMPUTED_VALUE"""),268.59)</f>
        <v>268.59</v>
      </c>
      <c r="E631" s="1">
        <f>IFERROR(__xludf.DUMMYFUNCTION("""COMPUTED_VALUE"""),268.94)</f>
        <v>268.94</v>
      </c>
      <c r="F631" s="1">
        <f>IFERROR(__xludf.DUMMYFUNCTION("""COMPUTED_VALUE"""),1.8242188E7)</f>
        <v>18242188</v>
      </c>
    </row>
    <row r="632">
      <c r="A632" s="2">
        <f>IFERROR(__xludf.DUMMYFUNCTION("""COMPUTED_VALUE"""),32315.666666666668)</f>
        <v>32315.66667</v>
      </c>
      <c r="B632" s="1">
        <f>IFERROR(__xludf.DUMMYFUNCTION("""COMPUTED_VALUE"""),268.95)</f>
        <v>268.95</v>
      </c>
      <c r="C632" s="1">
        <f>IFERROR(__xludf.DUMMYFUNCTION("""COMPUTED_VALUE"""),271.67)</f>
        <v>271.67</v>
      </c>
      <c r="D632" s="1">
        <f>IFERROR(__xludf.DUMMYFUNCTION("""COMPUTED_VALUE"""),267.52)</f>
        <v>267.52</v>
      </c>
      <c r="E632" s="1">
        <f>IFERROR(__xludf.DUMMYFUNCTION("""COMPUTED_VALUE"""),271.67)</f>
        <v>271.67</v>
      </c>
      <c r="F632" s="1">
        <f>IFERROR(__xludf.DUMMYFUNCTION("""COMPUTED_VALUE"""),2.4228124E7)</f>
        <v>24228124</v>
      </c>
    </row>
    <row r="633">
      <c r="A633" s="2">
        <f>IFERROR(__xludf.DUMMYFUNCTION("""COMPUTED_VALUE"""),32316.666666666668)</f>
        <v>32316.66667</v>
      </c>
      <c r="B633" s="1">
        <f>IFERROR(__xludf.DUMMYFUNCTION("""COMPUTED_VALUE"""),271.69)</f>
        <v>271.69</v>
      </c>
      <c r="C633" s="1">
        <f>IFERROR(__xludf.DUMMYFUNCTION("""COMPUTED_VALUE"""),276.88)</f>
        <v>276.88</v>
      </c>
      <c r="D633" s="1">
        <f>IFERROR(__xludf.DUMMYFUNCTION("""COMPUTED_VALUE"""),271.67)</f>
        <v>271.67</v>
      </c>
      <c r="E633" s="1">
        <f>IFERROR(__xludf.DUMMYFUNCTION("""COMPUTED_VALUE"""),275.66)</f>
        <v>275.66</v>
      </c>
      <c r="F633" s="1">
        <f>IFERROR(__xludf.DUMMYFUNCTION("""COMPUTED_VALUE"""),3.3985936E7)</f>
        <v>33985936</v>
      </c>
    </row>
    <row r="634">
      <c r="A634" s="2">
        <f>IFERROR(__xludf.DUMMYFUNCTION("""COMPUTED_VALUE"""),32317.666666666668)</f>
        <v>32317.66667</v>
      </c>
      <c r="B634" s="1">
        <f>IFERROR(__xludf.DUMMYFUNCTION("""COMPUTED_VALUE"""),275.62)</f>
        <v>275.62</v>
      </c>
      <c r="C634" s="1">
        <f>IFERROR(__xludf.DUMMYFUNCTION("""COMPUTED_VALUE"""),275.89)</f>
        <v>275.89</v>
      </c>
      <c r="D634" s="1">
        <f>IFERROR(__xludf.DUMMYFUNCTION("""COMPUTED_VALUE"""),274.26)</f>
        <v>274.26</v>
      </c>
      <c r="E634" s="1">
        <f>IFERROR(__xludf.DUMMYFUNCTION("""COMPUTED_VALUE"""),274.82)</f>
        <v>274.82</v>
      </c>
      <c r="F634" s="1">
        <f>IFERROR(__xludf.DUMMYFUNCTION("""COMPUTED_VALUE"""),2.9026562E7)</f>
        <v>29026562</v>
      </c>
    </row>
    <row r="635">
      <c r="A635" s="2">
        <f>IFERROR(__xludf.DUMMYFUNCTION("""COMPUTED_VALUE"""),32318.666666666668)</f>
        <v>32318.66667</v>
      </c>
      <c r="B635" s="1">
        <f>IFERROR(__xludf.DUMMYFUNCTION("""COMPUTED_VALUE"""),274.81)</f>
        <v>274.81</v>
      </c>
      <c r="C635" s="1">
        <f>IFERROR(__xludf.DUMMYFUNCTION("""COMPUTED_VALUE"""),275.19)</f>
        <v>275.19</v>
      </c>
      <c r="D635" s="1">
        <f>IFERROR(__xludf.DUMMYFUNCTION("""COMPUTED_VALUE"""),273.53)</f>
        <v>273.53</v>
      </c>
      <c r="E635" s="1">
        <f>IFERROR(__xludf.DUMMYFUNCTION("""COMPUTED_VALUE"""),273.78)</f>
        <v>273.78</v>
      </c>
      <c r="F635" s="1">
        <f>IFERROR(__xludf.DUMMYFUNCTION("""COMPUTED_VALUE"""),2.810625E7)</f>
        <v>28106250</v>
      </c>
    </row>
    <row r="636">
      <c r="A636" s="2">
        <f>IFERROR(__xludf.DUMMYFUNCTION("""COMPUTED_VALUE"""),32321.666666666668)</f>
        <v>32321.66667</v>
      </c>
      <c r="B636" s="1">
        <f>IFERROR(__xludf.DUMMYFUNCTION("""COMPUTED_VALUE"""),273.78)</f>
        <v>273.78</v>
      </c>
      <c r="C636" s="1">
        <f>IFERROR(__xludf.DUMMYFUNCTION("""COMPUTED_VALUE"""),273.79)</f>
        <v>273.79</v>
      </c>
      <c r="D636" s="1">
        <f>IFERROR(__xludf.DUMMYFUNCTION("""COMPUTED_VALUE"""),268.85)</f>
        <v>268.85</v>
      </c>
      <c r="E636" s="1">
        <f>IFERROR(__xludf.DUMMYFUNCTION("""COMPUTED_VALUE"""),269.06)</f>
        <v>269.06</v>
      </c>
      <c r="F636" s="1">
        <f>IFERROR(__xludf.DUMMYFUNCTION("""COMPUTED_VALUE"""),4.1314064E7)</f>
        <v>41314064</v>
      </c>
    </row>
    <row r="637">
      <c r="A637" s="2">
        <f>IFERROR(__xludf.DUMMYFUNCTION("""COMPUTED_VALUE"""),32322.666666666668)</f>
        <v>32322.66667</v>
      </c>
      <c r="B637" s="1">
        <f>IFERROR(__xludf.DUMMYFUNCTION("""COMPUTED_VALUE"""),269.07)</f>
        <v>269.07</v>
      </c>
      <c r="C637" s="1">
        <f>IFERROR(__xludf.DUMMYFUNCTION("""COMPUTED_VALUE"""),272.8)</f>
        <v>272.8</v>
      </c>
      <c r="D637" s="1">
        <f>IFERROR(__xludf.DUMMYFUNCTION("""COMPUTED_VALUE"""),269.06)</f>
        <v>269.06</v>
      </c>
      <c r="E637" s="1">
        <f>IFERROR(__xludf.DUMMYFUNCTION("""COMPUTED_VALUE"""),272.31)</f>
        <v>272.31</v>
      </c>
      <c r="F637" s="1">
        <f>IFERROR(__xludf.DUMMYFUNCTION("""COMPUTED_VALUE"""),2.3807812E7)</f>
        <v>23807812</v>
      </c>
    </row>
    <row r="638">
      <c r="A638" s="2">
        <f>IFERROR(__xludf.DUMMYFUNCTION("""COMPUTED_VALUE"""),32323.666666666668)</f>
        <v>32323.66667</v>
      </c>
      <c r="B638" s="1">
        <f>IFERROR(__xludf.DUMMYFUNCTION("""COMPUTED_VALUE"""),272.32)</f>
        <v>272.32</v>
      </c>
      <c r="C638" s="1">
        <f>IFERROR(__xludf.DUMMYFUNCTION("""COMPUTED_VALUE"""),273.01)</f>
        <v>273.01</v>
      </c>
      <c r="D638" s="1">
        <f>IFERROR(__xludf.DUMMYFUNCTION("""COMPUTED_VALUE"""),269.49)</f>
        <v>269.49</v>
      </c>
      <c r="E638" s="1">
        <f>IFERROR(__xludf.DUMMYFUNCTION("""COMPUTED_VALUE"""),270.98)</f>
        <v>270.98</v>
      </c>
      <c r="F638" s="1">
        <f>IFERROR(__xludf.DUMMYFUNCTION("""COMPUTED_VALUE"""),2.4935938E7)</f>
        <v>24935938</v>
      </c>
    </row>
    <row r="639">
      <c r="A639" s="2">
        <f>IFERROR(__xludf.DUMMYFUNCTION("""COMPUTED_VALUE"""),32324.666666666668)</f>
        <v>32324.66667</v>
      </c>
      <c r="B639" s="1">
        <f>IFERROR(__xludf.DUMMYFUNCTION("""COMPUTED_VALUE"""),271.0)</f>
        <v>271</v>
      </c>
      <c r="C639" s="1">
        <f>IFERROR(__xludf.DUMMYFUNCTION("""COMPUTED_VALUE"""),273.51)</f>
        <v>273.51</v>
      </c>
      <c r="D639" s="1">
        <f>IFERROR(__xludf.DUMMYFUNCTION("""COMPUTED_VALUE"""),270.97)</f>
        <v>270.97</v>
      </c>
      <c r="E639" s="1">
        <f>IFERROR(__xludf.DUMMYFUNCTION("""COMPUTED_VALUE"""),273.5)</f>
        <v>273.5</v>
      </c>
      <c r="F639" s="1">
        <f>IFERROR(__xludf.DUMMYFUNCTION("""COMPUTED_VALUE"""),3.5532812E7)</f>
        <v>35532812</v>
      </c>
    </row>
    <row r="640">
      <c r="A640" s="2">
        <f>IFERROR(__xludf.DUMMYFUNCTION("""COMPUTED_VALUE"""),32325.666666666668)</f>
        <v>32325.66667</v>
      </c>
      <c r="B640" s="1">
        <f>IFERROR(__xludf.DUMMYFUNCTION("""COMPUTED_VALUE"""),273.5)</f>
        <v>273.5</v>
      </c>
      <c r="C640" s="1">
        <f>IFERROR(__xludf.DUMMYFUNCTION("""COMPUTED_VALUE"""),273.8)</f>
        <v>273.8</v>
      </c>
      <c r="D640" s="1">
        <f>IFERROR(__xludf.DUMMYFUNCTION("""COMPUTED_VALUE"""),270.78)</f>
        <v>270.78</v>
      </c>
      <c r="E640" s="1">
        <f>IFERROR(__xludf.DUMMYFUNCTION("""COMPUTED_VALUE"""),271.78)</f>
        <v>271.78</v>
      </c>
      <c r="F640" s="1">
        <f>IFERROR(__xludf.DUMMYFUNCTION("""COMPUTED_VALUE"""),3.7239064E7)</f>
        <v>37239064</v>
      </c>
    </row>
    <row r="641">
      <c r="A641" s="2">
        <f>IFERROR(__xludf.DUMMYFUNCTION("""COMPUTED_VALUE"""),32328.666666666668)</f>
        <v>32328.66667</v>
      </c>
      <c r="B641" s="1">
        <f>IFERROR(__xludf.DUMMYFUNCTION("""COMPUTED_VALUE"""),275.81)</f>
        <v>275.81</v>
      </c>
      <c r="C641" s="1">
        <f>IFERROR(__xludf.DUMMYFUNCTION("""COMPUTED_VALUE"""),275.81)</f>
        <v>275.81</v>
      </c>
      <c r="D641" s="1">
        <f>IFERROR(__xludf.DUMMYFUNCTION("""COMPUTED_VALUE"""),275.81)</f>
        <v>275.81</v>
      </c>
      <c r="E641" s="1">
        <f>IFERROR(__xludf.DUMMYFUNCTION("""COMPUTED_VALUE"""),275.81)</f>
        <v>275.81</v>
      </c>
      <c r="F641" s="1">
        <f>IFERROR(__xludf.DUMMYFUNCTION("""COMPUTED_VALUE"""),0.0)</f>
        <v>0</v>
      </c>
    </row>
    <row r="642">
      <c r="A642" s="2">
        <f>IFERROR(__xludf.DUMMYFUNCTION("""COMPUTED_VALUE"""),32329.666666666668)</f>
        <v>32329.66667</v>
      </c>
      <c r="B642" s="1">
        <f>IFERROR(__xludf.DUMMYFUNCTION("""COMPUTED_VALUE"""),271.78)</f>
        <v>271.78</v>
      </c>
      <c r="C642" s="1">
        <f>IFERROR(__xludf.DUMMYFUNCTION("""COMPUTED_VALUE"""),275.81)</f>
        <v>275.81</v>
      </c>
      <c r="D642" s="1">
        <f>IFERROR(__xludf.DUMMYFUNCTION("""COMPUTED_VALUE"""),270.51)</f>
        <v>270.51</v>
      </c>
      <c r="E642" s="1">
        <f>IFERROR(__xludf.DUMMYFUNCTION("""COMPUTED_VALUE"""),275.81)</f>
        <v>275.81</v>
      </c>
      <c r="F642" s="1">
        <f>IFERROR(__xludf.DUMMYFUNCTION("""COMPUTED_VALUE"""),2.6842188E7)</f>
        <v>26842188</v>
      </c>
    </row>
    <row r="643">
      <c r="A643" s="2">
        <f>IFERROR(__xludf.DUMMYFUNCTION("""COMPUTED_VALUE"""),32330.666666666668)</f>
        <v>32330.66667</v>
      </c>
      <c r="B643" s="1">
        <f>IFERROR(__xludf.DUMMYFUNCTION("""COMPUTED_VALUE"""),275.8)</f>
        <v>275.8</v>
      </c>
      <c r="C643" s="1">
        <f>IFERROR(__xludf.DUMMYFUNCTION("""COMPUTED_VALUE"""),276.36)</f>
        <v>276.36</v>
      </c>
      <c r="D643" s="1">
        <f>IFERROR(__xludf.DUMMYFUNCTION("""COMPUTED_VALUE"""),269.92)</f>
        <v>269.92</v>
      </c>
      <c r="E643" s="1">
        <f>IFERROR(__xludf.DUMMYFUNCTION("""COMPUTED_VALUE"""),272.02)</f>
        <v>272.02</v>
      </c>
      <c r="F643" s="1">
        <f>IFERROR(__xludf.DUMMYFUNCTION("""COMPUTED_VALUE"""),2.9629688E7)</f>
        <v>29629688</v>
      </c>
    </row>
    <row r="644">
      <c r="A644" s="2">
        <f>IFERROR(__xludf.DUMMYFUNCTION("""COMPUTED_VALUE"""),32331.666666666668)</f>
        <v>32331.66667</v>
      </c>
      <c r="B644" s="1">
        <f>IFERROR(__xludf.DUMMYFUNCTION("""COMPUTED_VALUE"""),272.0)</f>
        <v>272</v>
      </c>
      <c r="C644" s="1">
        <f>IFERROR(__xludf.DUMMYFUNCTION("""COMPUTED_VALUE"""),272.05)</f>
        <v>272.05</v>
      </c>
      <c r="D644" s="1">
        <f>IFERROR(__xludf.DUMMYFUNCTION("""COMPUTED_VALUE"""),269.31)</f>
        <v>269.31</v>
      </c>
      <c r="E644" s="1">
        <f>IFERROR(__xludf.DUMMYFUNCTION("""COMPUTED_VALUE"""),271.78)</f>
        <v>271.78</v>
      </c>
      <c r="F644" s="1">
        <f>IFERROR(__xludf.DUMMYFUNCTION("""COMPUTED_VALUE"""),2.4390624E7)</f>
        <v>24390624</v>
      </c>
    </row>
    <row r="645">
      <c r="A645" s="2">
        <f>IFERROR(__xludf.DUMMYFUNCTION("""COMPUTED_VALUE"""),32332.666666666668)</f>
        <v>32332.66667</v>
      </c>
      <c r="B645" s="1">
        <f>IFERROR(__xludf.DUMMYFUNCTION("""COMPUTED_VALUE"""),271.76)</f>
        <v>271.76</v>
      </c>
      <c r="C645" s="1">
        <f>IFERROR(__xludf.DUMMYFUNCTION("""COMPUTED_VALUE"""),272.31)</f>
        <v>272.31</v>
      </c>
      <c r="D645" s="1">
        <f>IFERROR(__xludf.DUMMYFUNCTION("""COMPUTED_VALUE"""),269.86)</f>
        <v>269.86</v>
      </c>
      <c r="E645" s="1">
        <f>IFERROR(__xludf.DUMMYFUNCTION("""COMPUTED_VALUE"""),270.02)</f>
        <v>270.02</v>
      </c>
      <c r="F645" s="1">
        <f>IFERROR(__xludf.DUMMYFUNCTION("""COMPUTED_VALUE"""),2.1260938E7)</f>
        <v>21260938</v>
      </c>
    </row>
    <row r="646">
      <c r="A646" s="2">
        <f>IFERROR(__xludf.DUMMYFUNCTION("""COMPUTED_VALUE"""),32335.666666666668)</f>
        <v>32335.66667</v>
      </c>
      <c r="B646" s="1">
        <f>IFERROR(__xludf.DUMMYFUNCTION("""COMPUTED_VALUE"""),270.03)</f>
        <v>270.03</v>
      </c>
      <c r="C646" s="1">
        <f>IFERROR(__xludf.DUMMYFUNCTION("""COMPUTED_VALUE"""),271.64)</f>
        <v>271.64</v>
      </c>
      <c r="D646" s="1">
        <f>IFERROR(__xludf.DUMMYFUNCTION("""COMPUTED_VALUE"""),270.02)</f>
        <v>270.02</v>
      </c>
      <c r="E646" s="1">
        <f>IFERROR(__xludf.DUMMYFUNCTION("""COMPUTED_VALUE"""),270.55)</f>
        <v>270.55</v>
      </c>
      <c r="F646" s="1">
        <f>IFERROR(__xludf.DUMMYFUNCTION("""COMPUTED_VALUE"""),1.9265624E7)</f>
        <v>19265624</v>
      </c>
    </row>
    <row r="647">
      <c r="A647" s="2">
        <f>IFERROR(__xludf.DUMMYFUNCTION("""COMPUTED_VALUE"""),32336.666666666668)</f>
        <v>32336.66667</v>
      </c>
      <c r="B647" s="1">
        <f>IFERROR(__xludf.DUMMYFUNCTION("""COMPUTED_VALUE"""),270.54)</f>
        <v>270.54</v>
      </c>
      <c r="C647" s="1">
        <f>IFERROR(__xludf.DUMMYFUNCTION("""COMPUTED_VALUE"""),270.7)</f>
        <v>270.7</v>
      </c>
      <c r="D647" s="1">
        <f>IFERROR(__xludf.DUMMYFUNCTION("""COMPUTED_VALUE"""),266.96)</f>
        <v>266.96</v>
      </c>
      <c r="E647" s="1">
        <f>IFERROR(__xludf.DUMMYFUNCTION("""COMPUTED_VALUE"""),267.85)</f>
        <v>267.85</v>
      </c>
      <c r="F647" s="1">
        <f>IFERROR(__xludf.DUMMYFUNCTION("""COMPUTED_VALUE"""),2.5257812E7)</f>
        <v>25257812</v>
      </c>
    </row>
    <row r="648">
      <c r="A648" s="2">
        <f>IFERROR(__xludf.DUMMYFUNCTION("""COMPUTED_VALUE"""),32337.666666666668)</f>
        <v>32337.66667</v>
      </c>
      <c r="B648" s="1">
        <f>IFERROR(__xludf.DUMMYFUNCTION("""COMPUTED_VALUE"""),267.87)</f>
        <v>267.87</v>
      </c>
      <c r="C648" s="1">
        <f>IFERROR(__xludf.DUMMYFUNCTION("""COMPUTED_VALUE"""),269.46)</f>
        <v>269.46</v>
      </c>
      <c r="D648" s="1">
        <f>IFERROR(__xludf.DUMMYFUNCTION("""COMPUTED_VALUE"""),266.12)</f>
        <v>266.12</v>
      </c>
      <c r="E648" s="1">
        <f>IFERROR(__xludf.DUMMYFUNCTION("""COMPUTED_VALUE"""),269.32)</f>
        <v>269.32</v>
      </c>
      <c r="F648" s="1">
        <f>IFERROR(__xludf.DUMMYFUNCTION("""COMPUTED_VALUE"""),3.4207812E7)</f>
        <v>34207812</v>
      </c>
    </row>
    <row r="649">
      <c r="A649" s="2">
        <f>IFERROR(__xludf.DUMMYFUNCTION("""COMPUTED_VALUE"""),32338.666666666668)</f>
        <v>32338.66667</v>
      </c>
      <c r="B649" s="1">
        <f>IFERROR(__xludf.DUMMYFUNCTION("""COMPUTED_VALUE"""),269.33)</f>
        <v>269.33</v>
      </c>
      <c r="C649" s="1">
        <f>IFERROR(__xludf.DUMMYFUNCTION("""COMPUTED_VALUE"""),270.69)</f>
        <v>270.69</v>
      </c>
      <c r="D649" s="1">
        <f>IFERROR(__xludf.DUMMYFUNCTION("""COMPUTED_VALUE"""),268.58)</f>
        <v>268.58</v>
      </c>
      <c r="E649" s="1">
        <f>IFERROR(__xludf.DUMMYFUNCTION("""COMPUTED_VALUE"""),270.26)</f>
        <v>270.26</v>
      </c>
      <c r="F649" s="1">
        <f>IFERROR(__xludf.DUMMYFUNCTION("""COMPUTED_VALUE"""),2.6939062E7)</f>
        <v>26939062</v>
      </c>
    </row>
    <row r="650">
      <c r="A650" s="2">
        <f>IFERROR(__xludf.DUMMYFUNCTION("""COMPUTED_VALUE"""),32339.666666666668)</f>
        <v>32339.66667</v>
      </c>
      <c r="B650" s="1">
        <f>IFERROR(__xludf.DUMMYFUNCTION("""COMPUTED_VALUE"""),270.23)</f>
        <v>270.23</v>
      </c>
      <c r="C650" s="1">
        <f>IFERROR(__xludf.DUMMYFUNCTION("""COMPUTED_VALUE"""),272.06)</f>
        <v>272.06</v>
      </c>
      <c r="D650" s="1">
        <f>IFERROR(__xludf.DUMMYFUNCTION("""COMPUTED_VALUE"""),269.53)</f>
        <v>269.53</v>
      </c>
      <c r="E650" s="1">
        <f>IFERROR(__xludf.DUMMYFUNCTION("""COMPUTED_VALUE"""),272.05)</f>
        <v>272.05</v>
      </c>
      <c r="F650" s="1">
        <f>IFERROR(__xludf.DUMMYFUNCTION("""COMPUTED_VALUE"""),3.1204688E7)</f>
        <v>31204688</v>
      </c>
    </row>
    <row r="651">
      <c r="A651" s="2">
        <f>IFERROR(__xludf.DUMMYFUNCTION("""COMPUTED_VALUE"""),32342.666666666668)</f>
        <v>32342.66667</v>
      </c>
      <c r="B651" s="1">
        <f>IFERROR(__xludf.DUMMYFUNCTION("""COMPUTED_VALUE"""),271.99)</f>
        <v>271.99</v>
      </c>
      <c r="C651" s="1">
        <f>IFERROR(__xludf.DUMMYFUNCTION("""COMPUTED_VALUE"""),272.05)</f>
        <v>272.05</v>
      </c>
      <c r="D651" s="1">
        <f>IFERROR(__xludf.DUMMYFUNCTION("""COMPUTED_VALUE"""),268.66)</f>
        <v>268.66</v>
      </c>
      <c r="E651" s="1">
        <f>IFERROR(__xludf.DUMMYFUNCTION("""COMPUTED_VALUE"""),270.51)</f>
        <v>270.51</v>
      </c>
      <c r="F651" s="1">
        <f>IFERROR(__xludf.DUMMYFUNCTION("""COMPUTED_VALUE"""),2.4407812E7)</f>
        <v>24407812</v>
      </c>
    </row>
    <row r="652">
      <c r="A652" s="2">
        <f>IFERROR(__xludf.DUMMYFUNCTION("""COMPUTED_VALUE"""),32343.666666666668)</f>
        <v>32343.66667</v>
      </c>
      <c r="B652" s="1">
        <f>IFERROR(__xludf.DUMMYFUNCTION("""COMPUTED_VALUE"""),270.49)</f>
        <v>270.49</v>
      </c>
      <c r="C652" s="1">
        <f>IFERROR(__xludf.DUMMYFUNCTION("""COMPUTED_VALUE"""),271.21)</f>
        <v>271.21</v>
      </c>
      <c r="D652" s="1">
        <f>IFERROR(__xludf.DUMMYFUNCTION("""COMPUTED_VALUE"""),267.01)</f>
        <v>267.01</v>
      </c>
      <c r="E652" s="1">
        <f>IFERROR(__xludf.DUMMYFUNCTION("""COMPUTED_VALUE"""),268.47)</f>
        <v>268.47</v>
      </c>
      <c r="F652" s="1">
        <f>IFERROR(__xludf.DUMMYFUNCTION("""COMPUTED_VALUE"""),2.2517188E7)</f>
        <v>22517188</v>
      </c>
    </row>
    <row r="653">
      <c r="A653" s="2">
        <f>IFERROR(__xludf.DUMMYFUNCTION("""COMPUTED_VALUE"""),32344.666666666668)</f>
        <v>32344.66667</v>
      </c>
      <c r="B653" s="1">
        <f>IFERROR(__xludf.DUMMYFUNCTION("""COMPUTED_VALUE"""),268.52)</f>
        <v>268.52</v>
      </c>
      <c r="C653" s="1">
        <f>IFERROR(__xludf.DUMMYFUNCTION("""COMPUTED_VALUE"""),270.24)</f>
        <v>270.24</v>
      </c>
      <c r="D653" s="1">
        <f>IFERROR(__xludf.DUMMYFUNCTION("""COMPUTED_VALUE"""),268.47)</f>
        <v>268.47</v>
      </c>
      <c r="E653" s="1">
        <f>IFERROR(__xludf.DUMMYFUNCTION("""COMPUTED_VALUE"""),270.0)</f>
        <v>270</v>
      </c>
      <c r="F653" s="1">
        <f>IFERROR(__xludf.DUMMYFUNCTION("""COMPUTED_VALUE"""),2.3748438E7)</f>
        <v>23748438</v>
      </c>
    </row>
    <row r="654">
      <c r="A654" s="2">
        <f>IFERROR(__xludf.DUMMYFUNCTION("""COMPUTED_VALUE"""),32345.666666666668)</f>
        <v>32345.66667</v>
      </c>
      <c r="B654" s="1">
        <f>IFERROR(__xludf.DUMMYFUNCTION("""COMPUTED_VALUE"""),269.99)</f>
        <v>269.99</v>
      </c>
      <c r="C654" s="1">
        <f>IFERROR(__xludf.DUMMYFUNCTION("""COMPUTED_VALUE"""),270.0)</f>
        <v>270</v>
      </c>
      <c r="D654" s="1">
        <f>IFERROR(__xludf.DUMMYFUNCTION("""COMPUTED_VALUE"""),266.66)</f>
        <v>266.66</v>
      </c>
      <c r="E654" s="1">
        <f>IFERROR(__xludf.DUMMYFUNCTION("""COMPUTED_VALUE"""),266.66)</f>
        <v>266.66</v>
      </c>
      <c r="F654" s="1">
        <f>IFERROR(__xludf.DUMMYFUNCTION("""COMPUTED_VALUE"""),2.3353124E7)</f>
        <v>23353124</v>
      </c>
    </row>
    <row r="655">
      <c r="A655" s="2">
        <f>IFERROR(__xludf.DUMMYFUNCTION("""COMPUTED_VALUE"""),32346.666666666668)</f>
        <v>32346.66667</v>
      </c>
      <c r="B655" s="1">
        <f>IFERROR(__xludf.DUMMYFUNCTION("""COMPUTED_VALUE"""),266.65)</f>
        <v>266.65</v>
      </c>
      <c r="C655" s="1">
        <f>IFERROR(__xludf.DUMMYFUNCTION("""COMPUTED_VALUE"""),266.66)</f>
        <v>266.66</v>
      </c>
      <c r="D655" s="1">
        <f>IFERROR(__xludf.DUMMYFUNCTION("""COMPUTED_VALUE"""),263.29)</f>
        <v>263.29</v>
      </c>
      <c r="E655" s="1">
        <f>IFERROR(__xludf.DUMMYFUNCTION("""COMPUTED_VALUE"""),263.5)</f>
        <v>263.5</v>
      </c>
      <c r="F655" s="1">
        <f>IFERROR(__xludf.DUMMYFUNCTION("""COMPUTED_VALUE"""),2.32625E7)</f>
        <v>23262500</v>
      </c>
    </row>
    <row r="656">
      <c r="A656" s="2">
        <f>IFERROR(__xludf.DUMMYFUNCTION("""COMPUTED_VALUE"""),32349.666666666668)</f>
        <v>32349.66667</v>
      </c>
      <c r="B656" s="1">
        <f>IFERROR(__xludf.DUMMYFUNCTION("""COMPUTED_VALUE"""),263.49)</f>
        <v>263.49</v>
      </c>
      <c r="C656" s="1">
        <f>IFERROR(__xludf.DUMMYFUNCTION("""COMPUTED_VALUE"""),265.17)</f>
        <v>265.17</v>
      </c>
      <c r="D656" s="1">
        <f>IFERROR(__xludf.DUMMYFUNCTION("""COMPUTED_VALUE"""),263.03)</f>
        <v>263.03</v>
      </c>
      <c r="E656" s="1">
        <f>IFERROR(__xludf.DUMMYFUNCTION("""COMPUTED_VALUE"""),264.68)</f>
        <v>264.68</v>
      </c>
      <c r="F656" s="1">
        <f>IFERROR(__xludf.DUMMYFUNCTION("""COMPUTED_VALUE"""),3.3615624E7)</f>
        <v>33615624</v>
      </c>
    </row>
    <row r="657">
      <c r="A657" s="2">
        <f>IFERROR(__xludf.DUMMYFUNCTION("""COMPUTED_VALUE"""),32350.666666666668)</f>
        <v>32350.66667</v>
      </c>
      <c r="B657" s="1">
        <f>IFERROR(__xludf.DUMMYFUNCTION("""COMPUTED_VALUE"""),264.7)</f>
        <v>264.7</v>
      </c>
      <c r="C657" s="1">
        <f>IFERROR(__xludf.DUMMYFUNCTION("""COMPUTED_VALUE"""),266.09)</f>
        <v>266.09</v>
      </c>
      <c r="D657" s="1">
        <f>IFERROR(__xludf.DUMMYFUNCTION("""COMPUTED_VALUE"""),264.32)</f>
        <v>264.32</v>
      </c>
      <c r="E657" s="1">
        <f>IFERROR(__xludf.DUMMYFUNCTION("""COMPUTED_VALUE"""),265.19)</f>
        <v>265.19</v>
      </c>
      <c r="F657" s="1">
        <f>IFERROR(__xludf.DUMMYFUNCTION("""COMPUTED_VALUE"""),1.905625E7)</f>
        <v>19056250</v>
      </c>
    </row>
    <row r="658">
      <c r="A658" s="2">
        <f>IFERROR(__xludf.DUMMYFUNCTION("""COMPUTED_VALUE"""),32351.666666666668)</f>
        <v>32351.66667</v>
      </c>
      <c r="B658" s="1">
        <f>IFERROR(__xludf.DUMMYFUNCTION("""COMPUTED_VALUE"""),265.18)</f>
        <v>265.18</v>
      </c>
      <c r="C658" s="1">
        <f>IFERROR(__xludf.DUMMYFUNCTION("""COMPUTED_VALUE"""),265.83)</f>
        <v>265.83</v>
      </c>
      <c r="D658" s="1">
        <f>IFERROR(__xludf.DUMMYFUNCTION("""COMPUTED_VALUE"""),262.48)</f>
        <v>262.48</v>
      </c>
      <c r="E658" s="1">
        <f>IFERROR(__xludf.DUMMYFUNCTION("""COMPUTED_VALUE"""),262.5)</f>
        <v>262.5</v>
      </c>
      <c r="F658" s="1">
        <f>IFERROR(__xludf.DUMMYFUNCTION("""COMPUTED_VALUE"""),2.1232812E7)</f>
        <v>21232812</v>
      </c>
    </row>
    <row r="659">
      <c r="A659" s="2">
        <f>IFERROR(__xludf.DUMMYFUNCTION("""COMPUTED_VALUE"""),32352.666666666668)</f>
        <v>32352.66667</v>
      </c>
      <c r="B659" s="1">
        <f>IFERROR(__xludf.DUMMYFUNCTION("""COMPUTED_VALUE"""),262.52)</f>
        <v>262.52</v>
      </c>
      <c r="C659" s="1">
        <f>IFERROR(__xludf.DUMMYFUNCTION("""COMPUTED_VALUE"""),266.55)</f>
        <v>266.55</v>
      </c>
      <c r="D659" s="1">
        <f>IFERROR(__xludf.DUMMYFUNCTION("""COMPUTED_VALUE"""),262.5)</f>
        <v>262.5</v>
      </c>
      <c r="E659" s="1">
        <f>IFERROR(__xludf.DUMMYFUNCTION("""COMPUTED_VALUE"""),266.02)</f>
        <v>266.02</v>
      </c>
      <c r="F659" s="1">
        <f>IFERROR(__xludf.DUMMYFUNCTION("""COMPUTED_VALUE"""),2.4151562E7)</f>
        <v>24151562</v>
      </c>
    </row>
    <row r="660">
      <c r="A660" s="2">
        <f>IFERROR(__xludf.DUMMYFUNCTION("""COMPUTED_VALUE"""),32353.666666666668)</f>
        <v>32353.66667</v>
      </c>
      <c r="B660" s="1">
        <f>IFERROR(__xludf.DUMMYFUNCTION("""COMPUTED_VALUE"""),266.04)</f>
        <v>266.04</v>
      </c>
      <c r="C660" s="1">
        <f>IFERROR(__xludf.DUMMYFUNCTION("""COMPUTED_VALUE"""),272.02)</f>
        <v>272.02</v>
      </c>
      <c r="D660" s="1">
        <f>IFERROR(__xludf.DUMMYFUNCTION("""COMPUTED_VALUE"""),266.02)</f>
        <v>266.02</v>
      </c>
      <c r="E660" s="1">
        <f>IFERROR(__xludf.DUMMYFUNCTION("""COMPUTED_VALUE"""),272.02)</f>
        <v>272.02</v>
      </c>
      <c r="F660" s="1">
        <f>IFERROR(__xludf.DUMMYFUNCTION("""COMPUTED_VALUE"""),3.0053124E7)</f>
        <v>30053124</v>
      </c>
    </row>
    <row r="661">
      <c r="A661" s="2">
        <f>IFERROR(__xludf.DUMMYFUNCTION("""COMPUTED_VALUE"""),32356.666666666668)</f>
        <v>32356.66667</v>
      </c>
      <c r="B661" s="1">
        <f>IFERROR(__xludf.DUMMYFUNCTION("""COMPUTED_VALUE"""),272.03)</f>
        <v>272.03</v>
      </c>
      <c r="C661" s="1">
        <f>IFERROR(__xludf.DUMMYFUNCTION("""COMPUTED_VALUE"""),272.8)</f>
        <v>272.8</v>
      </c>
      <c r="D661" s="1">
        <f>IFERROR(__xludf.DUMMYFUNCTION("""COMPUTED_VALUE"""),271.21)</f>
        <v>271.21</v>
      </c>
      <c r="E661" s="1">
        <f>IFERROR(__xludf.DUMMYFUNCTION("""COMPUTED_VALUE"""),272.21)</f>
        <v>272.21</v>
      </c>
      <c r="F661" s="1">
        <f>IFERROR(__xludf.DUMMYFUNCTION("""COMPUTED_VALUE"""),2.1589062E7)</f>
        <v>21589062</v>
      </c>
    </row>
    <row r="662">
      <c r="A662" s="2">
        <f>IFERROR(__xludf.DUMMYFUNCTION("""COMPUTED_VALUE"""),32357.666666666668)</f>
        <v>32357.66667</v>
      </c>
      <c r="B662" s="1">
        <f>IFERROR(__xludf.DUMMYFUNCTION("""COMPUTED_VALUE"""),272.19)</f>
        <v>272.19</v>
      </c>
      <c r="C662" s="1">
        <f>IFERROR(__xludf.DUMMYFUNCTION("""COMPUTED_VALUE"""),273.68)</f>
        <v>273.68</v>
      </c>
      <c r="D662" s="1">
        <f>IFERROR(__xludf.DUMMYFUNCTION("""COMPUTED_VALUE"""),270.37)</f>
        <v>270.37</v>
      </c>
      <c r="E662" s="1">
        <f>IFERROR(__xludf.DUMMYFUNCTION("""COMPUTED_VALUE"""),272.06)</f>
        <v>272.06</v>
      </c>
      <c r="F662" s="1">
        <f>IFERROR(__xludf.DUMMYFUNCTION("""COMPUTED_VALUE"""),2.6040624E7)</f>
        <v>26040624</v>
      </c>
    </row>
    <row r="663">
      <c r="A663" s="2">
        <f>IFERROR(__xludf.DUMMYFUNCTION("""COMPUTED_VALUE"""),32358.666666666668)</f>
        <v>32358.66667</v>
      </c>
      <c r="B663" s="1">
        <f>IFERROR(__xludf.DUMMYFUNCTION("""COMPUTED_VALUE"""),272.03)</f>
        <v>272.03</v>
      </c>
      <c r="C663" s="1">
        <f>IFERROR(__xludf.DUMMYFUNCTION("""COMPUTED_VALUE"""),273.42)</f>
        <v>273.42</v>
      </c>
      <c r="D663" s="1">
        <f>IFERROR(__xludf.DUMMYFUNCTION("""COMPUTED_VALUE"""),271.15)</f>
        <v>271.15</v>
      </c>
      <c r="E663" s="1">
        <f>IFERROR(__xludf.DUMMYFUNCTION("""COMPUTED_VALUE"""),272.98)</f>
        <v>272.98</v>
      </c>
      <c r="F663" s="1">
        <f>IFERROR(__xludf.DUMMYFUNCTION("""COMPUTED_VALUE"""),3.1810938E7)</f>
        <v>31810938</v>
      </c>
    </row>
    <row r="664">
      <c r="A664" s="2">
        <f>IFERROR(__xludf.DUMMYFUNCTION("""COMPUTED_VALUE"""),32359.666666666668)</f>
        <v>32359.66667</v>
      </c>
      <c r="B664" s="1">
        <f>IFERROR(__xludf.DUMMYFUNCTION("""COMPUTED_VALUE"""),273.0)</f>
        <v>273</v>
      </c>
      <c r="C664" s="1">
        <f>IFERROR(__xludf.DUMMYFUNCTION("""COMPUTED_VALUE"""),274.2)</f>
        <v>274.2</v>
      </c>
      <c r="D664" s="1">
        <f>IFERROR(__xludf.DUMMYFUNCTION("""COMPUTED_VALUE"""),271.77)</f>
        <v>271.77</v>
      </c>
      <c r="E664" s="1">
        <f>IFERROR(__xludf.DUMMYFUNCTION("""COMPUTED_VALUE"""),271.93)</f>
        <v>271.93</v>
      </c>
      <c r="F664" s="1">
        <f>IFERROR(__xludf.DUMMYFUNCTION("""COMPUTED_VALUE"""),2.456875E7)</f>
        <v>24568750</v>
      </c>
    </row>
    <row r="665">
      <c r="A665" s="2">
        <f>IFERROR(__xludf.DUMMYFUNCTION("""COMPUTED_VALUE"""),32360.666666666668)</f>
        <v>32360.66667</v>
      </c>
      <c r="B665" s="1">
        <f>IFERROR(__xludf.DUMMYFUNCTION("""COMPUTED_VALUE"""),271.7)</f>
        <v>271.7</v>
      </c>
      <c r="C665" s="1">
        <f>IFERROR(__xludf.DUMMYFUNCTION("""COMPUTED_VALUE"""),271.93)</f>
        <v>271.93</v>
      </c>
      <c r="D665" s="1">
        <f>IFERROR(__xludf.DUMMYFUNCTION("""COMPUTED_VALUE"""),270.08)</f>
        <v>270.08</v>
      </c>
      <c r="E665" s="1">
        <f>IFERROR(__xludf.DUMMYFUNCTION("""COMPUTED_VALUE"""),271.15)</f>
        <v>271.15</v>
      </c>
      <c r="F665" s="1">
        <f>IFERROR(__xludf.DUMMYFUNCTION("""COMPUTED_VALUE"""),1.771875E7)</f>
        <v>17718750</v>
      </c>
    </row>
    <row r="666">
      <c r="A666" s="2">
        <f>IFERROR(__xludf.DUMMYFUNCTION("""COMPUTED_VALUE"""),32363.666666666668)</f>
        <v>32363.66667</v>
      </c>
      <c r="B666" s="1">
        <f>IFERROR(__xludf.DUMMYFUNCTION("""COMPUTED_VALUE"""),271.13)</f>
        <v>271.13</v>
      </c>
      <c r="C666" s="1">
        <f>IFERROR(__xludf.DUMMYFUNCTION("""COMPUTED_VALUE"""),272.47)</f>
        <v>272.47</v>
      </c>
      <c r="D666" s="1">
        <f>IFERROR(__xludf.DUMMYFUNCTION("""COMPUTED_VALUE"""),269.93)</f>
        <v>269.93</v>
      </c>
      <c r="E666" s="1">
        <f>IFERROR(__xludf.DUMMYFUNCTION("""COMPUTED_VALUE"""),269.98)</f>
        <v>269.98</v>
      </c>
      <c r="F666" s="1">
        <f>IFERROR(__xludf.DUMMYFUNCTION("""COMPUTED_VALUE"""),2.325E7)</f>
        <v>23250000</v>
      </c>
    </row>
    <row r="667">
      <c r="A667" s="2">
        <f>IFERROR(__xludf.DUMMYFUNCTION("""COMPUTED_VALUE"""),32364.666666666668)</f>
        <v>32364.66667</v>
      </c>
      <c r="B667" s="1">
        <f>IFERROR(__xludf.DUMMYFUNCTION("""COMPUTED_VALUE"""),270.0)</f>
        <v>270</v>
      </c>
      <c r="C667" s="1">
        <f>IFERROR(__xludf.DUMMYFUNCTION("""COMPUTED_VALUE"""),270.2)</f>
        <v>270.2</v>
      </c>
      <c r="D667" s="1">
        <f>IFERROR(__xludf.DUMMYFUNCTION("""COMPUTED_VALUE"""),265.06)</f>
        <v>265.06</v>
      </c>
      <c r="E667" s="1">
        <f>IFERROR(__xludf.DUMMYFUNCTION("""COMPUTED_VALUE"""),266.49)</f>
        <v>266.49</v>
      </c>
      <c r="F667" s="1">
        <f>IFERROR(__xludf.DUMMYFUNCTION("""COMPUTED_VALUE"""),3.1360938E7)</f>
        <v>31360938</v>
      </c>
    </row>
    <row r="668">
      <c r="A668" s="2">
        <f>IFERROR(__xludf.DUMMYFUNCTION("""COMPUTED_VALUE"""),32365.666666666668)</f>
        <v>32365.66667</v>
      </c>
      <c r="B668" s="1">
        <f>IFERROR(__xludf.DUMMYFUNCTION("""COMPUTED_VALUE"""),266.43)</f>
        <v>266.43</v>
      </c>
      <c r="C668" s="1">
        <f>IFERROR(__xludf.DUMMYFUNCTION("""COMPUTED_VALUE"""),266.49)</f>
        <v>266.49</v>
      </c>
      <c r="D668" s="1">
        <f>IFERROR(__xludf.DUMMYFUNCTION("""COMPUTED_VALUE"""),261.03)</f>
        <v>261.03</v>
      </c>
      <c r="E668" s="1">
        <f>IFERROR(__xludf.DUMMYFUNCTION("""COMPUTED_VALUE"""),261.9)</f>
        <v>261.9</v>
      </c>
      <c r="F668" s="1">
        <f>IFERROR(__xludf.DUMMYFUNCTION("""COMPUTED_VALUE"""),3.1398438E7)</f>
        <v>31398438</v>
      </c>
    </row>
    <row r="669">
      <c r="A669" s="2">
        <f>IFERROR(__xludf.DUMMYFUNCTION("""COMPUTED_VALUE"""),32366.666666666668)</f>
        <v>32366.66667</v>
      </c>
      <c r="B669" s="1">
        <f>IFERROR(__xludf.DUMMYFUNCTION("""COMPUTED_VALUE"""),261.92)</f>
        <v>261.92</v>
      </c>
      <c r="C669" s="1">
        <f>IFERROR(__xludf.DUMMYFUNCTION("""COMPUTED_VALUE"""),262.77)</f>
        <v>262.77</v>
      </c>
      <c r="D669" s="1">
        <f>IFERROR(__xludf.DUMMYFUNCTION("""COMPUTED_VALUE"""),260.34)</f>
        <v>260.34</v>
      </c>
      <c r="E669" s="1">
        <f>IFERROR(__xludf.DUMMYFUNCTION("""COMPUTED_VALUE"""),262.75)</f>
        <v>262.75</v>
      </c>
      <c r="F669" s="1">
        <f>IFERROR(__xludf.DUMMYFUNCTION("""COMPUTED_VALUE"""),2.703125E7)</f>
        <v>27031250</v>
      </c>
    </row>
    <row r="670">
      <c r="A670" s="2">
        <f>IFERROR(__xludf.DUMMYFUNCTION("""COMPUTED_VALUE"""),32367.666666666668)</f>
        <v>32367.66667</v>
      </c>
      <c r="B670" s="1">
        <f>IFERROR(__xludf.DUMMYFUNCTION("""COMPUTED_VALUE"""),262.7)</f>
        <v>262.7</v>
      </c>
      <c r="C670" s="1">
        <f>IFERROR(__xludf.DUMMYFUNCTION("""COMPUTED_VALUE"""),262.94)</f>
        <v>262.94</v>
      </c>
      <c r="D670" s="1">
        <f>IFERROR(__xludf.DUMMYFUNCTION("""COMPUTED_VALUE"""),261.37)</f>
        <v>261.37</v>
      </c>
      <c r="E670" s="1">
        <f>IFERROR(__xludf.DUMMYFUNCTION("""COMPUTED_VALUE"""),262.55)</f>
        <v>262.55</v>
      </c>
      <c r="F670" s="1">
        <f>IFERROR(__xludf.DUMMYFUNCTION("""COMPUTED_VALUE"""),2.765E7)</f>
        <v>27650000</v>
      </c>
    </row>
    <row r="671">
      <c r="A671" s="2">
        <f>IFERROR(__xludf.DUMMYFUNCTION("""COMPUTED_VALUE"""),32370.666666666668)</f>
        <v>32370.66667</v>
      </c>
      <c r="B671" s="1">
        <f>IFERROR(__xludf.DUMMYFUNCTION("""COMPUTED_VALUE"""),262.49)</f>
        <v>262.49</v>
      </c>
      <c r="C671" s="1">
        <f>IFERROR(__xludf.DUMMYFUNCTION("""COMPUTED_VALUE"""),262.55)</f>
        <v>262.55</v>
      </c>
      <c r="D671" s="1">
        <f>IFERROR(__xludf.DUMMYFUNCTION("""COMPUTED_VALUE"""),258.68)</f>
        <v>258.68</v>
      </c>
      <c r="E671" s="1">
        <f>IFERROR(__xludf.DUMMYFUNCTION("""COMPUTED_VALUE"""),258.69)</f>
        <v>258.69</v>
      </c>
      <c r="F671" s="1">
        <f>IFERROR(__xludf.DUMMYFUNCTION("""COMPUTED_VALUE"""),2.00875E7)</f>
        <v>20087500</v>
      </c>
    </row>
    <row r="672">
      <c r="A672" s="2">
        <f>IFERROR(__xludf.DUMMYFUNCTION("""COMPUTED_VALUE"""),32371.666666666668)</f>
        <v>32371.66667</v>
      </c>
      <c r="B672" s="1">
        <f>IFERROR(__xludf.DUMMYFUNCTION("""COMPUTED_VALUE"""),258.68)</f>
        <v>258.68</v>
      </c>
      <c r="C672" s="1">
        <f>IFERROR(__xludf.DUMMYFUNCTION("""COMPUTED_VALUE"""),262.61)</f>
        <v>262.61</v>
      </c>
      <c r="D672" s="1">
        <f>IFERROR(__xludf.DUMMYFUNCTION("""COMPUTED_VALUE"""),257.5)</f>
        <v>257.5</v>
      </c>
      <c r="E672" s="1">
        <f>IFERROR(__xludf.DUMMYFUNCTION("""COMPUTED_VALUE"""),260.56)</f>
        <v>260.56</v>
      </c>
      <c r="F672" s="1">
        <f>IFERROR(__xludf.DUMMYFUNCTION("""COMPUTED_VALUE"""),2.5435938E7)</f>
        <v>25435938</v>
      </c>
    </row>
    <row r="673">
      <c r="A673" s="2">
        <f>IFERROR(__xludf.DUMMYFUNCTION("""COMPUTED_VALUE"""),32372.666666666668)</f>
        <v>32372.66667</v>
      </c>
      <c r="B673" s="1">
        <f>IFERROR(__xludf.DUMMYFUNCTION("""COMPUTED_VALUE"""),260.57)</f>
        <v>260.57</v>
      </c>
      <c r="C673" s="1">
        <f>IFERROR(__xludf.DUMMYFUNCTION("""COMPUTED_VALUE"""),261.84)</f>
        <v>261.84</v>
      </c>
      <c r="D673" s="1">
        <f>IFERROR(__xludf.DUMMYFUNCTION("""COMPUTED_VALUE"""),259.33)</f>
        <v>259.33</v>
      </c>
      <c r="E673" s="1">
        <f>IFERROR(__xludf.DUMMYFUNCTION("""COMPUTED_VALUE"""),260.77)</f>
        <v>260.77</v>
      </c>
      <c r="F673" s="1">
        <f>IFERROR(__xludf.DUMMYFUNCTION("""COMPUTED_VALUE"""),2.6484376E7)</f>
        <v>26484376</v>
      </c>
    </row>
    <row r="674">
      <c r="A674" s="2">
        <f>IFERROR(__xludf.DUMMYFUNCTION("""COMPUTED_VALUE"""),32373.666666666668)</f>
        <v>32373.66667</v>
      </c>
      <c r="B674" s="1">
        <f>IFERROR(__xludf.DUMMYFUNCTION("""COMPUTED_VALUE"""),260.76)</f>
        <v>260.76</v>
      </c>
      <c r="C674" s="1">
        <f>IFERROR(__xludf.DUMMYFUNCTION("""COMPUTED_VALUE"""),262.76)</f>
        <v>262.76</v>
      </c>
      <c r="D674" s="1">
        <f>IFERROR(__xludf.DUMMYFUNCTION("""COMPUTED_VALUE"""),260.75)</f>
        <v>260.75</v>
      </c>
      <c r="E674" s="1">
        <f>IFERROR(__xludf.DUMMYFUNCTION("""COMPUTED_VALUE"""),261.03)</f>
        <v>261.03</v>
      </c>
      <c r="F674" s="1">
        <f>IFERROR(__xludf.DUMMYFUNCTION("""COMPUTED_VALUE"""),2.1846876E7)</f>
        <v>21846876</v>
      </c>
    </row>
    <row r="675">
      <c r="A675" s="2">
        <f>IFERROR(__xludf.DUMMYFUNCTION("""COMPUTED_VALUE"""),32374.666666666668)</f>
        <v>32374.66667</v>
      </c>
      <c r="B675" s="1">
        <f>IFERROR(__xludf.DUMMYFUNCTION("""COMPUTED_VALUE"""),261.05)</f>
        <v>261.05</v>
      </c>
      <c r="C675" s="1">
        <f>IFERROR(__xludf.DUMMYFUNCTION("""COMPUTED_VALUE"""),262.27)</f>
        <v>262.27</v>
      </c>
      <c r="D675" s="1">
        <f>IFERROR(__xludf.DUMMYFUNCTION("""COMPUTED_VALUE"""),260.23)</f>
        <v>260.23</v>
      </c>
      <c r="E675" s="1">
        <f>IFERROR(__xludf.DUMMYFUNCTION("""COMPUTED_VALUE"""),260.24)</f>
        <v>260.24</v>
      </c>
      <c r="F675" s="1">
        <f>IFERROR(__xludf.DUMMYFUNCTION("""COMPUTED_VALUE"""),1.9120312E7)</f>
        <v>19120312</v>
      </c>
    </row>
    <row r="676">
      <c r="A676" s="2">
        <f>IFERROR(__xludf.DUMMYFUNCTION("""COMPUTED_VALUE"""),32377.666666666668)</f>
        <v>32377.66667</v>
      </c>
      <c r="B676" s="1">
        <f>IFERROR(__xludf.DUMMYFUNCTION("""COMPUTED_VALUE"""),260.24)</f>
        <v>260.24</v>
      </c>
      <c r="C676" s="1">
        <f>IFERROR(__xludf.DUMMYFUNCTION("""COMPUTED_VALUE"""),260.71)</f>
        <v>260.71</v>
      </c>
      <c r="D676" s="1">
        <f>IFERROR(__xludf.DUMMYFUNCTION("""COMPUTED_VALUE"""),256.94)</f>
        <v>256.94</v>
      </c>
      <c r="E676" s="1">
        <f>IFERROR(__xludf.DUMMYFUNCTION("""COMPUTED_VALUE"""),256.98)</f>
        <v>256.98</v>
      </c>
      <c r="F676" s="1">
        <f>IFERROR(__xludf.DUMMYFUNCTION("""COMPUTED_VALUE"""),1.9101562E7)</f>
        <v>19101562</v>
      </c>
    </row>
    <row r="677">
      <c r="A677" s="2">
        <f>IFERROR(__xludf.DUMMYFUNCTION("""COMPUTED_VALUE"""),32378.666666666668)</f>
        <v>32378.66667</v>
      </c>
      <c r="B677" s="1">
        <f>IFERROR(__xludf.DUMMYFUNCTION("""COMPUTED_VALUE"""),256.99)</f>
        <v>256.99</v>
      </c>
      <c r="C677" s="1">
        <f>IFERROR(__xludf.DUMMYFUNCTION("""COMPUTED_VALUE"""),257.86)</f>
        <v>257.86</v>
      </c>
      <c r="D677" s="1">
        <f>IFERROR(__xludf.DUMMYFUNCTION("""COMPUTED_VALUE"""),256.53)</f>
        <v>256.53</v>
      </c>
      <c r="E677" s="1">
        <f>IFERROR(__xludf.DUMMYFUNCTION("""COMPUTED_VALUE"""),257.09)</f>
        <v>257.09</v>
      </c>
      <c r="F677" s="1">
        <f>IFERROR(__xludf.DUMMYFUNCTION("""COMPUTED_VALUE"""),1.8678124E7)</f>
        <v>18678124</v>
      </c>
    </row>
    <row r="678">
      <c r="A678" s="2">
        <f>IFERROR(__xludf.DUMMYFUNCTION("""COMPUTED_VALUE"""),32379.666666666668)</f>
        <v>32379.66667</v>
      </c>
      <c r="B678" s="1">
        <f>IFERROR(__xludf.DUMMYFUNCTION("""COMPUTED_VALUE"""),257.16)</f>
        <v>257.16</v>
      </c>
      <c r="C678" s="1">
        <f>IFERROR(__xludf.DUMMYFUNCTION("""COMPUTED_VALUE"""),261.13)</f>
        <v>261.13</v>
      </c>
      <c r="D678" s="1">
        <f>IFERROR(__xludf.DUMMYFUNCTION("""COMPUTED_VALUE"""),257.09)</f>
        <v>257.09</v>
      </c>
      <c r="E678" s="1">
        <f>IFERROR(__xludf.DUMMYFUNCTION("""COMPUTED_VALUE"""),261.13)</f>
        <v>261.13</v>
      </c>
      <c r="F678" s="1">
        <f>IFERROR(__xludf.DUMMYFUNCTION("""COMPUTED_VALUE"""),1.996875E7)</f>
        <v>19968750</v>
      </c>
    </row>
    <row r="679">
      <c r="A679" s="2">
        <f>IFERROR(__xludf.DUMMYFUNCTION("""COMPUTED_VALUE"""),32380.666666666668)</f>
        <v>32380.66667</v>
      </c>
      <c r="B679" s="1">
        <f>IFERROR(__xludf.DUMMYFUNCTION("""COMPUTED_VALUE"""),261.1)</f>
        <v>261.1</v>
      </c>
      <c r="C679" s="1">
        <f>IFERROR(__xludf.DUMMYFUNCTION("""COMPUTED_VALUE"""),261.13)</f>
        <v>261.13</v>
      </c>
      <c r="D679" s="1">
        <f>IFERROR(__xludf.DUMMYFUNCTION("""COMPUTED_VALUE"""),257.56)</f>
        <v>257.56</v>
      </c>
      <c r="E679" s="1">
        <f>IFERROR(__xludf.DUMMYFUNCTION("""COMPUTED_VALUE"""),259.18)</f>
        <v>259.18</v>
      </c>
      <c r="F679" s="1">
        <f>IFERROR(__xludf.DUMMYFUNCTION("""COMPUTED_VALUE"""),1.994375E7)</f>
        <v>19943750</v>
      </c>
    </row>
    <row r="680">
      <c r="A680" s="2">
        <f>IFERROR(__xludf.DUMMYFUNCTION("""COMPUTED_VALUE"""),32381.666666666668)</f>
        <v>32381.66667</v>
      </c>
      <c r="B680" s="1">
        <f>IFERROR(__xludf.DUMMYFUNCTION("""COMPUTED_VALUE"""),259.18)</f>
        <v>259.18</v>
      </c>
      <c r="C680" s="1">
        <f>IFERROR(__xludf.DUMMYFUNCTION("""COMPUTED_VALUE"""),260.15)</f>
        <v>260.15</v>
      </c>
      <c r="D680" s="1">
        <f>IFERROR(__xludf.DUMMYFUNCTION("""COMPUTED_VALUE"""),258.87)</f>
        <v>258.87</v>
      </c>
      <c r="E680" s="1">
        <f>IFERROR(__xludf.DUMMYFUNCTION("""COMPUTED_VALUE"""),259.68)</f>
        <v>259.68</v>
      </c>
      <c r="F680" s="1">
        <f>IFERROR(__xludf.DUMMYFUNCTION("""COMPUTED_VALUE"""),1.394375E7)</f>
        <v>13943750</v>
      </c>
    </row>
    <row r="681">
      <c r="A681" s="2">
        <f>IFERROR(__xludf.DUMMYFUNCTION("""COMPUTED_VALUE"""),32384.666666666668)</f>
        <v>32384.66667</v>
      </c>
      <c r="B681" s="1">
        <f>IFERROR(__xludf.DUMMYFUNCTION("""COMPUTED_VALUE"""),259.68)</f>
        <v>259.68</v>
      </c>
      <c r="C681" s="1">
        <f>IFERROR(__xludf.DUMMYFUNCTION("""COMPUTED_VALUE"""),262.56)</f>
        <v>262.56</v>
      </c>
      <c r="D681" s="1">
        <f>IFERROR(__xludf.DUMMYFUNCTION("""COMPUTED_VALUE"""),259.68)</f>
        <v>259.68</v>
      </c>
      <c r="E681" s="1">
        <f>IFERROR(__xludf.DUMMYFUNCTION("""COMPUTED_VALUE"""),262.33)</f>
        <v>262.33</v>
      </c>
      <c r="F681" s="1">
        <f>IFERROR(__xludf.DUMMYFUNCTION("""COMPUTED_VALUE"""),1.55125E7)</f>
        <v>15512500</v>
      </c>
    </row>
    <row r="682">
      <c r="A682" s="2">
        <f>IFERROR(__xludf.DUMMYFUNCTION("""COMPUTED_VALUE"""),32385.666666666668)</f>
        <v>32385.66667</v>
      </c>
      <c r="B682" s="1">
        <f>IFERROR(__xludf.DUMMYFUNCTION("""COMPUTED_VALUE"""),262.33)</f>
        <v>262.33</v>
      </c>
      <c r="C682" s="1">
        <f>IFERROR(__xludf.DUMMYFUNCTION("""COMPUTED_VALUE"""),263.18)</f>
        <v>263.18</v>
      </c>
      <c r="D682" s="1">
        <f>IFERROR(__xludf.DUMMYFUNCTION("""COMPUTED_VALUE"""),261.53)</f>
        <v>261.53</v>
      </c>
      <c r="E682" s="1">
        <f>IFERROR(__xludf.DUMMYFUNCTION("""COMPUTED_VALUE"""),262.51)</f>
        <v>262.51</v>
      </c>
      <c r="F682" s="1">
        <f>IFERROR(__xludf.DUMMYFUNCTION("""COMPUTED_VALUE"""),1.69875E7)</f>
        <v>16987500</v>
      </c>
    </row>
    <row r="683">
      <c r="A683" s="2">
        <f>IFERROR(__xludf.DUMMYFUNCTION("""COMPUTED_VALUE"""),32386.666666666668)</f>
        <v>32386.66667</v>
      </c>
      <c r="B683" s="1">
        <f>IFERROR(__xludf.DUMMYFUNCTION("""COMPUTED_VALUE"""),262.51)</f>
        <v>262.51</v>
      </c>
      <c r="C683" s="1">
        <f>IFERROR(__xludf.DUMMYFUNCTION("""COMPUTED_VALUE"""),263.8)</f>
        <v>263.8</v>
      </c>
      <c r="D683" s="1">
        <f>IFERROR(__xludf.DUMMYFUNCTION("""COMPUTED_VALUE"""),261.21)</f>
        <v>261.21</v>
      </c>
      <c r="E683" s="1">
        <f>IFERROR(__xludf.DUMMYFUNCTION("""COMPUTED_VALUE"""),261.52)</f>
        <v>261.52</v>
      </c>
      <c r="F683" s="1">
        <f>IFERROR(__xludf.DUMMYFUNCTION("""COMPUTED_VALUE"""),2.03875E7)</f>
        <v>20387500</v>
      </c>
    </row>
    <row r="684">
      <c r="A684" s="2">
        <f>IFERROR(__xludf.DUMMYFUNCTION("""COMPUTED_VALUE"""),32387.666666666668)</f>
        <v>32387.66667</v>
      </c>
      <c r="B684" s="1">
        <f>IFERROR(__xludf.DUMMYFUNCTION("""COMPUTED_VALUE"""),261.52)</f>
        <v>261.52</v>
      </c>
      <c r="C684" s="1">
        <f>IFERROR(__xludf.DUMMYFUNCTION("""COMPUTED_VALUE"""),261.52)</f>
        <v>261.52</v>
      </c>
      <c r="D684" s="1">
        <f>IFERROR(__xludf.DUMMYFUNCTION("""COMPUTED_VALUE"""),256.98)</f>
        <v>256.98</v>
      </c>
      <c r="E684" s="1">
        <f>IFERROR(__xludf.DUMMYFUNCTION("""COMPUTED_VALUE"""),258.35)</f>
        <v>258.35</v>
      </c>
      <c r="F684" s="1">
        <f>IFERROR(__xludf.DUMMYFUNCTION("""COMPUTED_VALUE"""),2.2514062E7)</f>
        <v>22514062</v>
      </c>
    </row>
    <row r="685">
      <c r="A685" s="2">
        <f>IFERROR(__xludf.DUMMYFUNCTION("""COMPUTED_VALUE"""),32388.666666666668)</f>
        <v>32388.66667</v>
      </c>
      <c r="B685" s="1">
        <f>IFERROR(__xludf.DUMMYFUNCTION("""COMPUTED_VALUE"""),258.35)</f>
        <v>258.35</v>
      </c>
      <c r="C685" s="1">
        <f>IFERROR(__xludf.DUMMYFUNCTION("""COMPUTED_VALUE"""),264.9)</f>
        <v>264.9</v>
      </c>
      <c r="D685" s="1">
        <f>IFERROR(__xludf.DUMMYFUNCTION("""COMPUTED_VALUE"""),258.35)</f>
        <v>258.35</v>
      </c>
      <c r="E685" s="1">
        <f>IFERROR(__xludf.DUMMYFUNCTION("""COMPUTED_VALUE"""),264.48)</f>
        <v>264.48</v>
      </c>
      <c r="F685" s="1">
        <f>IFERROR(__xludf.DUMMYFUNCTION("""COMPUTED_VALUE"""),2.4975E7)</f>
        <v>24975000</v>
      </c>
    </row>
    <row r="686">
      <c r="A686" s="2">
        <f>IFERROR(__xludf.DUMMYFUNCTION("""COMPUTED_VALUE"""),32392.666666666668)</f>
        <v>32392.66667</v>
      </c>
      <c r="B686" s="1">
        <f>IFERROR(__xludf.DUMMYFUNCTION("""COMPUTED_VALUE"""),264.42)</f>
        <v>264.42</v>
      </c>
      <c r="C686" s="1">
        <f>IFERROR(__xludf.DUMMYFUNCTION("""COMPUTED_VALUE"""),265.94)</f>
        <v>265.94</v>
      </c>
      <c r="D686" s="1">
        <f>IFERROR(__xludf.DUMMYFUNCTION("""COMPUTED_VALUE"""),264.4)</f>
        <v>264.4</v>
      </c>
      <c r="E686" s="1">
        <f>IFERROR(__xludf.DUMMYFUNCTION("""COMPUTED_VALUE"""),265.59)</f>
        <v>265.59</v>
      </c>
      <c r="F686" s="1">
        <f>IFERROR(__xludf.DUMMYFUNCTION("""COMPUTED_VALUE"""),1.9101562E7)</f>
        <v>19101562</v>
      </c>
    </row>
    <row r="687">
      <c r="A687" s="2">
        <f>IFERROR(__xludf.DUMMYFUNCTION("""COMPUTED_VALUE"""),32393.666666666668)</f>
        <v>32393.66667</v>
      </c>
      <c r="B687" s="1">
        <f>IFERROR(__xludf.DUMMYFUNCTION("""COMPUTED_VALUE"""),265.62)</f>
        <v>265.62</v>
      </c>
      <c r="C687" s="1">
        <f>IFERROR(__xludf.DUMMYFUNCTION("""COMPUTED_VALUE"""),266.98)</f>
        <v>266.98</v>
      </c>
      <c r="D687" s="1">
        <f>IFERROR(__xludf.DUMMYFUNCTION("""COMPUTED_VALUE"""),264.93)</f>
        <v>264.93</v>
      </c>
      <c r="E687" s="1">
        <f>IFERROR(__xludf.DUMMYFUNCTION("""COMPUTED_VALUE"""),265.87)</f>
        <v>265.87</v>
      </c>
      <c r="F687" s="1">
        <f>IFERROR(__xludf.DUMMYFUNCTION("""COMPUTED_VALUE"""),2.1810938E7)</f>
        <v>21810938</v>
      </c>
    </row>
    <row r="688">
      <c r="A688" s="2">
        <f>IFERROR(__xludf.DUMMYFUNCTION("""COMPUTED_VALUE"""),32394.666666666668)</f>
        <v>32394.66667</v>
      </c>
      <c r="B688" s="1">
        <f>IFERROR(__xludf.DUMMYFUNCTION("""COMPUTED_VALUE"""),265.87)</f>
        <v>265.87</v>
      </c>
      <c r="C688" s="1">
        <f>IFERROR(__xludf.DUMMYFUNCTION("""COMPUTED_VALUE"""),266.54)</f>
        <v>266.54</v>
      </c>
      <c r="D688" s="1">
        <f>IFERROR(__xludf.DUMMYFUNCTION("""COMPUTED_VALUE"""),264.88)</f>
        <v>264.88</v>
      </c>
      <c r="E688" s="1">
        <f>IFERROR(__xludf.DUMMYFUNCTION("""COMPUTED_VALUE"""),265.88)</f>
        <v>265.88</v>
      </c>
      <c r="F688" s="1">
        <f>IFERROR(__xludf.DUMMYFUNCTION("""COMPUTED_VALUE"""),2.3340624E7)</f>
        <v>23340624</v>
      </c>
    </row>
    <row r="689">
      <c r="A689" s="2">
        <f>IFERROR(__xludf.DUMMYFUNCTION("""COMPUTED_VALUE"""),32395.666666666668)</f>
        <v>32395.66667</v>
      </c>
      <c r="B689" s="1">
        <f>IFERROR(__xludf.DUMMYFUNCTION("""COMPUTED_VALUE"""),265.88)</f>
        <v>265.88</v>
      </c>
      <c r="C689" s="1">
        <f>IFERROR(__xludf.DUMMYFUNCTION("""COMPUTED_VALUE"""),268.26)</f>
        <v>268.26</v>
      </c>
      <c r="D689" s="1">
        <f>IFERROR(__xludf.DUMMYFUNCTION("""COMPUTED_VALUE"""),263.66)</f>
        <v>263.66</v>
      </c>
      <c r="E689" s="1">
        <f>IFERROR(__xludf.DUMMYFUNCTION("""COMPUTED_VALUE"""),266.84)</f>
        <v>266.84</v>
      </c>
      <c r="F689" s="1">
        <f>IFERROR(__xludf.DUMMYFUNCTION("""COMPUTED_VALUE"""),2.2115624E7)</f>
        <v>22115624</v>
      </c>
    </row>
    <row r="690">
      <c r="A690" s="2">
        <f>IFERROR(__xludf.DUMMYFUNCTION("""COMPUTED_VALUE"""),32398.666666666668)</f>
        <v>32398.66667</v>
      </c>
      <c r="B690" s="1">
        <f>IFERROR(__xludf.DUMMYFUNCTION("""COMPUTED_VALUE"""),266.85)</f>
        <v>266.85</v>
      </c>
      <c r="C690" s="1">
        <f>IFERROR(__xludf.DUMMYFUNCTION("""COMPUTED_VALUE"""),267.64)</f>
        <v>267.64</v>
      </c>
      <c r="D690" s="1">
        <f>IFERROR(__xludf.DUMMYFUNCTION("""COMPUTED_VALUE"""),266.22)</f>
        <v>266.22</v>
      </c>
      <c r="E690" s="1">
        <f>IFERROR(__xludf.DUMMYFUNCTION("""COMPUTED_VALUE"""),266.47)</f>
        <v>266.47</v>
      </c>
      <c r="F690" s="1">
        <f>IFERROR(__xludf.DUMMYFUNCTION("""COMPUTED_VALUE"""),1.795E7)</f>
        <v>17950000</v>
      </c>
    </row>
    <row r="691">
      <c r="A691" s="2">
        <f>IFERROR(__xludf.DUMMYFUNCTION("""COMPUTED_VALUE"""),32399.666666666668)</f>
        <v>32399.66667</v>
      </c>
      <c r="B691" s="1">
        <f>IFERROR(__xludf.DUMMYFUNCTION("""COMPUTED_VALUE"""),266.45)</f>
        <v>266.45</v>
      </c>
      <c r="C691" s="1">
        <f>IFERROR(__xludf.DUMMYFUNCTION("""COMPUTED_VALUE"""),267.43)</f>
        <v>267.43</v>
      </c>
      <c r="D691" s="1">
        <f>IFERROR(__xludf.DUMMYFUNCTION("""COMPUTED_VALUE"""),265.22)</f>
        <v>265.22</v>
      </c>
      <c r="E691" s="1">
        <f>IFERROR(__xludf.DUMMYFUNCTION("""COMPUTED_VALUE"""),267.43)</f>
        <v>267.43</v>
      </c>
      <c r="F691" s="1">
        <f>IFERROR(__xludf.DUMMYFUNCTION("""COMPUTED_VALUE"""),2.5389062E7)</f>
        <v>25389062</v>
      </c>
    </row>
    <row r="692">
      <c r="A692" s="2">
        <f>IFERROR(__xludf.DUMMYFUNCTION("""COMPUTED_VALUE"""),32400.666666666668)</f>
        <v>32400.66667</v>
      </c>
      <c r="B692" s="1">
        <f>IFERROR(__xludf.DUMMYFUNCTION("""COMPUTED_VALUE"""),267.5)</f>
        <v>267.5</v>
      </c>
      <c r="C692" s="1">
        <f>IFERROR(__xludf.DUMMYFUNCTION("""COMPUTED_VALUE"""),269.47)</f>
        <v>269.47</v>
      </c>
      <c r="D692" s="1">
        <f>IFERROR(__xludf.DUMMYFUNCTION("""COMPUTED_VALUE"""),267.41)</f>
        <v>267.41</v>
      </c>
      <c r="E692" s="1">
        <f>IFERROR(__xludf.DUMMYFUNCTION("""COMPUTED_VALUE"""),269.31)</f>
        <v>269.31</v>
      </c>
      <c r="F692" s="1">
        <f>IFERROR(__xludf.DUMMYFUNCTION("""COMPUTED_VALUE"""),2.7690624E7)</f>
        <v>27690624</v>
      </c>
    </row>
    <row r="693">
      <c r="A693" s="2">
        <f>IFERROR(__xludf.DUMMYFUNCTION("""COMPUTED_VALUE"""),32401.666666666668)</f>
        <v>32401.66667</v>
      </c>
      <c r="B693" s="1">
        <f>IFERROR(__xludf.DUMMYFUNCTION("""COMPUTED_VALUE"""),269.3)</f>
        <v>269.3</v>
      </c>
      <c r="C693" s="1">
        <f>IFERROR(__xludf.DUMMYFUNCTION("""COMPUTED_VALUE"""),269.78)</f>
        <v>269.78</v>
      </c>
      <c r="D693" s="1">
        <f>IFERROR(__xludf.DUMMYFUNCTION("""COMPUTED_VALUE"""),268.03)</f>
        <v>268.03</v>
      </c>
      <c r="E693" s="1">
        <f>IFERROR(__xludf.DUMMYFUNCTION("""COMPUTED_VALUE"""),268.13)</f>
        <v>268.13</v>
      </c>
      <c r="F693" s="1">
        <f>IFERROR(__xludf.DUMMYFUNCTION("""COMPUTED_VALUE"""),2.5189062E7)</f>
        <v>25189062</v>
      </c>
    </row>
    <row r="694">
      <c r="A694" s="2">
        <f>IFERROR(__xludf.DUMMYFUNCTION("""COMPUTED_VALUE"""),32402.666666666668)</f>
        <v>32402.66667</v>
      </c>
      <c r="B694" s="1">
        <f>IFERROR(__xludf.DUMMYFUNCTION("""COMPUTED_VALUE"""),268.13)</f>
        <v>268.13</v>
      </c>
      <c r="C694" s="1">
        <f>IFERROR(__xludf.DUMMYFUNCTION("""COMPUTED_VALUE"""),270.81)</f>
        <v>270.81</v>
      </c>
      <c r="D694" s="1">
        <f>IFERROR(__xludf.DUMMYFUNCTION("""COMPUTED_VALUE"""),267.33)</f>
        <v>267.33</v>
      </c>
      <c r="E694" s="1">
        <f>IFERROR(__xludf.DUMMYFUNCTION("""COMPUTED_VALUE"""),270.65)</f>
        <v>270.65</v>
      </c>
      <c r="F694" s="1">
        <f>IFERROR(__xludf.DUMMYFUNCTION("""COMPUTED_VALUE"""),3.2985938E7)</f>
        <v>32985938</v>
      </c>
    </row>
    <row r="695">
      <c r="A695" s="2">
        <f>IFERROR(__xludf.DUMMYFUNCTION("""COMPUTED_VALUE"""),32405.666666666668)</f>
        <v>32405.66667</v>
      </c>
      <c r="B695" s="1">
        <f>IFERROR(__xludf.DUMMYFUNCTION("""COMPUTED_VALUE"""),270.64)</f>
        <v>270.64</v>
      </c>
      <c r="C695" s="1">
        <f>IFERROR(__xludf.DUMMYFUNCTION("""COMPUTED_VALUE"""),270.65)</f>
        <v>270.65</v>
      </c>
      <c r="D695" s="1">
        <f>IFERROR(__xludf.DUMMYFUNCTION("""COMPUTED_VALUE"""),267.41)</f>
        <v>267.41</v>
      </c>
      <c r="E695" s="1">
        <f>IFERROR(__xludf.DUMMYFUNCTION("""COMPUTED_VALUE"""),268.82)</f>
        <v>268.82</v>
      </c>
      <c r="F695" s="1">
        <f>IFERROR(__xludf.DUMMYFUNCTION("""COMPUTED_VALUE"""),2.1214062E7)</f>
        <v>21214062</v>
      </c>
    </row>
    <row r="696">
      <c r="A696" s="2">
        <f>IFERROR(__xludf.DUMMYFUNCTION("""COMPUTED_VALUE"""),32406.666666666668)</f>
        <v>32406.66667</v>
      </c>
      <c r="B696" s="1">
        <f>IFERROR(__xludf.DUMMYFUNCTION("""COMPUTED_VALUE"""),268.83)</f>
        <v>268.83</v>
      </c>
      <c r="C696" s="1">
        <f>IFERROR(__xludf.DUMMYFUNCTION("""COMPUTED_VALUE"""),270.07)</f>
        <v>270.07</v>
      </c>
      <c r="D696" s="1">
        <f>IFERROR(__xludf.DUMMYFUNCTION("""COMPUTED_VALUE"""),268.5)</f>
        <v>268.5</v>
      </c>
      <c r="E696" s="1">
        <f>IFERROR(__xludf.DUMMYFUNCTION("""COMPUTED_VALUE"""),269.73)</f>
        <v>269.73</v>
      </c>
      <c r="F696" s="1">
        <f>IFERROR(__xludf.DUMMYFUNCTION("""COMPUTED_VALUE"""),2.2221876E7)</f>
        <v>22221876</v>
      </c>
    </row>
    <row r="697">
      <c r="A697" s="2">
        <f>IFERROR(__xludf.DUMMYFUNCTION("""COMPUTED_VALUE"""),32407.666666666668)</f>
        <v>32407.66667</v>
      </c>
      <c r="B697" s="1">
        <f>IFERROR(__xludf.DUMMYFUNCTION("""COMPUTED_VALUE"""),269.76)</f>
        <v>269.76</v>
      </c>
      <c r="C697" s="1">
        <f>IFERROR(__xludf.DUMMYFUNCTION("""COMPUTED_VALUE"""),270.64)</f>
        <v>270.64</v>
      </c>
      <c r="D697" s="1">
        <f>IFERROR(__xludf.DUMMYFUNCTION("""COMPUTED_VALUE"""),269.48)</f>
        <v>269.48</v>
      </c>
      <c r="E697" s="1">
        <f>IFERROR(__xludf.DUMMYFUNCTION("""COMPUTED_VALUE"""),270.16)</f>
        <v>270.16</v>
      </c>
      <c r="F697" s="1">
        <f>IFERROR(__xludf.DUMMYFUNCTION("""COMPUTED_VALUE"""),1.990625E7)</f>
        <v>19906250</v>
      </c>
    </row>
    <row r="698">
      <c r="A698" s="2">
        <f>IFERROR(__xludf.DUMMYFUNCTION("""COMPUTED_VALUE"""),32408.666666666668)</f>
        <v>32408.66667</v>
      </c>
      <c r="B698" s="1">
        <f>IFERROR(__xludf.DUMMYFUNCTION("""COMPUTED_VALUE"""),270.19)</f>
        <v>270.19</v>
      </c>
      <c r="C698" s="1">
        <f>IFERROR(__xludf.DUMMYFUNCTION("""COMPUTED_VALUE"""),270.58)</f>
        <v>270.58</v>
      </c>
      <c r="D698" s="1">
        <f>IFERROR(__xludf.DUMMYFUNCTION("""COMPUTED_VALUE"""),268.26)</f>
        <v>268.26</v>
      </c>
      <c r="E698" s="1">
        <f>IFERROR(__xludf.DUMMYFUNCTION("""COMPUTED_VALUE"""),269.18)</f>
        <v>269.18</v>
      </c>
      <c r="F698" s="1">
        <f>IFERROR(__xludf.DUMMYFUNCTION("""COMPUTED_VALUE"""),2.3542188E7)</f>
        <v>23542188</v>
      </c>
    </row>
    <row r="699">
      <c r="A699" s="2">
        <f>IFERROR(__xludf.DUMMYFUNCTION("""COMPUTED_VALUE"""),32409.666666666668)</f>
        <v>32409.66667</v>
      </c>
      <c r="B699" s="1">
        <f>IFERROR(__xludf.DUMMYFUNCTION("""COMPUTED_VALUE"""),269.16)</f>
        <v>269.16</v>
      </c>
      <c r="C699" s="1">
        <f>IFERROR(__xludf.DUMMYFUNCTION("""COMPUTED_VALUE"""),270.31)</f>
        <v>270.31</v>
      </c>
      <c r="D699" s="1">
        <f>IFERROR(__xludf.DUMMYFUNCTION("""COMPUTED_VALUE"""),268.28)</f>
        <v>268.28</v>
      </c>
      <c r="E699" s="1">
        <f>IFERROR(__xludf.DUMMYFUNCTION("""COMPUTED_VALUE"""),269.76)</f>
        <v>269.76</v>
      </c>
      <c r="F699" s="1">
        <f>IFERROR(__xludf.DUMMYFUNCTION("""COMPUTED_VALUE"""),2.2671876E7)</f>
        <v>22671876</v>
      </c>
    </row>
    <row r="700">
      <c r="A700" s="2">
        <f>IFERROR(__xludf.DUMMYFUNCTION("""COMPUTED_VALUE"""),32412.666666666668)</f>
        <v>32412.66667</v>
      </c>
      <c r="B700" s="1">
        <f>IFERROR(__xludf.DUMMYFUNCTION("""COMPUTED_VALUE"""),269.77)</f>
        <v>269.77</v>
      </c>
      <c r="C700" s="1">
        <f>IFERROR(__xludf.DUMMYFUNCTION("""COMPUTED_VALUE"""),269.8)</f>
        <v>269.8</v>
      </c>
      <c r="D700" s="1">
        <f>IFERROR(__xludf.DUMMYFUNCTION("""COMPUTED_VALUE"""),268.61)</f>
        <v>268.61</v>
      </c>
      <c r="E700" s="1">
        <f>IFERROR(__xludf.DUMMYFUNCTION("""COMPUTED_VALUE"""),268.88)</f>
        <v>268.88</v>
      </c>
      <c r="F700" s="1">
        <f>IFERROR(__xludf.DUMMYFUNCTION("""COMPUTED_VALUE"""),1.8190624E7)</f>
        <v>18190624</v>
      </c>
    </row>
    <row r="701">
      <c r="A701" s="2">
        <f>IFERROR(__xludf.DUMMYFUNCTION("""COMPUTED_VALUE"""),32413.666666666668)</f>
        <v>32413.66667</v>
      </c>
      <c r="B701" s="1">
        <f>IFERROR(__xludf.DUMMYFUNCTION("""COMPUTED_VALUE"""),268.89)</f>
        <v>268.89</v>
      </c>
      <c r="C701" s="1">
        <f>IFERROR(__xludf.DUMMYFUNCTION("""COMPUTED_VALUE"""),269.36)</f>
        <v>269.36</v>
      </c>
      <c r="D701" s="1">
        <f>IFERROR(__xludf.DUMMYFUNCTION("""COMPUTED_VALUE"""),268.01)</f>
        <v>268.01</v>
      </c>
      <c r="E701" s="1">
        <f>IFERROR(__xludf.DUMMYFUNCTION("""COMPUTED_VALUE"""),268.26)</f>
        <v>268.26</v>
      </c>
      <c r="F701" s="1">
        <f>IFERROR(__xludf.DUMMYFUNCTION("""COMPUTED_VALUE"""),1.7657812E7)</f>
        <v>17657812</v>
      </c>
    </row>
    <row r="702">
      <c r="A702" s="2">
        <f>IFERROR(__xludf.DUMMYFUNCTION("""COMPUTED_VALUE"""),32414.666666666668)</f>
        <v>32414.66667</v>
      </c>
      <c r="B702" s="1">
        <f>IFERROR(__xludf.DUMMYFUNCTION("""COMPUTED_VALUE"""),268.22)</f>
        <v>268.22</v>
      </c>
      <c r="C702" s="1">
        <f>IFERROR(__xludf.DUMMYFUNCTION("""COMPUTED_VALUE"""),269.08)</f>
        <v>269.08</v>
      </c>
      <c r="D702" s="1">
        <f>IFERROR(__xludf.DUMMYFUNCTION("""COMPUTED_VALUE"""),267.77)</f>
        <v>267.77</v>
      </c>
      <c r="E702" s="1">
        <f>IFERROR(__xludf.DUMMYFUNCTION("""COMPUTED_VALUE"""),269.08)</f>
        <v>269.08</v>
      </c>
      <c r="F702" s="1">
        <f>IFERROR(__xludf.DUMMYFUNCTION("""COMPUTED_VALUE"""),1.776875E7)</f>
        <v>17768750</v>
      </c>
    </row>
    <row r="703">
      <c r="A703" s="2">
        <f>IFERROR(__xludf.DUMMYFUNCTION("""COMPUTED_VALUE"""),32415.666666666668)</f>
        <v>32415.66667</v>
      </c>
      <c r="B703" s="1">
        <f>IFERROR(__xludf.DUMMYFUNCTION("""COMPUTED_VALUE"""),269.09)</f>
        <v>269.09</v>
      </c>
      <c r="C703" s="1">
        <f>IFERROR(__xludf.DUMMYFUNCTION("""COMPUTED_VALUE"""),273.02)</f>
        <v>273.02</v>
      </c>
      <c r="D703" s="1">
        <f>IFERROR(__xludf.DUMMYFUNCTION("""COMPUTED_VALUE"""),269.08)</f>
        <v>269.08</v>
      </c>
      <c r="E703" s="1">
        <f>IFERROR(__xludf.DUMMYFUNCTION("""COMPUTED_VALUE"""),272.59)</f>
        <v>272.59</v>
      </c>
      <c r="F703" s="1">
        <f>IFERROR(__xludf.DUMMYFUNCTION("""COMPUTED_VALUE"""),2.4342188E7)</f>
        <v>24342188</v>
      </c>
    </row>
    <row r="704">
      <c r="A704" s="2">
        <f>IFERROR(__xludf.DUMMYFUNCTION("""COMPUTED_VALUE"""),32416.666666666668)</f>
        <v>32416.66667</v>
      </c>
      <c r="B704" s="1">
        <f>IFERROR(__xludf.DUMMYFUNCTION("""COMPUTED_VALUE"""),272.55)</f>
        <v>272.55</v>
      </c>
      <c r="C704" s="1">
        <f>IFERROR(__xludf.DUMMYFUNCTION("""COMPUTED_VALUE"""),274.87)</f>
        <v>274.87</v>
      </c>
      <c r="D704" s="1">
        <f>IFERROR(__xludf.DUMMYFUNCTION("""COMPUTED_VALUE"""),271.66)</f>
        <v>271.66</v>
      </c>
      <c r="E704" s="1">
        <f>IFERROR(__xludf.DUMMYFUNCTION("""COMPUTED_VALUE"""),271.91)</f>
        <v>271.91</v>
      </c>
      <c r="F704" s="1">
        <f>IFERROR(__xludf.DUMMYFUNCTION("""COMPUTED_VALUE"""),2.7460938E7)</f>
        <v>27460938</v>
      </c>
    </row>
    <row r="705">
      <c r="A705" s="2">
        <f>IFERROR(__xludf.DUMMYFUNCTION("""COMPUTED_VALUE"""),32419.666666666668)</f>
        <v>32419.66667</v>
      </c>
      <c r="B705" s="1">
        <f>IFERROR(__xludf.DUMMYFUNCTION("""COMPUTED_VALUE"""),271.89)</f>
        <v>271.89</v>
      </c>
      <c r="C705" s="1">
        <f>IFERROR(__xludf.DUMMYFUNCTION("""COMPUTED_VALUE"""),271.91)</f>
        <v>271.91</v>
      </c>
      <c r="D705" s="1">
        <f>IFERROR(__xludf.DUMMYFUNCTION("""COMPUTED_VALUE"""),268.84)</f>
        <v>268.84</v>
      </c>
      <c r="E705" s="1">
        <f>IFERROR(__xludf.DUMMYFUNCTION("""COMPUTED_VALUE"""),271.38)</f>
        <v>271.38</v>
      </c>
      <c r="F705" s="1">
        <f>IFERROR(__xludf.DUMMYFUNCTION("""COMPUTED_VALUE"""),2.0371876E7)</f>
        <v>20371876</v>
      </c>
    </row>
    <row r="706">
      <c r="A706" s="2">
        <f>IFERROR(__xludf.DUMMYFUNCTION("""COMPUTED_VALUE"""),32420.666666666668)</f>
        <v>32420.66667</v>
      </c>
      <c r="B706" s="1">
        <f>IFERROR(__xludf.DUMMYFUNCTION("""COMPUTED_VALUE"""),271.37)</f>
        <v>271.37</v>
      </c>
      <c r="C706" s="1">
        <f>IFERROR(__xludf.DUMMYFUNCTION("""COMPUTED_VALUE"""),271.79)</f>
        <v>271.79</v>
      </c>
      <c r="D706" s="1">
        <f>IFERROR(__xludf.DUMMYFUNCTION("""COMPUTED_VALUE"""),270.34)</f>
        <v>270.34</v>
      </c>
      <c r="E706" s="1">
        <f>IFERROR(__xludf.DUMMYFUNCTION("""COMPUTED_VALUE"""),270.62)</f>
        <v>270.62</v>
      </c>
      <c r="F706" s="1">
        <f>IFERROR(__xludf.DUMMYFUNCTION("""COMPUTED_VALUE"""),2.465E7)</f>
        <v>24650000</v>
      </c>
    </row>
    <row r="707">
      <c r="A707" s="2">
        <f>IFERROR(__xludf.DUMMYFUNCTION("""COMPUTED_VALUE"""),32421.666666666668)</f>
        <v>32421.66667</v>
      </c>
      <c r="B707" s="1">
        <f>IFERROR(__xludf.DUMMYFUNCTION("""COMPUTED_VALUE"""),270.63)</f>
        <v>270.63</v>
      </c>
      <c r="C707" s="1">
        <f>IFERROR(__xludf.DUMMYFUNCTION("""COMPUTED_VALUE"""),272.45)</f>
        <v>272.45</v>
      </c>
      <c r="D707" s="1">
        <f>IFERROR(__xludf.DUMMYFUNCTION("""COMPUTED_VALUE"""),270.08)</f>
        <v>270.08</v>
      </c>
      <c r="E707" s="1">
        <f>IFERROR(__xludf.DUMMYFUNCTION("""COMPUTED_VALUE"""),271.86)</f>
        <v>271.86</v>
      </c>
      <c r="F707" s="1">
        <f>IFERROR(__xludf.DUMMYFUNCTION("""COMPUTED_VALUE"""),2.7364062E7)</f>
        <v>27364062</v>
      </c>
    </row>
    <row r="708">
      <c r="A708" s="2">
        <f>IFERROR(__xludf.DUMMYFUNCTION("""COMPUTED_VALUE"""),32422.666666666668)</f>
        <v>32422.66667</v>
      </c>
      <c r="B708" s="1">
        <f>IFERROR(__xludf.DUMMYFUNCTION("""COMPUTED_VALUE"""),271.87)</f>
        <v>271.87</v>
      </c>
      <c r="C708" s="1">
        <f>IFERROR(__xludf.DUMMYFUNCTION("""COMPUTED_VALUE"""),272.39)</f>
        <v>272.39</v>
      </c>
      <c r="D708" s="1">
        <f>IFERROR(__xludf.DUMMYFUNCTION("""COMPUTED_VALUE"""),271.3)</f>
        <v>271.3</v>
      </c>
      <c r="E708" s="1">
        <f>IFERROR(__xludf.DUMMYFUNCTION("""COMPUTED_VALUE"""),272.39)</f>
        <v>272.39</v>
      </c>
      <c r="F708" s="1">
        <f>IFERROR(__xludf.DUMMYFUNCTION("""COMPUTED_VALUE"""),2.3995312E7)</f>
        <v>23995312</v>
      </c>
    </row>
    <row r="709">
      <c r="A709" s="2">
        <f>IFERROR(__xludf.DUMMYFUNCTION("""COMPUTED_VALUE"""),32423.666666666668)</f>
        <v>32423.66667</v>
      </c>
      <c r="B709" s="1">
        <f>IFERROR(__xludf.DUMMYFUNCTION("""COMPUTED_VALUE"""),272.38)</f>
        <v>272.38</v>
      </c>
      <c r="C709" s="1">
        <f>IFERROR(__xludf.DUMMYFUNCTION("""COMPUTED_VALUE"""),278.07)</f>
        <v>278.07</v>
      </c>
      <c r="D709" s="1">
        <f>IFERROR(__xludf.DUMMYFUNCTION("""COMPUTED_VALUE"""),272.37)</f>
        <v>272.37</v>
      </c>
      <c r="E709" s="1">
        <f>IFERROR(__xludf.DUMMYFUNCTION("""COMPUTED_VALUE"""),278.07)</f>
        <v>278.07</v>
      </c>
      <c r="F709" s="1">
        <f>IFERROR(__xludf.DUMMYFUNCTION("""COMPUTED_VALUE"""),3.3810936E7)</f>
        <v>33810936</v>
      </c>
    </row>
    <row r="710">
      <c r="A710" s="2">
        <f>IFERROR(__xludf.DUMMYFUNCTION("""COMPUTED_VALUE"""),32426.666666666668)</f>
        <v>32426.66667</v>
      </c>
      <c r="B710" s="1">
        <f>IFERROR(__xludf.DUMMYFUNCTION("""COMPUTED_VALUE"""),278.06)</f>
        <v>278.06</v>
      </c>
      <c r="C710" s="1">
        <f>IFERROR(__xludf.DUMMYFUNCTION("""COMPUTED_VALUE"""),278.69)</f>
        <v>278.69</v>
      </c>
      <c r="D710" s="1">
        <f>IFERROR(__xludf.DUMMYFUNCTION("""COMPUTED_VALUE"""),277.1)</f>
        <v>277.1</v>
      </c>
      <c r="E710" s="1">
        <f>IFERROR(__xludf.DUMMYFUNCTION("""COMPUTED_VALUE"""),278.24)</f>
        <v>278.24</v>
      </c>
      <c r="F710" s="1">
        <f>IFERROR(__xludf.DUMMYFUNCTION("""COMPUTED_VALUE"""),1.9478124E7)</f>
        <v>19478124</v>
      </c>
    </row>
    <row r="711">
      <c r="A711" s="2">
        <f>IFERROR(__xludf.DUMMYFUNCTION("""COMPUTED_VALUE"""),32427.666666666668)</f>
        <v>32427.66667</v>
      </c>
      <c r="B711" s="1">
        <f>IFERROR(__xludf.DUMMYFUNCTION("""COMPUTED_VALUE"""),278.15)</f>
        <v>278.15</v>
      </c>
      <c r="C711" s="1">
        <f>IFERROR(__xludf.DUMMYFUNCTION("""COMPUTED_VALUE"""),278.24)</f>
        <v>278.24</v>
      </c>
      <c r="D711" s="1">
        <f>IFERROR(__xludf.DUMMYFUNCTION("""COMPUTED_VALUE"""),276.33)</f>
        <v>276.33</v>
      </c>
      <c r="E711" s="1">
        <f>IFERROR(__xludf.DUMMYFUNCTION("""COMPUTED_VALUE"""),277.93)</f>
        <v>277.93</v>
      </c>
      <c r="F711" s="1">
        <f>IFERROR(__xludf.DUMMYFUNCTION("""COMPUTED_VALUE"""),2.2015624E7)</f>
        <v>22015624</v>
      </c>
    </row>
    <row r="712">
      <c r="A712" s="2">
        <f>IFERROR(__xludf.DUMMYFUNCTION("""COMPUTED_VALUE"""),32428.666666666668)</f>
        <v>32428.66667</v>
      </c>
      <c r="B712" s="1">
        <f>IFERROR(__xludf.DUMMYFUNCTION("""COMPUTED_VALUE"""),277.91)</f>
        <v>277.91</v>
      </c>
      <c r="C712" s="1">
        <f>IFERROR(__xludf.DUMMYFUNCTION("""COMPUTED_VALUE"""),277.93)</f>
        <v>277.93</v>
      </c>
      <c r="D712" s="1">
        <f>IFERROR(__xludf.DUMMYFUNCTION("""COMPUTED_VALUE"""),273.05)</f>
        <v>273.05</v>
      </c>
      <c r="E712" s="1">
        <f>IFERROR(__xludf.DUMMYFUNCTION("""COMPUTED_VALUE"""),273.98)</f>
        <v>273.98</v>
      </c>
      <c r="F712" s="1">
        <f>IFERROR(__xludf.DUMMYFUNCTION("""COMPUTED_VALUE"""),2.419375E7)</f>
        <v>24193750</v>
      </c>
    </row>
    <row r="713">
      <c r="A713" s="2">
        <f>IFERROR(__xludf.DUMMYFUNCTION("""COMPUTED_VALUE"""),32429.666666666668)</f>
        <v>32429.66667</v>
      </c>
      <c r="B713" s="1">
        <f>IFERROR(__xludf.DUMMYFUNCTION("""COMPUTED_VALUE"""),273.95)</f>
        <v>273.95</v>
      </c>
      <c r="C713" s="1">
        <f>IFERROR(__xludf.DUMMYFUNCTION("""COMPUTED_VALUE"""),275.83)</f>
        <v>275.83</v>
      </c>
      <c r="D713" s="1">
        <f>IFERROR(__xludf.DUMMYFUNCTION("""COMPUTED_VALUE"""),273.39)</f>
        <v>273.39</v>
      </c>
      <c r="E713" s="1">
        <f>IFERROR(__xludf.DUMMYFUNCTION("""COMPUTED_VALUE"""),275.22)</f>
        <v>275.22</v>
      </c>
      <c r="F713" s="1">
        <f>IFERROR(__xludf.DUMMYFUNCTION("""COMPUTED_VALUE"""),2.4145312E7)</f>
        <v>24145312</v>
      </c>
    </row>
    <row r="714">
      <c r="A714" s="2">
        <f>IFERROR(__xludf.DUMMYFUNCTION("""COMPUTED_VALUE"""),32430.666666666668)</f>
        <v>32430.66667</v>
      </c>
      <c r="B714" s="1">
        <f>IFERROR(__xludf.DUMMYFUNCTION("""COMPUTED_VALUE"""),275.27)</f>
        <v>275.27</v>
      </c>
      <c r="C714" s="1">
        <f>IFERROR(__xludf.DUMMYFUNCTION("""COMPUTED_VALUE"""),277.01)</f>
        <v>277.01</v>
      </c>
      <c r="D714" s="1">
        <f>IFERROR(__xludf.DUMMYFUNCTION("""COMPUTED_VALUE"""),274.08)</f>
        <v>274.08</v>
      </c>
      <c r="E714" s="1">
        <f>IFERROR(__xludf.DUMMYFUNCTION("""COMPUTED_VALUE"""),275.5)</f>
        <v>275.5</v>
      </c>
      <c r="F714" s="1">
        <f>IFERROR(__xludf.DUMMYFUNCTION("""COMPUTED_VALUE"""),2.50375E7)</f>
        <v>25037500</v>
      </c>
    </row>
    <row r="715">
      <c r="A715" s="2">
        <f>IFERROR(__xludf.DUMMYFUNCTION("""COMPUTED_VALUE"""),32433.666666666668)</f>
        <v>32433.66667</v>
      </c>
      <c r="B715" s="1">
        <f>IFERROR(__xludf.DUMMYFUNCTION("""COMPUTED_VALUE"""),275.48)</f>
        <v>275.48</v>
      </c>
      <c r="C715" s="1">
        <f>IFERROR(__xludf.DUMMYFUNCTION("""COMPUTED_VALUE"""),276.65)</f>
        <v>276.65</v>
      </c>
      <c r="D715" s="1">
        <f>IFERROR(__xludf.DUMMYFUNCTION("""COMPUTED_VALUE"""),275.01)</f>
        <v>275.01</v>
      </c>
      <c r="E715" s="1">
        <f>IFERROR(__xludf.DUMMYFUNCTION("""COMPUTED_VALUE"""),276.41)</f>
        <v>276.41</v>
      </c>
      <c r="F715" s="1">
        <f>IFERROR(__xludf.DUMMYFUNCTION("""COMPUTED_VALUE"""),1.8639062E7)</f>
        <v>18639062</v>
      </c>
    </row>
    <row r="716">
      <c r="A716" s="2">
        <f>IFERROR(__xludf.DUMMYFUNCTION("""COMPUTED_VALUE"""),32434.666666666668)</f>
        <v>32434.66667</v>
      </c>
      <c r="B716" s="1">
        <f>IFERROR(__xludf.DUMMYFUNCTION("""COMPUTED_VALUE"""),276.43)</f>
        <v>276.43</v>
      </c>
      <c r="C716" s="1">
        <f>IFERROR(__xludf.DUMMYFUNCTION("""COMPUTED_VALUE"""),279.39)</f>
        <v>279.39</v>
      </c>
      <c r="D716" s="1">
        <f>IFERROR(__xludf.DUMMYFUNCTION("""COMPUTED_VALUE"""),276.41)</f>
        <v>276.41</v>
      </c>
      <c r="E716" s="1">
        <f>IFERROR(__xludf.DUMMYFUNCTION("""COMPUTED_VALUE"""),279.38)</f>
        <v>279.38</v>
      </c>
      <c r="F716" s="1">
        <f>IFERROR(__xludf.DUMMYFUNCTION("""COMPUTED_VALUE"""),2.5390624E7)</f>
        <v>25390624</v>
      </c>
    </row>
    <row r="717">
      <c r="A717" s="2">
        <f>IFERROR(__xludf.DUMMYFUNCTION("""COMPUTED_VALUE"""),32435.666666666668)</f>
        <v>32435.66667</v>
      </c>
      <c r="B717" s="1">
        <f>IFERROR(__xludf.DUMMYFUNCTION("""COMPUTED_VALUE"""),279.4)</f>
        <v>279.4</v>
      </c>
      <c r="C717" s="1">
        <f>IFERROR(__xludf.DUMMYFUNCTION("""COMPUTED_VALUE"""),280.53)</f>
        <v>280.53</v>
      </c>
      <c r="D717" s="1">
        <f>IFERROR(__xludf.DUMMYFUNCTION("""COMPUTED_VALUE"""),274.41)</f>
        <v>274.41</v>
      </c>
      <c r="E717" s="1">
        <f>IFERROR(__xludf.DUMMYFUNCTION("""COMPUTED_VALUE"""),276.97)</f>
        <v>276.97</v>
      </c>
      <c r="F717" s="1">
        <f>IFERROR(__xludf.DUMMYFUNCTION("""COMPUTED_VALUE"""),2.9117188E7)</f>
        <v>29117188</v>
      </c>
    </row>
    <row r="718">
      <c r="A718" s="2">
        <f>IFERROR(__xludf.DUMMYFUNCTION("""COMPUTED_VALUE"""),32436.666666666668)</f>
        <v>32436.66667</v>
      </c>
      <c r="B718" s="1">
        <f>IFERROR(__xludf.DUMMYFUNCTION("""COMPUTED_VALUE"""),276.97)</f>
        <v>276.97</v>
      </c>
      <c r="C718" s="1">
        <f>IFERROR(__xludf.DUMMYFUNCTION("""COMPUTED_VALUE"""),282.88)</f>
        <v>282.88</v>
      </c>
      <c r="D718" s="1">
        <f>IFERROR(__xludf.DUMMYFUNCTION("""COMPUTED_VALUE"""),276.93)</f>
        <v>276.93</v>
      </c>
      <c r="E718" s="1">
        <f>IFERROR(__xludf.DUMMYFUNCTION("""COMPUTED_VALUE"""),282.88)</f>
        <v>282.88</v>
      </c>
      <c r="F718" s="1">
        <f>IFERROR(__xludf.DUMMYFUNCTION("""COMPUTED_VALUE"""),2.9621876E7)</f>
        <v>29621876</v>
      </c>
    </row>
    <row r="719">
      <c r="A719" s="2">
        <f>IFERROR(__xludf.DUMMYFUNCTION("""COMPUTED_VALUE"""),32437.666666666668)</f>
        <v>32437.66667</v>
      </c>
      <c r="B719" s="1">
        <f>IFERROR(__xludf.DUMMYFUNCTION("""COMPUTED_VALUE"""),282.88)</f>
        <v>282.88</v>
      </c>
      <c r="C719" s="1">
        <f>IFERROR(__xludf.DUMMYFUNCTION("""COMPUTED_VALUE"""),283.66)</f>
        <v>283.66</v>
      </c>
      <c r="D719" s="1">
        <f>IFERROR(__xludf.DUMMYFUNCTION("""COMPUTED_VALUE"""),281.16)</f>
        <v>281.16</v>
      </c>
      <c r="E719" s="1">
        <f>IFERROR(__xludf.DUMMYFUNCTION("""COMPUTED_VALUE"""),283.66)</f>
        <v>283.66</v>
      </c>
      <c r="F719" s="1">
        <f>IFERROR(__xludf.DUMMYFUNCTION("""COMPUTED_VALUE"""),3.0532812E7)</f>
        <v>30532812</v>
      </c>
    </row>
    <row r="720">
      <c r="A720" s="2">
        <f>IFERROR(__xludf.DUMMYFUNCTION("""COMPUTED_VALUE"""),32440.666666666668)</f>
        <v>32440.66667</v>
      </c>
      <c r="B720" s="1">
        <f>IFERROR(__xludf.DUMMYFUNCTION("""COMPUTED_VALUE"""),283.63)</f>
        <v>283.63</v>
      </c>
      <c r="C720" s="1">
        <f>IFERROR(__xludf.DUMMYFUNCTION("""COMPUTED_VALUE"""),283.95)</f>
        <v>283.95</v>
      </c>
      <c r="D720" s="1">
        <f>IFERROR(__xludf.DUMMYFUNCTION("""COMPUTED_VALUE"""),282.28)</f>
        <v>282.28</v>
      </c>
      <c r="E720" s="1">
        <f>IFERROR(__xludf.DUMMYFUNCTION("""COMPUTED_VALUE"""),282.28)</f>
        <v>282.28</v>
      </c>
      <c r="F720" s="1">
        <f>IFERROR(__xludf.DUMMYFUNCTION("""COMPUTED_VALUE"""),2.6654688E7)</f>
        <v>26654688</v>
      </c>
    </row>
    <row r="721">
      <c r="A721" s="2">
        <f>IFERROR(__xludf.DUMMYFUNCTION("""COMPUTED_VALUE"""),32441.666666666668)</f>
        <v>32441.66667</v>
      </c>
      <c r="B721" s="1">
        <f>IFERROR(__xludf.DUMMYFUNCTION("""COMPUTED_VALUE"""),282.28)</f>
        <v>282.28</v>
      </c>
      <c r="C721" s="1">
        <f>IFERROR(__xludf.DUMMYFUNCTION("""COMPUTED_VALUE"""),282.84)</f>
        <v>282.84</v>
      </c>
      <c r="D721" s="1">
        <f>IFERROR(__xludf.DUMMYFUNCTION("""COMPUTED_VALUE"""),281.87)</f>
        <v>281.87</v>
      </c>
      <c r="E721" s="1">
        <f>IFERROR(__xludf.DUMMYFUNCTION("""COMPUTED_VALUE"""),282.38)</f>
        <v>282.38</v>
      </c>
      <c r="F721" s="1">
        <f>IFERROR(__xludf.DUMMYFUNCTION("""COMPUTED_VALUE"""),2.4248438E7)</f>
        <v>24248438</v>
      </c>
    </row>
    <row r="722">
      <c r="A722" s="2">
        <f>IFERROR(__xludf.DUMMYFUNCTION("""COMPUTED_VALUE"""),32442.666666666668)</f>
        <v>32442.66667</v>
      </c>
      <c r="B722" s="1">
        <f>IFERROR(__xludf.DUMMYFUNCTION("""COMPUTED_VALUE"""),282.37)</f>
        <v>282.37</v>
      </c>
      <c r="C722" s="1">
        <f>IFERROR(__xludf.DUMMYFUNCTION("""COMPUTED_VALUE"""),282.52)</f>
        <v>282.52</v>
      </c>
      <c r="D722" s="1">
        <f>IFERROR(__xludf.DUMMYFUNCTION("""COMPUTED_VALUE"""),280.54)</f>
        <v>280.54</v>
      </c>
      <c r="E722" s="1">
        <f>IFERROR(__xludf.DUMMYFUNCTION("""COMPUTED_VALUE"""),281.38)</f>
        <v>281.38</v>
      </c>
      <c r="F722" s="1">
        <f>IFERROR(__xludf.DUMMYFUNCTION("""COMPUTED_VALUE"""),2.8367188E7)</f>
        <v>28367188</v>
      </c>
    </row>
    <row r="723">
      <c r="A723" s="2">
        <f>IFERROR(__xludf.DUMMYFUNCTION("""COMPUTED_VALUE"""),32443.666666666668)</f>
        <v>32443.66667</v>
      </c>
      <c r="B723" s="1">
        <f>IFERROR(__xludf.DUMMYFUNCTION("""COMPUTED_VALUE"""),281.35)</f>
        <v>281.35</v>
      </c>
      <c r="C723" s="1">
        <f>IFERROR(__xludf.DUMMYFUNCTION("""COMPUTED_VALUE"""),281.38)</f>
        <v>281.38</v>
      </c>
      <c r="D723" s="1">
        <f>IFERROR(__xludf.DUMMYFUNCTION("""COMPUTED_VALUE"""),276.0)</f>
        <v>276</v>
      </c>
      <c r="E723" s="1">
        <f>IFERROR(__xludf.DUMMYFUNCTION("""COMPUTED_VALUE"""),277.28)</f>
        <v>277.28</v>
      </c>
      <c r="F723" s="1">
        <f>IFERROR(__xludf.DUMMYFUNCTION("""COMPUTED_VALUE"""),3.0709376E7)</f>
        <v>30709376</v>
      </c>
    </row>
    <row r="724">
      <c r="A724" s="2">
        <f>IFERROR(__xludf.DUMMYFUNCTION("""COMPUTED_VALUE"""),32444.666666666668)</f>
        <v>32444.66667</v>
      </c>
      <c r="B724" s="1">
        <f>IFERROR(__xludf.DUMMYFUNCTION("""COMPUTED_VALUE"""),277.29)</f>
        <v>277.29</v>
      </c>
      <c r="C724" s="1">
        <f>IFERROR(__xludf.DUMMYFUNCTION("""COMPUTED_VALUE"""),279.48)</f>
        <v>279.48</v>
      </c>
      <c r="D724" s="1">
        <f>IFERROR(__xludf.DUMMYFUNCTION("""COMPUTED_VALUE"""),277.28)</f>
        <v>277.28</v>
      </c>
      <c r="E724" s="1">
        <f>IFERROR(__xludf.DUMMYFUNCTION("""COMPUTED_VALUE"""),278.53)</f>
        <v>278.53</v>
      </c>
      <c r="F724" s="1">
        <f>IFERROR(__xludf.DUMMYFUNCTION("""COMPUTED_VALUE"""),2.2859376E7)</f>
        <v>22859376</v>
      </c>
    </row>
    <row r="725">
      <c r="A725" s="2">
        <f>IFERROR(__xludf.DUMMYFUNCTION("""COMPUTED_VALUE"""),32447.666666666668)</f>
        <v>32447.66667</v>
      </c>
      <c r="B725" s="1">
        <f>IFERROR(__xludf.DUMMYFUNCTION("""COMPUTED_VALUE"""),278.54)</f>
        <v>278.54</v>
      </c>
      <c r="C725" s="1">
        <f>IFERROR(__xludf.DUMMYFUNCTION("""COMPUTED_VALUE"""),279.39)</f>
        <v>279.39</v>
      </c>
      <c r="D725" s="1">
        <f>IFERROR(__xludf.DUMMYFUNCTION("""COMPUTED_VALUE"""),277.14)</f>
        <v>277.14</v>
      </c>
      <c r="E725" s="1">
        <f>IFERROR(__xludf.DUMMYFUNCTION("""COMPUTED_VALUE"""),278.97)</f>
        <v>278.97</v>
      </c>
      <c r="F725" s="1">
        <f>IFERROR(__xludf.DUMMYFUNCTION("""COMPUTED_VALUE"""),2.2415624E7)</f>
        <v>22415624</v>
      </c>
    </row>
    <row r="726">
      <c r="A726" s="2">
        <f>IFERROR(__xludf.DUMMYFUNCTION("""COMPUTED_VALUE"""),32448.666666666668)</f>
        <v>32448.66667</v>
      </c>
      <c r="B726" s="1">
        <f>IFERROR(__xludf.DUMMYFUNCTION("""COMPUTED_VALUE"""),278.97)</f>
        <v>278.97</v>
      </c>
      <c r="C726" s="1">
        <f>IFERROR(__xludf.DUMMYFUNCTION("""COMPUTED_VALUE"""),279.57)</f>
        <v>279.57</v>
      </c>
      <c r="D726" s="1">
        <f>IFERROR(__xludf.DUMMYFUNCTION("""COMPUTED_VALUE"""),278.01)</f>
        <v>278.01</v>
      </c>
      <c r="E726" s="1">
        <f>IFERROR(__xludf.DUMMYFUNCTION("""COMPUTED_VALUE"""),279.06)</f>
        <v>279.06</v>
      </c>
      <c r="F726" s="1">
        <f>IFERROR(__xludf.DUMMYFUNCTION("""COMPUTED_VALUE"""),2.3632812E7)</f>
        <v>23632812</v>
      </c>
    </row>
    <row r="727">
      <c r="A727" s="2">
        <f>IFERROR(__xludf.DUMMYFUNCTION("""COMPUTED_VALUE"""),32449.666666666668)</f>
        <v>32449.66667</v>
      </c>
      <c r="B727" s="1">
        <f>IFERROR(__xludf.DUMMYFUNCTION("""COMPUTED_VALUE"""),279.07)</f>
        <v>279.07</v>
      </c>
      <c r="C727" s="1">
        <f>IFERROR(__xludf.DUMMYFUNCTION("""COMPUTED_VALUE"""),279.45)</f>
        <v>279.45</v>
      </c>
      <c r="D727" s="1">
        <f>IFERROR(__xludf.DUMMYFUNCTION("""COMPUTED_VALUE"""),277.08)</f>
        <v>277.08</v>
      </c>
      <c r="E727" s="1">
        <f>IFERROR(__xludf.DUMMYFUNCTION("""COMPUTED_VALUE"""),279.06)</f>
        <v>279.06</v>
      </c>
      <c r="F727" s="1">
        <f>IFERROR(__xludf.DUMMYFUNCTION("""COMPUTED_VALUE"""),2.5203124E7)</f>
        <v>25203124</v>
      </c>
    </row>
    <row r="728">
      <c r="A728" s="2">
        <f>IFERROR(__xludf.DUMMYFUNCTION("""COMPUTED_VALUE"""),32450.666666666668)</f>
        <v>32450.66667</v>
      </c>
      <c r="B728" s="1">
        <f>IFERROR(__xludf.DUMMYFUNCTION("""COMPUTED_VALUE"""),279.04)</f>
        <v>279.04</v>
      </c>
      <c r="C728" s="1">
        <f>IFERROR(__xludf.DUMMYFUNCTION("""COMPUTED_VALUE"""),280.37)</f>
        <v>280.37</v>
      </c>
      <c r="D728" s="1">
        <f>IFERROR(__xludf.DUMMYFUNCTION("""COMPUTED_VALUE"""),279.04)</f>
        <v>279.04</v>
      </c>
      <c r="E728" s="1">
        <f>IFERROR(__xludf.DUMMYFUNCTION("""COMPUTED_VALUE"""),279.2)</f>
        <v>279.2</v>
      </c>
      <c r="F728" s="1">
        <f>IFERROR(__xludf.DUMMYFUNCTION("""COMPUTED_VALUE"""),2.3903124E7)</f>
        <v>23903124</v>
      </c>
    </row>
    <row r="729">
      <c r="A729" s="2">
        <f>IFERROR(__xludf.DUMMYFUNCTION("""COMPUTED_VALUE"""),32451.666666666668)</f>
        <v>32451.66667</v>
      </c>
      <c r="B729" s="1">
        <f>IFERROR(__xludf.DUMMYFUNCTION("""COMPUTED_VALUE"""),279.11)</f>
        <v>279.11</v>
      </c>
      <c r="C729" s="1">
        <f>IFERROR(__xludf.DUMMYFUNCTION("""COMPUTED_VALUE"""),279.2)</f>
        <v>279.2</v>
      </c>
      <c r="D729" s="1">
        <f>IFERROR(__xludf.DUMMYFUNCTION("""COMPUTED_VALUE"""),276.31)</f>
        <v>276.31</v>
      </c>
      <c r="E729" s="1">
        <f>IFERROR(__xludf.DUMMYFUNCTION("""COMPUTED_VALUE"""),276.31)</f>
        <v>276.31</v>
      </c>
      <c r="F729" s="1">
        <f>IFERROR(__xludf.DUMMYFUNCTION("""COMPUTED_VALUE"""),2.2434376E7)</f>
        <v>22434376</v>
      </c>
    </row>
    <row r="730">
      <c r="A730" s="2">
        <f>IFERROR(__xludf.DUMMYFUNCTION("""COMPUTED_VALUE"""),32454.666666666668)</f>
        <v>32454.66667</v>
      </c>
      <c r="B730" s="1">
        <f>IFERROR(__xludf.DUMMYFUNCTION("""COMPUTED_VALUE"""),276.3)</f>
        <v>276.3</v>
      </c>
      <c r="C730" s="1">
        <f>IFERROR(__xludf.DUMMYFUNCTION("""COMPUTED_VALUE"""),276.31)</f>
        <v>276.31</v>
      </c>
      <c r="D730" s="1">
        <f>IFERROR(__xludf.DUMMYFUNCTION("""COMPUTED_VALUE"""),273.62)</f>
        <v>273.62</v>
      </c>
      <c r="E730" s="1">
        <f>IFERROR(__xludf.DUMMYFUNCTION("""COMPUTED_VALUE"""),273.93)</f>
        <v>273.93</v>
      </c>
      <c r="F730" s="1">
        <f>IFERROR(__xludf.DUMMYFUNCTION("""COMPUTED_VALUE"""),2.0917188E7)</f>
        <v>20917188</v>
      </c>
    </row>
    <row r="731">
      <c r="A731" s="2">
        <f>IFERROR(__xludf.DUMMYFUNCTION("""COMPUTED_VALUE"""),32455.666666666668)</f>
        <v>32455.66667</v>
      </c>
      <c r="B731" s="1">
        <f>IFERROR(__xludf.DUMMYFUNCTION("""COMPUTED_VALUE"""),273.95)</f>
        <v>273.95</v>
      </c>
      <c r="C731" s="1">
        <f>IFERROR(__xludf.DUMMYFUNCTION("""COMPUTED_VALUE"""),275.8)</f>
        <v>275.8</v>
      </c>
      <c r="D731" s="1">
        <f>IFERROR(__xludf.DUMMYFUNCTION("""COMPUTED_VALUE"""),273.93)</f>
        <v>273.93</v>
      </c>
      <c r="E731" s="1">
        <f>IFERROR(__xludf.DUMMYFUNCTION("""COMPUTED_VALUE"""),275.15)</f>
        <v>275.15</v>
      </c>
      <c r="F731" s="1">
        <f>IFERROR(__xludf.DUMMYFUNCTION("""COMPUTED_VALUE"""),2.2134376E7)</f>
        <v>22134376</v>
      </c>
    </row>
    <row r="732">
      <c r="A732" s="2">
        <f>IFERROR(__xludf.DUMMYFUNCTION("""COMPUTED_VALUE"""),32456.666666666668)</f>
        <v>32456.66667</v>
      </c>
      <c r="B732" s="1">
        <f>IFERROR(__xludf.DUMMYFUNCTION("""COMPUTED_VALUE"""),275.14)</f>
        <v>275.14</v>
      </c>
      <c r="C732" s="1">
        <f>IFERROR(__xludf.DUMMYFUNCTION("""COMPUTED_VALUE"""),275.15)</f>
        <v>275.15</v>
      </c>
      <c r="D732" s="1">
        <f>IFERROR(__xludf.DUMMYFUNCTION("""COMPUTED_VALUE"""),272.15)</f>
        <v>272.15</v>
      </c>
      <c r="E732" s="1">
        <f>IFERROR(__xludf.DUMMYFUNCTION("""COMPUTED_VALUE"""),273.33)</f>
        <v>273.33</v>
      </c>
      <c r="F732" s="1">
        <f>IFERROR(__xludf.DUMMYFUNCTION("""COMPUTED_VALUE"""),2.3928124E7)</f>
        <v>23928124</v>
      </c>
    </row>
    <row r="733">
      <c r="A733" s="2">
        <f>IFERROR(__xludf.DUMMYFUNCTION("""COMPUTED_VALUE"""),32457.666666666668)</f>
        <v>32457.66667</v>
      </c>
      <c r="B733" s="1">
        <f>IFERROR(__xludf.DUMMYFUNCTION("""COMPUTED_VALUE"""),273.32)</f>
        <v>273.32</v>
      </c>
      <c r="C733" s="1">
        <f>IFERROR(__xludf.DUMMYFUNCTION("""COMPUTED_VALUE"""),274.37)</f>
        <v>274.37</v>
      </c>
      <c r="D733" s="1">
        <f>IFERROR(__xludf.DUMMYFUNCTION("""COMPUTED_VALUE"""),272.98)</f>
        <v>272.98</v>
      </c>
      <c r="E733" s="1">
        <f>IFERROR(__xludf.DUMMYFUNCTION("""COMPUTED_VALUE"""),273.69)</f>
        <v>273.69</v>
      </c>
      <c r="F733" s="1">
        <f>IFERROR(__xludf.DUMMYFUNCTION("""COMPUTED_VALUE"""),2.014375E7)</f>
        <v>20143750</v>
      </c>
    </row>
    <row r="734">
      <c r="A734" s="2">
        <f>IFERROR(__xludf.DUMMYFUNCTION("""COMPUTED_VALUE"""),32458.666666666668)</f>
        <v>32458.66667</v>
      </c>
      <c r="B734" s="1">
        <f>IFERROR(__xludf.DUMMYFUNCTION("""COMPUTED_VALUE"""),273.65)</f>
        <v>273.65</v>
      </c>
      <c r="C734" s="1">
        <f>IFERROR(__xludf.DUMMYFUNCTION("""COMPUTED_VALUE"""),273.69)</f>
        <v>273.69</v>
      </c>
      <c r="D734" s="1">
        <f>IFERROR(__xludf.DUMMYFUNCTION("""COMPUTED_VALUE"""),267.92)</f>
        <v>267.92</v>
      </c>
      <c r="E734" s="1">
        <f>IFERROR(__xludf.DUMMYFUNCTION("""COMPUTED_VALUE"""),267.92)</f>
        <v>267.92</v>
      </c>
      <c r="F734" s="1">
        <f>IFERROR(__xludf.DUMMYFUNCTION("""COMPUTED_VALUE"""),2.1171876E7)</f>
        <v>21171876</v>
      </c>
    </row>
    <row r="735">
      <c r="A735" s="2">
        <f>IFERROR(__xludf.DUMMYFUNCTION("""COMPUTED_VALUE"""),32461.666666666668)</f>
        <v>32461.66667</v>
      </c>
      <c r="B735" s="1">
        <f>IFERROR(__xludf.DUMMYFUNCTION("""COMPUTED_VALUE"""),267.93)</f>
        <v>267.93</v>
      </c>
      <c r="C735" s="1">
        <f>IFERROR(__xludf.DUMMYFUNCTION("""COMPUTED_VALUE"""),269.25)</f>
        <v>269.25</v>
      </c>
      <c r="D735" s="1">
        <f>IFERROR(__xludf.DUMMYFUNCTION("""COMPUTED_VALUE"""),266.79)</f>
        <v>266.79</v>
      </c>
      <c r="E735" s="1">
        <f>IFERROR(__xludf.DUMMYFUNCTION("""COMPUTED_VALUE"""),267.72)</f>
        <v>267.72</v>
      </c>
      <c r="F735" s="1">
        <f>IFERROR(__xludf.DUMMYFUNCTION("""COMPUTED_VALUE"""),2.2328124E7)</f>
        <v>22328124</v>
      </c>
    </row>
    <row r="736">
      <c r="A736" s="2">
        <f>IFERROR(__xludf.DUMMYFUNCTION("""COMPUTED_VALUE"""),32462.666666666668)</f>
        <v>32462.66667</v>
      </c>
      <c r="B736" s="1">
        <f>IFERROR(__xludf.DUMMYFUNCTION("""COMPUTED_VALUE"""),267.73)</f>
        <v>267.73</v>
      </c>
      <c r="C736" s="1">
        <f>IFERROR(__xludf.DUMMYFUNCTION("""COMPUTED_VALUE"""),268.75)</f>
        <v>268.75</v>
      </c>
      <c r="D736" s="1">
        <f>IFERROR(__xludf.DUMMYFUNCTION("""COMPUTED_VALUE"""),267.72)</f>
        <v>267.72</v>
      </c>
      <c r="E736" s="1">
        <f>IFERROR(__xludf.DUMMYFUNCTION("""COMPUTED_VALUE"""),268.34)</f>
        <v>268.34</v>
      </c>
      <c r="F736" s="1">
        <f>IFERROR(__xludf.DUMMYFUNCTION("""COMPUTED_VALUE"""),1.7995312E7)</f>
        <v>17995312</v>
      </c>
    </row>
    <row r="737">
      <c r="A737" s="2">
        <f>IFERROR(__xludf.DUMMYFUNCTION("""COMPUTED_VALUE"""),32463.666666666668)</f>
        <v>32463.66667</v>
      </c>
      <c r="B737" s="1">
        <f>IFERROR(__xludf.DUMMYFUNCTION("""COMPUTED_VALUE"""),268.41)</f>
        <v>268.41</v>
      </c>
      <c r="C737" s="1">
        <f>IFERROR(__xludf.DUMMYFUNCTION("""COMPUTED_VALUE"""),268.41)</f>
        <v>268.41</v>
      </c>
      <c r="D737" s="1">
        <f>IFERROR(__xludf.DUMMYFUNCTION("""COMPUTED_VALUE"""),262.85)</f>
        <v>262.85</v>
      </c>
      <c r="E737" s="1">
        <f>IFERROR(__xludf.DUMMYFUNCTION("""COMPUTED_VALUE"""),263.82)</f>
        <v>263.82</v>
      </c>
      <c r="F737" s="1">
        <f>IFERROR(__xludf.DUMMYFUNCTION("""COMPUTED_VALUE"""),2.5267188E7)</f>
        <v>25267188</v>
      </c>
    </row>
    <row r="738">
      <c r="A738" s="2">
        <f>IFERROR(__xludf.DUMMYFUNCTION("""COMPUTED_VALUE"""),32464.666666666668)</f>
        <v>32464.66667</v>
      </c>
      <c r="B738" s="1">
        <f>IFERROR(__xludf.DUMMYFUNCTION("""COMPUTED_VALUE"""),264.61)</f>
        <v>264.61</v>
      </c>
      <c r="C738" s="1">
        <f>IFERROR(__xludf.DUMMYFUNCTION("""COMPUTED_VALUE"""),265.63)</f>
        <v>265.63</v>
      </c>
      <c r="D738" s="1">
        <f>IFERROR(__xludf.DUMMYFUNCTION("""COMPUTED_VALUE"""),263.45)</f>
        <v>263.45</v>
      </c>
      <c r="E738" s="1">
        <f>IFERROR(__xludf.DUMMYFUNCTION("""COMPUTED_VALUE"""),264.6)</f>
        <v>264.6</v>
      </c>
      <c r="F738" s="1">
        <f>IFERROR(__xludf.DUMMYFUNCTION("""COMPUTED_VALUE"""),2.2075E7)</f>
        <v>22075000</v>
      </c>
    </row>
    <row r="739">
      <c r="A739" s="2">
        <f>IFERROR(__xludf.DUMMYFUNCTION("""COMPUTED_VALUE"""),32465.666666666668)</f>
        <v>32465.66667</v>
      </c>
      <c r="B739" s="1">
        <f>IFERROR(__xludf.DUMMYFUNCTION("""COMPUTED_VALUE"""),264.6)</f>
        <v>264.6</v>
      </c>
      <c r="C739" s="1">
        <f>IFERROR(__xludf.DUMMYFUNCTION("""COMPUTED_VALUE"""),266.62)</f>
        <v>266.62</v>
      </c>
      <c r="D739" s="1">
        <f>IFERROR(__xludf.DUMMYFUNCTION("""COMPUTED_VALUE"""),264.6)</f>
        <v>264.6</v>
      </c>
      <c r="E739" s="1">
        <f>IFERROR(__xludf.DUMMYFUNCTION("""COMPUTED_VALUE"""),266.47)</f>
        <v>266.47</v>
      </c>
      <c r="F739" s="1">
        <f>IFERROR(__xludf.DUMMYFUNCTION("""COMPUTED_VALUE"""),1.864375E7)</f>
        <v>18643750</v>
      </c>
    </row>
    <row r="740">
      <c r="A740" s="2">
        <f>IFERROR(__xludf.DUMMYFUNCTION("""COMPUTED_VALUE"""),32468.666666666668)</f>
        <v>32468.66667</v>
      </c>
      <c r="B740" s="1">
        <f>IFERROR(__xludf.DUMMYFUNCTION("""COMPUTED_VALUE"""),266.35)</f>
        <v>266.35</v>
      </c>
      <c r="C740" s="1">
        <f>IFERROR(__xludf.DUMMYFUNCTION("""COMPUTED_VALUE"""),266.47)</f>
        <v>266.47</v>
      </c>
      <c r="D740" s="1">
        <f>IFERROR(__xludf.DUMMYFUNCTION("""COMPUTED_VALUE"""),263.41)</f>
        <v>263.41</v>
      </c>
      <c r="E740" s="1">
        <f>IFERROR(__xludf.DUMMYFUNCTION("""COMPUTED_VALUE"""),266.22)</f>
        <v>266.22</v>
      </c>
      <c r="F740" s="1">
        <f>IFERROR(__xludf.DUMMYFUNCTION("""COMPUTED_VALUE"""),1.8817188E7)</f>
        <v>18817188</v>
      </c>
    </row>
    <row r="741">
      <c r="A741" s="2">
        <f>IFERROR(__xludf.DUMMYFUNCTION("""COMPUTED_VALUE"""),32469.666666666668)</f>
        <v>32469.66667</v>
      </c>
      <c r="B741" s="1">
        <f>IFERROR(__xludf.DUMMYFUNCTION("""COMPUTED_VALUE"""),266.19)</f>
        <v>266.19</v>
      </c>
      <c r="C741" s="1">
        <f>IFERROR(__xludf.DUMMYFUNCTION("""COMPUTED_VALUE"""),267.85)</f>
        <v>267.85</v>
      </c>
      <c r="D741" s="1">
        <f>IFERROR(__xludf.DUMMYFUNCTION("""COMPUTED_VALUE"""),265.42)</f>
        <v>265.42</v>
      </c>
      <c r="E741" s="1">
        <f>IFERROR(__xludf.DUMMYFUNCTION("""COMPUTED_VALUE"""),267.21)</f>
        <v>267.21</v>
      </c>
      <c r="F741" s="1">
        <f>IFERROR(__xludf.DUMMYFUNCTION("""COMPUTED_VALUE"""),1.984375E7)</f>
        <v>19843750</v>
      </c>
    </row>
    <row r="742">
      <c r="A742" s="2">
        <f>IFERROR(__xludf.DUMMYFUNCTION("""COMPUTED_VALUE"""),32470.666666666668)</f>
        <v>32470.66667</v>
      </c>
      <c r="B742" s="1">
        <f>IFERROR(__xludf.DUMMYFUNCTION("""COMPUTED_VALUE"""),267.22)</f>
        <v>267.22</v>
      </c>
      <c r="C742" s="1">
        <f>IFERROR(__xludf.DUMMYFUNCTION("""COMPUTED_VALUE"""),269.56)</f>
        <v>269.56</v>
      </c>
      <c r="D742" s="1">
        <f>IFERROR(__xludf.DUMMYFUNCTION("""COMPUTED_VALUE"""),267.21)</f>
        <v>267.21</v>
      </c>
      <c r="E742" s="1">
        <f>IFERROR(__xludf.DUMMYFUNCTION("""COMPUTED_VALUE"""),269.0)</f>
        <v>269</v>
      </c>
      <c r="F742" s="1">
        <f>IFERROR(__xludf.DUMMYFUNCTION("""COMPUTED_VALUE"""),1.7501562E7)</f>
        <v>17501562</v>
      </c>
    </row>
    <row r="743">
      <c r="A743" s="2">
        <f>IFERROR(__xludf.DUMMYFUNCTION("""COMPUTED_VALUE"""),32472.666666666668)</f>
        <v>32472.66667</v>
      </c>
      <c r="B743" s="1">
        <f>IFERROR(__xludf.DUMMYFUNCTION("""COMPUTED_VALUE"""),268.99)</f>
        <v>268.99</v>
      </c>
      <c r="C743" s="1">
        <f>IFERROR(__xludf.DUMMYFUNCTION("""COMPUTED_VALUE"""),269.0)</f>
        <v>269</v>
      </c>
      <c r="D743" s="1">
        <f>IFERROR(__xludf.DUMMYFUNCTION("""COMPUTED_VALUE"""),266.47)</f>
        <v>266.47</v>
      </c>
      <c r="E743" s="1">
        <f>IFERROR(__xludf.DUMMYFUNCTION("""COMPUTED_VALUE"""),267.23)</f>
        <v>267.23</v>
      </c>
      <c r="F743" s="1">
        <f>IFERROR(__xludf.DUMMYFUNCTION("""COMPUTED_VALUE"""),1.1264062E7)</f>
        <v>11264062</v>
      </c>
    </row>
    <row r="744">
      <c r="A744" s="2">
        <f>IFERROR(__xludf.DUMMYFUNCTION("""COMPUTED_VALUE"""),32475.666666666668)</f>
        <v>32475.66667</v>
      </c>
      <c r="B744" s="1">
        <f>IFERROR(__xludf.DUMMYFUNCTION("""COMPUTED_VALUE"""),267.22)</f>
        <v>267.22</v>
      </c>
      <c r="C744" s="1">
        <f>IFERROR(__xludf.DUMMYFUNCTION("""COMPUTED_VALUE"""),268.98)</f>
        <v>268.98</v>
      </c>
      <c r="D744" s="1">
        <f>IFERROR(__xludf.DUMMYFUNCTION("""COMPUTED_VALUE"""),266.97)</f>
        <v>266.97</v>
      </c>
      <c r="E744" s="1">
        <f>IFERROR(__xludf.DUMMYFUNCTION("""COMPUTED_VALUE"""),268.64)</f>
        <v>268.64</v>
      </c>
      <c r="F744" s="1">
        <f>IFERROR(__xludf.DUMMYFUNCTION("""COMPUTED_VALUE"""),1.929375E7)</f>
        <v>19293750</v>
      </c>
    </row>
    <row r="745">
      <c r="A745" s="2">
        <f>IFERROR(__xludf.DUMMYFUNCTION("""COMPUTED_VALUE"""),32476.666666666668)</f>
        <v>32476.66667</v>
      </c>
      <c r="B745" s="1">
        <f>IFERROR(__xludf.DUMMYFUNCTION("""COMPUTED_VALUE"""),268.6)</f>
        <v>268.6</v>
      </c>
      <c r="C745" s="1">
        <f>IFERROR(__xludf.DUMMYFUNCTION("""COMPUTED_VALUE"""),271.31)</f>
        <v>271.31</v>
      </c>
      <c r="D745" s="1">
        <f>IFERROR(__xludf.DUMMYFUNCTION("""COMPUTED_VALUE"""),268.13)</f>
        <v>268.13</v>
      </c>
      <c r="E745" s="1">
        <f>IFERROR(__xludf.DUMMYFUNCTION("""COMPUTED_VALUE"""),270.91)</f>
        <v>270.91</v>
      </c>
      <c r="F745" s="1">
        <f>IFERROR(__xludf.DUMMYFUNCTION("""COMPUTED_VALUE"""),1.9909376E7)</f>
        <v>19909376</v>
      </c>
    </row>
    <row r="746">
      <c r="A746" s="2">
        <f>IFERROR(__xludf.DUMMYFUNCTION("""COMPUTED_VALUE"""),32477.666666666668)</f>
        <v>32477.66667</v>
      </c>
      <c r="B746" s="1">
        <f>IFERROR(__xludf.DUMMYFUNCTION("""COMPUTED_VALUE"""),270.91)</f>
        <v>270.91</v>
      </c>
      <c r="C746" s="1">
        <f>IFERROR(__xludf.DUMMYFUNCTION("""COMPUTED_VALUE"""),274.36)</f>
        <v>274.36</v>
      </c>
      <c r="D746" s="1">
        <f>IFERROR(__xludf.DUMMYFUNCTION("""COMPUTED_VALUE"""),270.9)</f>
        <v>270.9</v>
      </c>
      <c r="E746" s="1">
        <f>IFERROR(__xludf.DUMMYFUNCTION("""COMPUTED_VALUE"""),273.7)</f>
        <v>273.7</v>
      </c>
      <c r="F746" s="1">
        <f>IFERROR(__xludf.DUMMYFUNCTION("""COMPUTED_VALUE"""),2.4657812E7)</f>
        <v>24657812</v>
      </c>
    </row>
    <row r="747">
      <c r="A747" s="2">
        <f>IFERROR(__xludf.DUMMYFUNCTION("""COMPUTED_VALUE"""),32478.666666666668)</f>
        <v>32478.66667</v>
      </c>
      <c r="B747" s="1">
        <f>IFERROR(__xludf.DUMMYFUNCTION("""COMPUTED_VALUE"""),273.68)</f>
        <v>273.68</v>
      </c>
      <c r="C747" s="1">
        <f>IFERROR(__xludf.DUMMYFUNCTION("""COMPUTED_VALUE"""),273.7)</f>
        <v>273.7</v>
      </c>
      <c r="D747" s="1">
        <f>IFERROR(__xludf.DUMMYFUNCTION("""COMPUTED_VALUE"""),272.27)</f>
        <v>272.27</v>
      </c>
      <c r="E747" s="1">
        <f>IFERROR(__xludf.DUMMYFUNCTION("""COMPUTED_VALUE"""),272.49)</f>
        <v>272.49</v>
      </c>
      <c r="F747" s="1">
        <f>IFERROR(__xludf.DUMMYFUNCTION("""COMPUTED_VALUE"""),2.0215624E7)</f>
        <v>20215624</v>
      </c>
    </row>
    <row r="748">
      <c r="A748" s="2">
        <f>IFERROR(__xludf.DUMMYFUNCTION("""COMPUTED_VALUE"""),32479.666666666668)</f>
        <v>32479.66667</v>
      </c>
      <c r="B748" s="1">
        <f>IFERROR(__xludf.DUMMYFUNCTION("""COMPUTED_VALUE"""),272.49)</f>
        <v>272.49</v>
      </c>
      <c r="C748" s="1">
        <f>IFERROR(__xludf.DUMMYFUNCTION("""COMPUTED_VALUE"""),272.49)</f>
        <v>272.49</v>
      </c>
      <c r="D748" s="1">
        <f>IFERROR(__xludf.DUMMYFUNCTION("""COMPUTED_VALUE"""),270.47)</f>
        <v>270.47</v>
      </c>
      <c r="E748" s="1">
        <f>IFERROR(__xludf.DUMMYFUNCTION("""COMPUTED_VALUE"""),271.81)</f>
        <v>271.81</v>
      </c>
      <c r="F748" s="1">
        <f>IFERROR(__xludf.DUMMYFUNCTION("""COMPUTED_VALUE"""),1.9470312E7)</f>
        <v>19470312</v>
      </c>
    </row>
    <row r="749">
      <c r="A749" s="2">
        <f>IFERROR(__xludf.DUMMYFUNCTION("""COMPUTED_VALUE"""),32482.666666666668)</f>
        <v>32482.66667</v>
      </c>
      <c r="B749" s="1">
        <f>IFERROR(__xludf.DUMMYFUNCTION("""COMPUTED_VALUE"""),274.93)</f>
        <v>274.93</v>
      </c>
      <c r="C749" s="1">
        <f>IFERROR(__xludf.DUMMYFUNCTION("""COMPUTED_VALUE"""),275.62)</f>
        <v>275.62</v>
      </c>
      <c r="D749" s="1">
        <f>IFERROR(__xludf.DUMMYFUNCTION("""COMPUTED_VALUE"""),271.81)</f>
        <v>271.81</v>
      </c>
      <c r="E749" s="1">
        <f>IFERROR(__xludf.DUMMYFUNCTION("""COMPUTED_VALUE"""),274.93)</f>
        <v>274.93</v>
      </c>
      <c r="F749" s="1">
        <f>IFERROR(__xludf.DUMMYFUNCTION("""COMPUTED_VALUE"""),2.2603124E7)</f>
        <v>22603124</v>
      </c>
    </row>
    <row r="750">
      <c r="A750" s="2">
        <f>IFERROR(__xludf.DUMMYFUNCTION("""COMPUTED_VALUE"""),32483.666666666668)</f>
        <v>32483.66667</v>
      </c>
      <c r="B750" s="1">
        <f>IFERROR(__xludf.DUMMYFUNCTION("""COMPUTED_VALUE"""),274.93)</f>
        <v>274.93</v>
      </c>
      <c r="C750" s="1">
        <f>IFERROR(__xludf.DUMMYFUNCTION("""COMPUTED_VALUE"""),277.89)</f>
        <v>277.89</v>
      </c>
      <c r="D750" s="1">
        <f>IFERROR(__xludf.DUMMYFUNCTION("""COMPUTED_VALUE"""),274.62)</f>
        <v>274.62</v>
      </c>
      <c r="E750" s="1">
        <f>IFERROR(__xludf.DUMMYFUNCTION("""COMPUTED_VALUE"""),277.59)</f>
        <v>277.59</v>
      </c>
      <c r="F750" s="1">
        <f>IFERROR(__xludf.DUMMYFUNCTION("""COMPUTED_VALUE"""),2.4740624E7)</f>
        <v>24740624</v>
      </c>
    </row>
    <row r="751">
      <c r="A751" s="2">
        <f>IFERROR(__xludf.DUMMYFUNCTION("""COMPUTED_VALUE"""),32484.666666666668)</f>
        <v>32484.66667</v>
      </c>
      <c r="B751" s="1">
        <f>IFERROR(__xludf.DUMMYFUNCTION("""COMPUTED_VALUE"""),277.59)</f>
        <v>277.59</v>
      </c>
      <c r="C751" s="1">
        <f>IFERROR(__xludf.DUMMYFUNCTION("""COMPUTED_VALUE"""),279.01)</f>
        <v>279.01</v>
      </c>
      <c r="D751" s="1">
        <f>IFERROR(__xludf.DUMMYFUNCTION("""COMPUTED_VALUE"""),277.34)</f>
        <v>277.34</v>
      </c>
      <c r="E751" s="1">
        <f>IFERROR(__xludf.DUMMYFUNCTION("""COMPUTED_VALUE"""),278.13)</f>
        <v>278.13</v>
      </c>
      <c r="F751" s="1">
        <f>IFERROR(__xludf.DUMMYFUNCTION("""COMPUTED_VALUE"""),2.318125E7)</f>
        <v>23181250</v>
      </c>
    </row>
    <row r="752">
      <c r="A752" s="2">
        <f>IFERROR(__xludf.DUMMYFUNCTION("""COMPUTED_VALUE"""),32485.666666666668)</f>
        <v>32485.66667</v>
      </c>
      <c r="B752" s="1">
        <f>IFERROR(__xludf.DUMMYFUNCTION("""COMPUTED_VALUE"""),278.13)</f>
        <v>278.13</v>
      </c>
      <c r="C752" s="1">
        <f>IFERROR(__xludf.DUMMYFUNCTION("""COMPUTED_VALUE"""),278.13)</f>
        <v>278.13</v>
      </c>
      <c r="D752" s="1">
        <f>IFERROR(__xludf.DUMMYFUNCTION("""COMPUTED_VALUE"""),276.55)</f>
        <v>276.55</v>
      </c>
      <c r="E752" s="1">
        <f>IFERROR(__xludf.DUMMYFUNCTION("""COMPUTED_VALUE"""),276.59)</f>
        <v>276.59</v>
      </c>
      <c r="F752" s="1">
        <f>IFERROR(__xludf.DUMMYFUNCTION("""COMPUTED_VALUE"""),1.9398438E7)</f>
        <v>19398438</v>
      </c>
    </row>
    <row r="753">
      <c r="A753" s="2">
        <f>IFERROR(__xludf.DUMMYFUNCTION("""COMPUTED_VALUE"""),32486.666666666668)</f>
        <v>32486.66667</v>
      </c>
      <c r="B753" s="1">
        <f>IFERROR(__xludf.DUMMYFUNCTION("""COMPUTED_VALUE"""),276.57)</f>
        <v>276.57</v>
      </c>
      <c r="C753" s="1">
        <f>IFERROR(__xludf.DUMMYFUNCTION("""COMPUTED_VALUE"""),277.82)</f>
        <v>277.82</v>
      </c>
      <c r="D753" s="1">
        <f>IFERROR(__xludf.DUMMYFUNCTION("""COMPUTED_VALUE"""),276.34)</f>
        <v>276.34</v>
      </c>
      <c r="E753" s="1">
        <f>IFERROR(__xludf.DUMMYFUNCTION("""COMPUTED_VALUE"""),277.03)</f>
        <v>277.03</v>
      </c>
      <c r="F753" s="1">
        <f>IFERROR(__xludf.DUMMYFUNCTION("""COMPUTED_VALUE"""),2.0901562E7)</f>
        <v>20901562</v>
      </c>
    </row>
    <row r="754">
      <c r="A754" s="2">
        <f>IFERROR(__xludf.DUMMYFUNCTION("""COMPUTED_VALUE"""),32489.666666666668)</f>
        <v>32489.66667</v>
      </c>
      <c r="B754" s="1">
        <f>IFERROR(__xludf.DUMMYFUNCTION("""COMPUTED_VALUE"""),277.03)</f>
        <v>277.03</v>
      </c>
      <c r="C754" s="1">
        <f>IFERROR(__xludf.DUMMYFUNCTION("""COMPUTED_VALUE"""),278.82)</f>
        <v>278.82</v>
      </c>
      <c r="D754" s="1">
        <f>IFERROR(__xludf.DUMMYFUNCTION("""COMPUTED_VALUE"""),276.52)</f>
        <v>276.52</v>
      </c>
      <c r="E754" s="1">
        <f>IFERROR(__xludf.DUMMYFUNCTION("""COMPUTED_VALUE"""),276.52)</f>
        <v>276.52</v>
      </c>
      <c r="F754" s="1">
        <f>IFERROR(__xludf.DUMMYFUNCTION("""COMPUTED_VALUE"""),1.94E7)</f>
        <v>19400000</v>
      </c>
    </row>
    <row r="755">
      <c r="A755" s="2">
        <f>IFERROR(__xludf.DUMMYFUNCTION("""COMPUTED_VALUE"""),32490.666666666668)</f>
        <v>32490.66667</v>
      </c>
      <c r="B755" s="1">
        <f>IFERROR(__xludf.DUMMYFUNCTION("""COMPUTED_VALUE"""),276.52)</f>
        <v>276.52</v>
      </c>
      <c r="C755" s="1">
        <f>IFERROR(__xludf.DUMMYFUNCTION("""COMPUTED_VALUE"""),276.52)</f>
        <v>276.52</v>
      </c>
      <c r="D755" s="1">
        <f>IFERROR(__xludf.DUMMYFUNCTION("""COMPUTED_VALUE"""),274.58)</f>
        <v>274.58</v>
      </c>
      <c r="E755" s="1">
        <f>IFERROR(__xludf.DUMMYFUNCTION("""COMPUTED_VALUE"""),276.31)</f>
        <v>276.31</v>
      </c>
      <c r="F755" s="1">
        <f>IFERROR(__xludf.DUMMYFUNCTION("""COMPUTED_VALUE"""),2.0678124E7)</f>
        <v>20678124</v>
      </c>
    </row>
    <row r="756">
      <c r="A756" s="2">
        <f>IFERROR(__xludf.DUMMYFUNCTION("""COMPUTED_VALUE"""),32491.666666666668)</f>
        <v>32491.66667</v>
      </c>
      <c r="B756" s="1">
        <f>IFERROR(__xludf.DUMMYFUNCTION("""COMPUTED_VALUE"""),276.31)</f>
        <v>276.31</v>
      </c>
      <c r="C756" s="1">
        <f>IFERROR(__xludf.DUMMYFUNCTION("""COMPUTED_VALUE"""),276.31)</f>
        <v>276.31</v>
      </c>
      <c r="D756" s="1">
        <f>IFERROR(__xludf.DUMMYFUNCTION("""COMPUTED_VALUE"""),274.58)</f>
        <v>274.58</v>
      </c>
      <c r="E756" s="1">
        <f>IFERROR(__xludf.DUMMYFUNCTION("""COMPUTED_VALUE"""),275.31)</f>
        <v>275.31</v>
      </c>
      <c r="F756" s="1">
        <f>IFERROR(__xludf.DUMMYFUNCTION("""COMPUTED_VALUE"""),2.0679688E7)</f>
        <v>20679688</v>
      </c>
    </row>
    <row r="757">
      <c r="A757" s="2">
        <f>IFERROR(__xludf.DUMMYFUNCTION("""COMPUTED_VALUE"""),32492.666666666668)</f>
        <v>32492.66667</v>
      </c>
      <c r="B757" s="1">
        <f>IFERROR(__xludf.DUMMYFUNCTION("""COMPUTED_VALUE"""),275.32)</f>
        <v>275.32</v>
      </c>
      <c r="C757" s="1">
        <f>IFERROR(__xludf.DUMMYFUNCTION("""COMPUTED_VALUE"""),275.62)</f>
        <v>275.62</v>
      </c>
      <c r="D757" s="1">
        <f>IFERROR(__xludf.DUMMYFUNCTION("""COMPUTED_VALUE"""),274.01)</f>
        <v>274.01</v>
      </c>
      <c r="E757" s="1">
        <f>IFERROR(__xludf.DUMMYFUNCTION("""COMPUTED_VALUE"""),274.28)</f>
        <v>274.28</v>
      </c>
      <c r="F757" s="1">
        <f>IFERROR(__xludf.DUMMYFUNCTION("""COMPUTED_VALUE"""),2.1378124E7)</f>
        <v>21378124</v>
      </c>
    </row>
    <row r="758">
      <c r="A758" s="2">
        <f>IFERROR(__xludf.DUMMYFUNCTION("""COMPUTED_VALUE"""),32493.666666666668)</f>
        <v>32493.66667</v>
      </c>
      <c r="B758" s="1">
        <f>IFERROR(__xludf.DUMMYFUNCTION("""COMPUTED_VALUE"""),274.28)</f>
        <v>274.28</v>
      </c>
      <c r="C758" s="1">
        <f>IFERROR(__xludf.DUMMYFUNCTION("""COMPUTED_VALUE"""),276.29)</f>
        <v>276.29</v>
      </c>
      <c r="D758" s="1">
        <f>IFERROR(__xludf.DUMMYFUNCTION("""COMPUTED_VALUE"""),274.28)</f>
        <v>274.28</v>
      </c>
      <c r="E758" s="1">
        <f>IFERROR(__xludf.DUMMYFUNCTION("""COMPUTED_VALUE"""),276.29)</f>
        <v>276.29</v>
      </c>
      <c r="F758" s="1">
        <f>IFERROR(__xludf.DUMMYFUNCTION("""COMPUTED_VALUE"""),3.07E7)</f>
        <v>30700000</v>
      </c>
    </row>
    <row r="759">
      <c r="A759" s="2">
        <f>IFERROR(__xludf.DUMMYFUNCTION("""COMPUTED_VALUE"""),32496.666666666668)</f>
        <v>32496.66667</v>
      </c>
      <c r="B759" s="1">
        <f>IFERROR(__xludf.DUMMYFUNCTION("""COMPUTED_VALUE"""),276.29)</f>
        <v>276.29</v>
      </c>
      <c r="C759" s="1">
        <f>IFERROR(__xludf.DUMMYFUNCTION("""COMPUTED_VALUE"""),279.31)</f>
        <v>279.31</v>
      </c>
      <c r="D759" s="1">
        <f>IFERROR(__xludf.DUMMYFUNCTION("""COMPUTED_VALUE"""),275.61)</f>
        <v>275.61</v>
      </c>
      <c r="E759" s="1">
        <f>IFERROR(__xludf.DUMMYFUNCTION("""COMPUTED_VALUE"""),278.91)</f>
        <v>278.91</v>
      </c>
      <c r="F759" s="1">
        <f>IFERROR(__xludf.DUMMYFUNCTION("""COMPUTED_VALUE"""),2.5351562E7)</f>
        <v>25351562</v>
      </c>
    </row>
    <row r="760">
      <c r="A760" s="2">
        <f>IFERROR(__xludf.DUMMYFUNCTION("""COMPUTED_VALUE"""),32497.666666666668)</f>
        <v>32497.66667</v>
      </c>
      <c r="B760" s="1">
        <f>IFERROR(__xludf.DUMMYFUNCTION("""COMPUTED_VALUE"""),278.91)</f>
        <v>278.91</v>
      </c>
      <c r="C760" s="1">
        <f>IFERROR(__xludf.DUMMYFUNCTION("""COMPUTED_VALUE"""),280.45)</f>
        <v>280.45</v>
      </c>
      <c r="D760" s="1">
        <f>IFERROR(__xludf.DUMMYFUNCTION("""COMPUTED_VALUE"""),277.47)</f>
        <v>277.47</v>
      </c>
      <c r="E760" s="1">
        <f>IFERROR(__xludf.DUMMYFUNCTION("""COMPUTED_VALUE"""),277.47)</f>
        <v>277.47</v>
      </c>
      <c r="F760" s="1">
        <f>IFERROR(__xludf.DUMMYFUNCTION("""COMPUTED_VALUE"""),2.5170312E7)</f>
        <v>25170312</v>
      </c>
    </row>
    <row r="761">
      <c r="A761" s="2">
        <f>IFERROR(__xludf.DUMMYFUNCTION("""COMPUTED_VALUE"""),32498.666666666668)</f>
        <v>32498.66667</v>
      </c>
      <c r="B761" s="1">
        <f>IFERROR(__xludf.DUMMYFUNCTION("""COMPUTED_VALUE"""),277.47)</f>
        <v>277.47</v>
      </c>
      <c r="C761" s="1">
        <f>IFERROR(__xludf.DUMMYFUNCTION("""COMPUTED_VALUE"""),277.83)</f>
        <v>277.83</v>
      </c>
      <c r="D761" s="1">
        <f>IFERROR(__xludf.DUMMYFUNCTION("""COMPUTED_VALUE"""),276.3)</f>
        <v>276.3</v>
      </c>
      <c r="E761" s="1">
        <f>IFERROR(__xludf.DUMMYFUNCTION("""COMPUTED_VALUE"""),277.38)</f>
        <v>277.38</v>
      </c>
      <c r="F761" s="1">
        <f>IFERROR(__xludf.DUMMYFUNCTION("""COMPUTED_VALUE"""),2.3007812E7)</f>
        <v>23007812</v>
      </c>
    </row>
    <row r="762">
      <c r="A762" s="2">
        <f>IFERROR(__xludf.DUMMYFUNCTION("""COMPUTED_VALUE"""),32499.666666666668)</f>
        <v>32499.66667</v>
      </c>
      <c r="B762" s="1">
        <f>IFERROR(__xludf.DUMMYFUNCTION("""COMPUTED_VALUE"""),277.38)</f>
        <v>277.38</v>
      </c>
      <c r="C762" s="1">
        <f>IFERROR(__xludf.DUMMYFUNCTION("""COMPUTED_VALUE"""),277.89)</f>
        <v>277.89</v>
      </c>
      <c r="D762" s="1">
        <f>IFERROR(__xludf.DUMMYFUNCTION("""COMPUTED_VALUE"""),276.86)</f>
        <v>276.86</v>
      </c>
      <c r="E762" s="1">
        <f>IFERROR(__xludf.DUMMYFUNCTION("""COMPUTED_VALUE"""),276.87)</f>
        <v>276.87</v>
      </c>
      <c r="F762" s="1">
        <f>IFERROR(__xludf.DUMMYFUNCTION("""COMPUTED_VALUE"""),2.3517188E7)</f>
        <v>23517188</v>
      </c>
    </row>
    <row r="763">
      <c r="A763" s="2">
        <f>IFERROR(__xludf.DUMMYFUNCTION("""COMPUTED_VALUE"""),32500.666666666668)</f>
        <v>32500.66667</v>
      </c>
      <c r="B763" s="1">
        <f>IFERROR(__xludf.DUMMYFUNCTION("""COMPUTED_VALUE"""),276.87)</f>
        <v>276.87</v>
      </c>
      <c r="C763" s="1">
        <f>IFERROR(__xludf.DUMMYFUNCTION("""COMPUTED_VALUE"""),277.99)</f>
        <v>277.99</v>
      </c>
      <c r="D763" s="1">
        <f>IFERROR(__xludf.DUMMYFUNCTION("""COMPUTED_VALUE"""),276.87)</f>
        <v>276.87</v>
      </c>
      <c r="E763" s="1">
        <f>IFERROR(__xludf.DUMMYFUNCTION("""COMPUTED_VALUE"""),277.87)</f>
        <v>277.87</v>
      </c>
      <c r="F763" s="1">
        <f>IFERROR(__xludf.DUMMYFUNCTION("""COMPUTED_VALUE"""),1.2775E7)</f>
        <v>12775000</v>
      </c>
    </row>
    <row r="764">
      <c r="A764" s="2">
        <f>IFERROR(__xludf.DUMMYFUNCTION("""COMPUTED_VALUE"""),32504.666666666668)</f>
        <v>32504.66667</v>
      </c>
      <c r="B764" s="1">
        <f>IFERROR(__xludf.DUMMYFUNCTION("""COMPUTED_VALUE"""),277.87)</f>
        <v>277.87</v>
      </c>
      <c r="C764" s="1">
        <f>IFERROR(__xludf.DUMMYFUNCTION("""COMPUTED_VALUE"""),278.09)</f>
        <v>278.09</v>
      </c>
      <c r="D764" s="1">
        <f>IFERROR(__xludf.DUMMYFUNCTION("""COMPUTED_VALUE"""),276.74)</f>
        <v>276.74</v>
      </c>
      <c r="E764" s="1">
        <f>IFERROR(__xludf.DUMMYFUNCTION("""COMPUTED_VALUE"""),276.83)</f>
        <v>276.83</v>
      </c>
      <c r="F764" s="1">
        <f>IFERROR(__xludf.DUMMYFUNCTION("""COMPUTED_VALUE"""),1.3670312E7)</f>
        <v>13670312</v>
      </c>
    </row>
    <row r="765">
      <c r="A765" s="2">
        <f>IFERROR(__xludf.DUMMYFUNCTION("""COMPUTED_VALUE"""),32505.666666666668)</f>
        <v>32505.66667</v>
      </c>
      <c r="B765" s="1">
        <f>IFERROR(__xludf.DUMMYFUNCTION("""COMPUTED_VALUE"""),276.83)</f>
        <v>276.83</v>
      </c>
      <c r="C765" s="1">
        <f>IFERROR(__xludf.DUMMYFUNCTION("""COMPUTED_VALUE"""),277.55)</f>
        <v>277.55</v>
      </c>
      <c r="D765" s="1">
        <f>IFERROR(__xludf.DUMMYFUNCTION("""COMPUTED_VALUE"""),276.17)</f>
        <v>276.17</v>
      </c>
      <c r="E765" s="1">
        <f>IFERROR(__xludf.DUMMYFUNCTION("""COMPUTED_VALUE"""),277.08)</f>
        <v>277.08</v>
      </c>
      <c r="F765" s="1">
        <f>IFERROR(__xludf.DUMMYFUNCTION("""COMPUTED_VALUE"""),1.7285938E7)</f>
        <v>17285938</v>
      </c>
    </row>
    <row r="766">
      <c r="A766" s="2">
        <f>IFERROR(__xludf.DUMMYFUNCTION("""COMPUTED_VALUE"""),32506.666666666668)</f>
        <v>32506.66667</v>
      </c>
      <c r="B766" s="1">
        <f>IFERROR(__xludf.DUMMYFUNCTION("""COMPUTED_VALUE"""),277.08)</f>
        <v>277.08</v>
      </c>
      <c r="C766" s="1">
        <f>IFERROR(__xludf.DUMMYFUNCTION("""COMPUTED_VALUE"""),279.42)</f>
        <v>279.42</v>
      </c>
      <c r="D766" s="1">
        <f>IFERROR(__xludf.DUMMYFUNCTION("""COMPUTED_VALUE"""),277.08)</f>
        <v>277.08</v>
      </c>
      <c r="E766" s="1">
        <f>IFERROR(__xludf.DUMMYFUNCTION("""COMPUTED_VALUE"""),279.4)</f>
        <v>279.4</v>
      </c>
      <c r="F766" s="1">
        <f>IFERROR(__xludf.DUMMYFUNCTION("""COMPUTED_VALUE"""),2.0514062E7)</f>
        <v>20514062</v>
      </c>
    </row>
    <row r="767">
      <c r="A767" s="2">
        <f>IFERROR(__xludf.DUMMYFUNCTION("""COMPUTED_VALUE"""),32507.666666666668)</f>
        <v>32507.66667</v>
      </c>
      <c r="B767" s="1">
        <f>IFERROR(__xludf.DUMMYFUNCTION("""COMPUTED_VALUE"""),279.39)</f>
        <v>279.39</v>
      </c>
      <c r="C767" s="1">
        <f>IFERROR(__xludf.DUMMYFUNCTION("""COMPUTED_VALUE"""),279.78)</f>
        <v>279.78</v>
      </c>
      <c r="D767" s="1">
        <f>IFERROR(__xludf.DUMMYFUNCTION("""COMPUTED_VALUE"""),277.72)</f>
        <v>277.72</v>
      </c>
      <c r="E767" s="1">
        <f>IFERROR(__xludf.DUMMYFUNCTION("""COMPUTED_VALUE"""),277.72)</f>
        <v>277.72</v>
      </c>
      <c r="F767" s="1">
        <f>IFERROR(__xludf.DUMMYFUNCTION("""COMPUTED_VALUE"""),1.9876562E7)</f>
        <v>19876562</v>
      </c>
    </row>
    <row r="768">
      <c r="A768" s="2">
        <f>IFERROR(__xludf.DUMMYFUNCTION("""COMPUTED_VALUE"""),32511.666666666668)</f>
        <v>32511.66667</v>
      </c>
      <c r="B768" s="1">
        <f>IFERROR(__xludf.DUMMYFUNCTION("""COMPUTED_VALUE"""),277.72)</f>
        <v>277.72</v>
      </c>
      <c r="C768" s="1">
        <f>IFERROR(__xludf.DUMMYFUNCTION("""COMPUTED_VALUE"""),277.72)</f>
        <v>277.72</v>
      </c>
      <c r="D768" s="1">
        <f>IFERROR(__xludf.DUMMYFUNCTION("""COMPUTED_VALUE"""),273.81)</f>
        <v>273.81</v>
      </c>
      <c r="E768" s="1">
        <f>IFERROR(__xludf.DUMMYFUNCTION("""COMPUTED_VALUE"""),275.31)</f>
        <v>275.31</v>
      </c>
      <c r="F768" s="1">
        <f>IFERROR(__xludf.DUMMYFUNCTION("""COMPUTED_VALUE"""),2.0078124E7)</f>
        <v>20078124</v>
      </c>
    </row>
    <row r="769">
      <c r="A769" s="2">
        <f>IFERROR(__xludf.DUMMYFUNCTION("""COMPUTED_VALUE"""),32512.666666666668)</f>
        <v>32512.66667</v>
      </c>
      <c r="B769" s="1">
        <f>IFERROR(__xludf.DUMMYFUNCTION("""COMPUTED_VALUE"""),275.31)</f>
        <v>275.31</v>
      </c>
      <c r="C769" s="1">
        <f>IFERROR(__xludf.DUMMYFUNCTION("""COMPUTED_VALUE"""),279.75)</f>
        <v>279.75</v>
      </c>
      <c r="D769" s="1">
        <f>IFERROR(__xludf.DUMMYFUNCTION("""COMPUTED_VALUE"""),275.31)</f>
        <v>275.31</v>
      </c>
      <c r="E769" s="1">
        <f>IFERROR(__xludf.DUMMYFUNCTION("""COMPUTED_VALUE"""),279.43)</f>
        <v>279.43</v>
      </c>
      <c r="F769" s="1">
        <f>IFERROR(__xludf.DUMMYFUNCTION("""COMPUTED_VALUE"""),2.3390624E7)</f>
        <v>23390624</v>
      </c>
    </row>
    <row r="770">
      <c r="A770" s="2">
        <f>IFERROR(__xludf.DUMMYFUNCTION("""COMPUTED_VALUE"""),32513.666666666668)</f>
        <v>32513.66667</v>
      </c>
      <c r="B770" s="1">
        <f>IFERROR(__xludf.DUMMYFUNCTION("""COMPUTED_VALUE"""),279.43)</f>
        <v>279.43</v>
      </c>
      <c r="C770" s="1">
        <f>IFERROR(__xludf.DUMMYFUNCTION("""COMPUTED_VALUE"""),281.51)</f>
        <v>281.51</v>
      </c>
      <c r="D770" s="1">
        <f>IFERROR(__xludf.DUMMYFUNCTION("""COMPUTED_VALUE"""),279.43)</f>
        <v>279.43</v>
      </c>
      <c r="E770" s="1">
        <f>IFERROR(__xludf.DUMMYFUNCTION("""COMPUTED_VALUE"""),280.01)</f>
        <v>280.01</v>
      </c>
      <c r="F770" s="1">
        <f>IFERROR(__xludf.DUMMYFUNCTION("""COMPUTED_VALUE"""),2.719375E7)</f>
        <v>27193750</v>
      </c>
    </row>
    <row r="771">
      <c r="A771" s="2">
        <f>IFERROR(__xludf.DUMMYFUNCTION("""COMPUTED_VALUE"""),32514.666666666668)</f>
        <v>32514.66667</v>
      </c>
      <c r="B771" s="1">
        <f>IFERROR(__xludf.DUMMYFUNCTION("""COMPUTED_VALUE"""),280.01)</f>
        <v>280.01</v>
      </c>
      <c r="C771" s="1">
        <f>IFERROR(__xludf.DUMMYFUNCTION("""COMPUTED_VALUE"""),282.06)</f>
        <v>282.06</v>
      </c>
      <c r="D771" s="1">
        <f>IFERROR(__xludf.DUMMYFUNCTION("""COMPUTED_VALUE"""),280.01)</f>
        <v>280.01</v>
      </c>
      <c r="E771" s="1">
        <f>IFERROR(__xludf.DUMMYFUNCTION("""COMPUTED_VALUE"""),280.67)</f>
        <v>280.67</v>
      </c>
      <c r="F771" s="1">
        <f>IFERROR(__xludf.DUMMYFUNCTION("""COMPUTED_VALUE"""),2.5207812E7)</f>
        <v>25207812</v>
      </c>
    </row>
    <row r="772">
      <c r="A772" s="2">
        <f>IFERROR(__xludf.DUMMYFUNCTION("""COMPUTED_VALUE"""),32517.666666666668)</f>
        <v>32517.66667</v>
      </c>
      <c r="B772" s="1">
        <f>IFERROR(__xludf.DUMMYFUNCTION("""COMPUTED_VALUE"""),280.67)</f>
        <v>280.67</v>
      </c>
      <c r="C772" s="1">
        <f>IFERROR(__xludf.DUMMYFUNCTION("""COMPUTED_VALUE"""),281.89)</f>
        <v>281.89</v>
      </c>
      <c r="D772" s="1">
        <f>IFERROR(__xludf.DUMMYFUNCTION("""COMPUTED_VALUE"""),280.32)</f>
        <v>280.32</v>
      </c>
      <c r="E772" s="1">
        <f>IFERROR(__xludf.DUMMYFUNCTION("""COMPUTED_VALUE"""),280.98)</f>
        <v>280.98</v>
      </c>
      <c r="F772" s="1">
        <f>IFERROR(__xludf.DUMMYFUNCTION("""COMPUTED_VALUE"""),2.5496876E7)</f>
        <v>25496876</v>
      </c>
    </row>
    <row r="773">
      <c r="A773" s="2">
        <f>IFERROR(__xludf.DUMMYFUNCTION("""COMPUTED_VALUE"""),32518.666666666668)</f>
        <v>32518.66667</v>
      </c>
      <c r="B773" s="1">
        <f>IFERROR(__xludf.DUMMYFUNCTION("""COMPUTED_VALUE"""),280.98)</f>
        <v>280.98</v>
      </c>
      <c r="C773" s="1">
        <f>IFERROR(__xludf.DUMMYFUNCTION("""COMPUTED_VALUE"""),281.58)</f>
        <v>281.58</v>
      </c>
      <c r="D773" s="1">
        <f>IFERROR(__xludf.DUMMYFUNCTION("""COMPUTED_VALUE"""),279.44)</f>
        <v>279.44</v>
      </c>
      <c r="E773" s="1">
        <f>IFERROR(__xludf.DUMMYFUNCTION("""COMPUTED_VALUE"""),280.38)</f>
        <v>280.38</v>
      </c>
      <c r="F773" s="1">
        <f>IFERROR(__xludf.DUMMYFUNCTION("""COMPUTED_VALUE"""),2.1940624E7)</f>
        <v>21940624</v>
      </c>
    </row>
    <row r="774">
      <c r="A774" s="2">
        <f>IFERROR(__xludf.DUMMYFUNCTION("""COMPUTED_VALUE"""),32519.666666666668)</f>
        <v>32519.66667</v>
      </c>
      <c r="B774" s="1">
        <f>IFERROR(__xludf.DUMMYFUNCTION("""COMPUTED_VALUE"""),280.38)</f>
        <v>280.38</v>
      </c>
      <c r="C774" s="1">
        <f>IFERROR(__xludf.DUMMYFUNCTION("""COMPUTED_VALUE"""),282.01)</f>
        <v>282.01</v>
      </c>
      <c r="D774" s="1">
        <f>IFERROR(__xludf.DUMMYFUNCTION("""COMPUTED_VALUE"""),280.21)</f>
        <v>280.21</v>
      </c>
      <c r="E774" s="1">
        <f>IFERROR(__xludf.DUMMYFUNCTION("""COMPUTED_VALUE"""),282.01)</f>
        <v>282.01</v>
      </c>
      <c r="F774" s="1">
        <f>IFERROR(__xludf.DUMMYFUNCTION("""COMPUTED_VALUE"""),2.3273438E7)</f>
        <v>23273438</v>
      </c>
    </row>
    <row r="775">
      <c r="A775" s="2">
        <f>IFERROR(__xludf.DUMMYFUNCTION("""COMPUTED_VALUE"""),32520.666666666668)</f>
        <v>32520.66667</v>
      </c>
      <c r="B775" s="1">
        <f>IFERROR(__xludf.DUMMYFUNCTION("""COMPUTED_VALUE"""),282.01)</f>
        <v>282.01</v>
      </c>
      <c r="C775" s="1">
        <f>IFERROR(__xludf.DUMMYFUNCTION("""COMPUTED_VALUE"""),284.63)</f>
        <v>284.63</v>
      </c>
      <c r="D775" s="1">
        <f>IFERROR(__xludf.DUMMYFUNCTION("""COMPUTED_VALUE"""),282.01)</f>
        <v>282.01</v>
      </c>
      <c r="E775" s="1">
        <f>IFERROR(__xludf.DUMMYFUNCTION("""COMPUTED_VALUE"""),283.17)</f>
        <v>283.17</v>
      </c>
      <c r="F775" s="1">
        <f>IFERROR(__xludf.DUMMYFUNCTION("""COMPUTED_VALUE"""),2.859375E7)</f>
        <v>28593750</v>
      </c>
    </row>
    <row r="776">
      <c r="A776" s="2">
        <f>IFERROR(__xludf.DUMMYFUNCTION("""COMPUTED_VALUE"""),32521.666666666668)</f>
        <v>32521.66667</v>
      </c>
      <c r="B776" s="1">
        <f>IFERROR(__xludf.DUMMYFUNCTION("""COMPUTED_VALUE"""),283.17)</f>
        <v>283.17</v>
      </c>
      <c r="C776" s="1">
        <f>IFERROR(__xludf.DUMMYFUNCTION("""COMPUTED_VALUE"""),284.12)</f>
        <v>284.12</v>
      </c>
      <c r="D776" s="1">
        <f>IFERROR(__xludf.DUMMYFUNCTION("""COMPUTED_VALUE"""),282.71)</f>
        <v>282.71</v>
      </c>
      <c r="E776" s="1">
        <f>IFERROR(__xludf.DUMMYFUNCTION("""COMPUTED_VALUE"""),283.87)</f>
        <v>283.87</v>
      </c>
      <c r="F776" s="1">
        <f>IFERROR(__xludf.DUMMYFUNCTION("""COMPUTED_VALUE"""),2.0675E7)</f>
        <v>20675000</v>
      </c>
    </row>
    <row r="777">
      <c r="A777" s="2">
        <f>IFERROR(__xludf.DUMMYFUNCTION("""COMPUTED_VALUE"""),32524.666666666668)</f>
        <v>32524.66667</v>
      </c>
      <c r="B777" s="1">
        <f>IFERROR(__xludf.DUMMYFUNCTION("""COMPUTED_VALUE"""),283.87)</f>
        <v>283.87</v>
      </c>
      <c r="C777" s="1">
        <f>IFERROR(__xludf.DUMMYFUNCTION("""COMPUTED_VALUE"""),284.88)</f>
        <v>284.88</v>
      </c>
      <c r="D777" s="1">
        <f>IFERROR(__xludf.DUMMYFUNCTION("""COMPUTED_VALUE"""),283.63)</f>
        <v>283.63</v>
      </c>
      <c r="E777" s="1">
        <f>IFERROR(__xludf.DUMMYFUNCTION("""COMPUTED_VALUE"""),284.14)</f>
        <v>284.14</v>
      </c>
      <c r="F777" s="1">
        <f>IFERROR(__xludf.DUMMYFUNCTION("""COMPUTED_VALUE"""),1.8340624E7)</f>
        <v>18340624</v>
      </c>
    </row>
    <row r="778">
      <c r="A778" s="2">
        <f>IFERROR(__xludf.DUMMYFUNCTION("""COMPUTED_VALUE"""),32525.666666666668)</f>
        <v>32525.66667</v>
      </c>
      <c r="B778" s="1">
        <f>IFERROR(__xludf.DUMMYFUNCTION("""COMPUTED_VALUE"""),284.14)</f>
        <v>284.14</v>
      </c>
      <c r="C778" s="1">
        <f>IFERROR(__xludf.DUMMYFUNCTION("""COMPUTED_VALUE"""),284.14)</f>
        <v>284.14</v>
      </c>
      <c r="D778" s="1">
        <f>IFERROR(__xludf.DUMMYFUNCTION("""COMPUTED_VALUE"""),283.06)</f>
        <v>283.06</v>
      </c>
      <c r="E778" s="1">
        <f>IFERROR(__xludf.DUMMYFUNCTION("""COMPUTED_VALUE"""),283.55)</f>
        <v>283.55</v>
      </c>
      <c r="F778" s="1">
        <f>IFERROR(__xludf.DUMMYFUNCTION("""COMPUTED_VALUE"""),2.2489062E7)</f>
        <v>22489062</v>
      </c>
    </row>
    <row r="779">
      <c r="A779" s="2">
        <f>IFERROR(__xludf.DUMMYFUNCTION("""COMPUTED_VALUE"""),32526.666666666668)</f>
        <v>32526.66667</v>
      </c>
      <c r="B779" s="1">
        <f>IFERROR(__xludf.DUMMYFUNCTION("""COMPUTED_VALUE"""),283.55)</f>
        <v>283.55</v>
      </c>
      <c r="C779" s="1">
        <f>IFERROR(__xludf.DUMMYFUNCTION("""COMPUTED_VALUE"""),286.87)</f>
        <v>286.87</v>
      </c>
      <c r="D779" s="1">
        <f>IFERROR(__xludf.DUMMYFUNCTION("""COMPUTED_VALUE"""),282.65)</f>
        <v>282.65</v>
      </c>
      <c r="E779" s="1">
        <f>IFERROR(__xludf.DUMMYFUNCTION("""COMPUTED_VALUE"""),286.53)</f>
        <v>286.53</v>
      </c>
      <c r="F779" s="1">
        <f>IFERROR(__xludf.DUMMYFUNCTION("""COMPUTED_VALUE"""),2.9289062E7)</f>
        <v>29289062</v>
      </c>
    </row>
    <row r="780">
      <c r="A780" s="2">
        <f>IFERROR(__xludf.DUMMYFUNCTION("""COMPUTED_VALUE"""),32527.666666666668)</f>
        <v>32527.66667</v>
      </c>
      <c r="B780" s="1">
        <f>IFERROR(__xludf.DUMMYFUNCTION("""COMPUTED_VALUE"""),286.53)</f>
        <v>286.53</v>
      </c>
      <c r="C780" s="1">
        <f>IFERROR(__xludf.DUMMYFUNCTION("""COMPUTED_VALUE"""),287.9)</f>
        <v>287.9</v>
      </c>
      <c r="D780" s="1">
        <f>IFERROR(__xludf.DUMMYFUNCTION("""COMPUTED_VALUE"""),286.14)</f>
        <v>286.14</v>
      </c>
      <c r="E780" s="1">
        <f>IFERROR(__xludf.DUMMYFUNCTION("""COMPUTED_VALUE"""),286.91)</f>
        <v>286.91</v>
      </c>
      <c r="F780" s="1">
        <f>IFERROR(__xludf.DUMMYFUNCTION("""COMPUTED_VALUE"""),3.0004688E7)</f>
        <v>30004688</v>
      </c>
    </row>
    <row r="781">
      <c r="A781" s="2">
        <f>IFERROR(__xludf.DUMMYFUNCTION("""COMPUTED_VALUE"""),32528.666666666668)</f>
        <v>32528.66667</v>
      </c>
      <c r="B781" s="1">
        <f>IFERROR(__xludf.DUMMYFUNCTION("""COMPUTED_VALUE"""),286.9)</f>
        <v>286.9</v>
      </c>
      <c r="C781" s="1">
        <f>IFERROR(__xludf.DUMMYFUNCTION("""COMPUTED_VALUE"""),287.04)</f>
        <v>287.04</v>
      </c>
      <c r="D781" s="1">
        <f>IFERROR(__xludf.DUMMYFUNCTION("""COMPUTED_VALUE"""),285.75)</f>
        <v>285.75</v>
      </c>
      <c r="E781" s="1">
        <f>IFERROR(__xludf.DUMMYFUNCTION("""COMPUTED_VALUE"""),286.63)</f>
        <v>286.63</v>
      </c>
      <c r="F781" s="1">
        <f>IFERROR(__xludf.DUMMYFUNCTION("""COMPUTED_VALUE"""),2.595625E7)</f>
        <v>25956250</v>
      </c>
    </row>
    <row r="782">
      <c r="A782" s="2">
        <f>IFERROR(__xludf.DUMMYFUNCTION("""COMPUTED_VALUE"""),32531.666666666668)</f>
        <v>32531.66667</v>
      </c>
      <c r="B782" s="1">
        <f>IFERROR(__xludf.DUMMYFUNCTION("""COMPUTED_VALUE"""),287.85)</f>
        <v>287.85</v>
      </c>
      <c r="C782" s="1">
        <f>IFERROR(__xludf.DUMMYFUNCTION("""COMPUTED_VALUE"""),287.98)</f>
        <v>287.98</v>
      </c>
      <c r="D782" s="1">
        <f>IFERROR(__xludf.DUMMYFUNCTION("""COMPUTED_VALUE"""),284.5)</f>
        <v>284.5</v>
      </c>
      <c r="E782" s="1">
        <f>IFERROR(__xludf.DUMMYFUNCTION("""COMPUTED_VALUE"""),284.5)</f>
        <v>284.5</v>
      </c>
      <c r="F782" s="1">
        <f>IFERROR(__xludf.DUMMYFUNCTION("""COMPUTED_VALUE"""),2.213125E7)</f>
        <v>22131250</v>
      </c>
    </row>
    <row r="783">
      <c r="A783" s="2">
        <f>IFERROR(__xludf.DUMMYFUNCTION("""COMPUTED_VALUE"""),32532.666666666668)</f>
        <v>32532.66667</v>
      </c>
      <c r="B783" s="1">
        <f>IFERROR(__xludf.DUMMYFUNCTION("""COMPUTED_VALUE"""),284.5)</f>
        <v>284.5</v>
      </c>
      <c r="C783" s="1">
        <f>IFERROR(__xludf.DUMMYFUNCTION("""COMPUTED_VALUE"""),288.49)</f>
        <v>288.49</v>
      </c>
      <c r="D783" s="1">
        <f>IFERROR(__xludf.DUMMYFUNCTION("""COMPUTED_VALUE"""),284.5)</f>
        <v>284.5</v>
      </c>
      <c r="E783" s="1">
        <f>IFERROR(__xludf.DUMMYFUNCTION("""COMPUTED_VALUE"""),288.49)</f>
        <v>288.49</v>
      </c>
      <c r="F783" s="1">
        <f>IFERROR(__xludf.DUMMYFUNCTION("""COMPUTED_VALUE"""),2.9628124E7)</f>
        <v>29628124</v>
      </c>
    </row>
    <row r="784">
      <c r="A784" s="2">
        <f>IFERROR(__xludf.DUMMYFUNCTION("""COMPUTED_VALUE"""),32533.666666666668)</f>
        <v>32533.66667</v>
      </c>
      <c r="B784" s="1">
        <f>IFERROR(__xludf.DUMMYFUNCTION("""COMPUTED_VALUE"""),288.49)</f>
        <v>288.49</v>
      </c>
      <c r="C784" s="1">
        <f>IFERROR(__xludf.DUMMYFUNCTION("""COMPUTED_VALUE"""),289.15)</f>
        <v>289.15</v>
      </c>
      <c r="D784" s="1">
        <f>IFERROR(__xludf.DUMMYFUNCTION("""COMPUTED_VALUE"""),287.97)</f>
        <v>287.97</v>
      </c>
      <c r="E784" s="1">
        <f>IFERROR(__xludf.DUMMYFUNCTION("""COMPUTED_VALUE"""),289.14)</f>
        <v>289.14</v>
      </c>
      <c r="F784" s="1">
        <f>IFERROR(__xludf.DUMMYFUNCTION("""COMPUTED_VALUE"""),2.8689062E7)</f>
        <v>28689062</v>
      </c>
    </row>
    <row r="785">
      <c r="A785" s="2">
        <f>IFERROR(__xludf.DUMMYFUNCTION("""COMPUTED_VALUE"""),32534.666666666668)</f>
        <v>32534.66667</v>
      </c>
      <c r="B785" s="1">
        <f>IFERROR(__xludf.DUMMYFUNCTION("""COMPUTED_VALUE"""),289.14)</f>
        <v>289.14</v>
      </c>
      <c r="C785" s="1">
        <f>IFERROR(__xludf.DUMMYFUNCTION("""COMPUTED_VALUE"""),292.62)</f>
        <v>292.62</v>
      </c>
      <c r="D785" s="1">
        <f>IFERROR(__xludf.DUMMYFUNCTION("""COMPUTED_VALUE"""),288.13)</f>
        <v>288.13</v>
      </c>
      <c r="E785" s="1">
        <f>IFERROR(__xludf.DUMMYFUNCTION("""COMPUTED_VALUE"""),291.69)</f>
        <v>291.69</v>
      </c>
      <c r="F785" s="1">
        <f>IFERROR(__xludf.DUMMYFUNCTION("""COMPUTED_VALUE"""),3.3164062E7)</f>
        <v>33164062</v>
      </c>
    </row>
    <row r="786">
      <c r="A786" s="2">
        <f>IFERROR(__xludf.DUMMYFUNCTION("""COMPUTED_VALUE"""),32535.666666666668)</f>
        <v>32535.66667</v>
      </c>
      <c r="B786" s="1">
        <f>IFERROR(__xludf.DUMMYFUNCTION("""COMPUTED_VALUE"""),291.69)</f>
        <v>291.69</v>
      </c>
      <c r="C786" s="1">
        <f>IFERROR(__xludf.DUMMYFUNCTION("""COMPUTED_VALUE"""),296.08)</f>
        <v>296.08</v>
      </c>
      <c r="D786" s="1">
        <f>IFERROR(__xludf.DUMMYFUNCTION("""COMPUTED_VALUE"""),291.69)</f>
        <v>291.69</v>
      </c>
      <c r="E786" s="1">
        <f>IFERROR(__xludf.DUMMYFUNCTION("""COMPUTED_VALUE"""),293.82)</f>
        <v>293.82</v>
      </c>
      <c r="F786" s="1">
        <f>IFERROR(__xludf.DUMMYFUNCTION("""COMPUTED_VALUE"""),3.9823436E7)</f>
        <v>39823436</v>
      </c>
    </row>
    <row r="787">
      <c r="A787" s="2">
        <f>IFERROR(__xludf.DUMMYFUNCTION("""COMPUTED_VALUE"""),32538.666666666668)</f>
        <v>32538.66667</v>
      </c>
      <c r="B787" s="1">
        <f>IFERROR(__xludf.DUMMYFUNCTION("""COMPUTED_VALUE"""),293.82)</f>
        <v>293.82</v>
      </c>
      <c r="C787" s="1">
        <f>IFERROR(__xludf.DUMMYFUNCTION("""COMPUTED_VALUE"""),295.13)</f>
        <v>295.13</v>
      </c>
      <c r="D787" s="1">
        <f>IFERROR(__xludf.DUMMYFUNCTION("""COMPUTED_VALUE"""),293.54)</f>
        <v>293.54</v>
      </c>
      <c r="E787" s="1">
        <f>IFERROR(__xludf.DUMMYFUNCTION("""COMPUTED_VALUE"""),294.99)</f>
        <v>294.99</v>
      </c>
      <c r="F787" s="1">
        <f>IFERROR(__xludf.DUMMYFUNCTION("""COMPUTED_VALUE"""),2.6223438E7)</f>
        <v>26223438</v>
      </c>
    </row>
    <row r="788">
      <c r="A788" s="2">
        <f>IFERROR(__xludf.DUMMYFUNCTION("""COMPUTED_VALUE"""),32539.666666666668)</f>
        <v>32539.66667</v>
      </c>
      <c r="B788" s="1">
        <f>IFERROR(__xludf.DUMMYFUNCTION("""COMPUTED_VALUE"""),294.99)</f>
        <v>294.99</v>
      </c>
      <c r="C788" s="1">
        <f>IFERROR(__xludf.DUMMYFUNCTION("""COMPUTED_VALUE"""),297.51)</f>
        <v>297.51</v>
      </c>
      <c r="D788" s="1">
        <f>IFERROR(__xludf.DUMMYFUNCTION("""COMPUTED_VALUE"""),293.57)</f>
        <v>293.57</v>
      </c>
      <c r="E788" s="1">
        <f>IFERROR(__xludf.DUMMYFUNCTION("""COMPUTED_VALUE"""),297.47)</f>
        <v>297.47</v>
      </c>
      <c r="F788" s="1">
        <f>IFERROR(__xludf.DUMMYFUNCTION("""COMPUTED_VALUE"""),3.0320312E7)</f>
        <v>30320312</v>
      </c>
    </row>
    <row r="789">
      <c r="A789" s="2">
        <f>IFERROR(__xludf.DUMMYFUNCTION("""COMPUTED_VALUE"""),32540.666666666668)</f>
        <v>32540.66667</v>
      </c>
      <c r="B789" s="1">
        <f>IFERROR(__xludf.DUMMYFUNCTION("""COMPUTED_VALUE"""),297.47)</f>
        <v>297.47</v>
      </c>
      <c r="C789" s="1">
        <f>IFERROR(__xludf.DUMMYFUNCTION("""COMPUTED_VALUE"""),298.33)</f>
        <v>298.33</v>
      </c>
      <c r="D789" s="1">
        <f>IFERROR(__xludf.DUMMYFUNCTION("""COMPUTED_VALUE"""),296.22)</f>
        <v>296.22</v>
      </c>
      <c r="E789" s="1">
        <f>IFERROR(__xludf.DUMMYFUNCTION("""COMPUTED_VALUE"""),297.09)</f>
        <v>297.09</v>
      </c>
      <c r="F789" s="1">
        <f>IFERROR(__xludf.DUMMYFUNCTION("""COMPUTED_VALUE"""),3.3693752E7)</f>
        <v>33693752</v>
      </c>
    </row>
    <row r="790">
      <c r="A790" s="2">
        <f>IFERROR(__xludf.DUMMYFUNCTION("""COMPUTED_VALUE"""),32541.666666666668)</f>
        <v>32541.66667</v>
      </c>
      <c r="B790" s="1">
        <f>IFERROR(__xludf.DUMMYFUNCTION("""COMPUTED_VALUE"""),297.09)</f>
        <v>297.09</v>
      </c>
      <c r="C790" s="1">
        <f>IFERROR(__xludf.DUMMYFUNCTION("""COMPUTED_VALUE"""),297.92)</f>
        <v>297.92</v>
      </c>
      <c r="D790" s="1">
        <f>IFERROR(__xludf.DUMMYFUNCTION("""COMPUTED_VALUE"""),295.81)</f>
        <v>295.81</v>
      </c>
      <c r="E790" s="1">
        <f>IFERROR(__xludf.DUMMYFUNCTION("""COMPUTED_VALUE"""),296.84)</f>
        <v>296.84</v>
      </c>
      <c r="F790" s="1">
        <f>IFERROR(__xludf.DUMMYFUNCTION("""COMPUTED_VALUE"""),2.8660938E7)</f>
        <v>28660938</v>
      </c>
    </row>
    <row r="791">
      <c r="A791" s="2">
        <f>IFERROR(__xludf.DUMMYFUNCTION("""COMPUTED_VALUE"""),32542.666666666668)</f>
        <v>32542.66667</v>
      </c>
      <c r="B791" s="1">
        <f>IFERROR(__xludf.DUMMYFUNCTION("""COMPUTED_VALUE"""),296.84)</f>
        <v>296.84</v>
      </c>
      <c r="C791" s="1">
        <f>IFERROR(__xludf.DUMMYFUNCTION("""COMPUTED_VALUE"""),297.66)</f>
        <v>297.66</v>
      </c>
      <c r="D791" s="1">
        <f>IFERROR(__xludf.DUMMYFUNCTION("""COMPUTED_VALUE"""),296.15)</f>
        <v>296.15</v>
      </c>
      <c r="E791" s="1">
        <f>IFERROR(__xludf.DUMMYFUNCTION("""COMPUTED_VALUE"""),296.97)</f>
        <v>296.97</v>
      </c>
      <c r="F791" s="1">
        <f>IFERROR(__xludf.DUMMYFUNCTION("""COMPUTED_VALUE"""),2.7028124E7)</f>
        <v>27028124</v>
      </c>
    </row>
    <row r="792">
      <c r="A792" s="2">
        <f>IFERROR(__xludf.DUMMYFUNCTION("""COMPUTED_VALUE"""),32545.666666666668)</f>
        <v>32545.66667</v>
      </c>
      <c r="B792" s="1">
        <f>IFERROR(__xludf.DUMMYFUNCTION("""COMPUTED_VALUE"""),296.97)</f>
        <v>296.97</v>
      </c>
      <c r="C792" s="1">
        <f>IFERROR(__xludf.DUMMYFUNCTION("""COMPUTED_VALUE"""),296.99)</f>
        <v>296.99</v>
      </c>
      <c r="D792" s="1">
        <f>IFERROR(__xludf.DUMMYFUNCTION("""COMPUTED_VALUE"""),294.96)</f>
        <v>294.96</v>
      </c>
      <c r="E792" s="1">
        <f>IFERROR(__xludf.DUMMYFUNCTION("""COMPUTED_VALUE"""),296.04)</f>
        <v>296.04</v>
      </c>
      <c r="F792" s="1">
        <f>IFERROR(__xludf.DUMMYFUNCTION("""COMPUTED_VALUE"""),2.3590624E7)</f>
        <v>23590624</v>
      </c>
    </row>
    <row r="793">
      <c r="A793" s="2">
        <f>IFERROR(__xludf.DUMMYFUNCTION("""COMPUTED_VALUE"""),32546.666666666668)</f>
        <v>32546.66667</v>
      </c>
      <c r="B793" s="1">
        <f>IFERROR(__xludf.DUMMYFUNCTION("""COMPUTED_VALUE"""),296.04)</f>
        <v>296.04</v>
      </c>
      <c r="C793" s="1">
        <f>IFERROR(__xludf.DUMMYFUNCTION("""COMPUTED_VALUE"""),300.34)</f>
        <v>300.34</v>
      </c>
      <c r="D793" s="1">
        <f>IFERROR(__xludf.DUMMYFUNCTION("""COMPUTED_VALUE"""),295.78)</f>
        <v>295.78</v>
      </c>
      <c r="E793" s="1">
        <f>IFERROR(__xludf.DUMMYFUNCTION("""COMPUTED_VALUE"""),299.63)</f>
        <v>299.63</v>
      </c>
      <c r="F793" s="1">
        <f>IFERROR(__xludf.DUMMYFUNCTION("""COMPUTED_VALUE"""),3.3946876E7)</f>
        <v>33946876</v>
      </c>
    </row>
    <row r="794">
      <c r="A794" s="2">
        <f>IFERROR(__xludf.DUMMYFUNCTION("""COMPUTED_VALUE"""),32547.666666666668)</f>
        <v>32547.66667</v>
      </c>
      <c r="B794" s="1">
        <f>IFERROR(__xludf.DUMMYFUNCTION("""COMPUTED_VALUE"""),299.62)</f>
        <v>299.62</v>
      </c>
      <c r="C794" s="1">
        <f>IFERROR(__xludf.DUMMYFUNCTION("""COMPUTED_VALUE"""),300.57)</f>
        <v>300.57</v>
      </c>
      <c r="D794" s="1">
        <f>IFERROR(__xludf.DUMMYFUNCTION("""COMPUTED_VALUE"""),298.41)</f>
        <v>298.41</v>
      </c>
      <c r="E794" s="1">
        <f>IFERROR(__xludf.DUMMYFUNCTION("""COMPUTED_VALUE"""),298.65)</f>
        <v>298.65</v>
      </c>
      <c r="F794" s="1">
        <f>IFERROR(__xludf.DUMMYFUNCTION("""COMPUTED_VALUE"""),2.9596876E7)</f>
        <v>29596876</v>
      </c>
    </row>
    <row r="795">
      <c r="A795" s="2">
        <f>IFERROR(__xludf.DUMMYFUNCTION("""COMPUTED_VALUE"""),32548.666666666668)</f>
        <v>32548.66667</v>
      </c>
      <c r="B795" s="1">
        <f>IFERROR(__xludf.DUMMYFUNCTION("""COMPUTED_VALUE"""),298.65)</f>
        <v>298.65</v>
      </c>
      <c r="C795" s="1">
        <f>IFERROR(__xludf.DUMMYFUNCTION("""COMPUTED_VALUE"""),298.79)</f>
        <v>298.79</v>
      </c>
      <c r="D795" s="1">
        <f>IFERROR(__xludf.DUMMYFUNCTION("""COMPUTED_VALUE"""),295.16)</f>
        <v>295.16</v>
      </c>
      <c r="E795" s="1">
        <f>IFERROR(__xludf.DUMMYFUNCTION("""COMPUTED_VALUE"""),296.06)</f>
        <v>296.06</v>
      </c>
      <c r="F795" s="1">
        <f>IFERROR(__xludf.DUMMYFUNCTION("""COMPUTED_VALUE"""),3.5034376E7)</f>
        <v>35034376</v>
      </c>
    </row>
    <row r="796">
      <c r="A796" s="2">
        <f>IFERROR(__xludf.DUMMYFUNCTION("""COMPUTED_VALUE"""),32549.666666666668)</f>
        <v>32549.66667</v>
      </c>
      <c r="B796" s="1">
        <f>IFERROR(__xludf.DUMMYFUNCTION("""COMPUTED_VALUE"""),296.06)</f>
        <v>296.06</v>
      </c>
      <c r="C796" s="1">
        <f>IFERROR(__xludf.DUMMYFUNCTION("""COMPUTED_VALUE"""),296.06)</f>
        <v>296.06</v>
      </c>
      <c r="D796" s="1">
        <f>IFERROR(__xludf.DUMMYFUNCTION("""COMPUTED_VALUE"""),291.96)</f>
        <v>291.96</v>
      </c>
      <c r="E796" s="1">
        <f>IFERROR(__xludf.DUMMYFUNCTION("""COMPUTED_VALUE"""),292.02)</f>
        <v>292.02</v>
      </c>
      <c r="F796" s="1">
        <f>IFERROR(__xludf.DUMMYFUNCTION("""COMPUTED_VALUE"""),2.711875E7)</f>
        <v>27118750</v>
      </c>
    </row>
    <row r="797">
      <c r="A797" s="2">
        <f>IFERROR(__xludf.DUMMYFUNCTION("""COMPUTED_VALUE"""),32552.666666666668)</f>
        <v>32552.66667</v>
      </c>
      <c r="B797" s="1">
        <f>IFERROR(__xludf.DUMMYFUNCTION("""COMPUTED_VALUE"""),292.02)</f>
        <v>292.02</v>
      </c>
      <c r="C797" s="1">
        <f>IFERROR(__xludf.DUMMYFUNCTION("""COMPUTED_VALUE"""),293.07)</f>
        <v>293.07</v>
      </c>
      <c r="D797" s="1">
        <f>IFERROR(__xludf.DUMMYFUNCTION("""COMPUTED_VALUE"""),290.88)</f>
        <v>290.88</v>
      </c>
      <c r="E797" s="1">
        <f>IFERROR(__xludf.DUMMYFUNCTION("""COMPUTED_VALUE"""),292.54)</f>
        <v>292.54</v>
      </c>
      <c r="F797" s="1">
        <f>IFERROR(__xludf.DUMMYFUNCTION("""COMPUTED_VALUE"""),2.2425E7)</f>
        <v>22425000</v>
      </c>
    </row>
    <row r="798">
      <c r="A798" s="2">
        <f>IFERROR(__xludf.DUMMYFUNCTION("""COMPUTED_VALUE"""),32553.666666666668)</f>
        <v>32553.66667</v>
      </c>
      <c r="B798" s="1">
        <f>IFERROR(__xludf.DUMMYFUNCTION("""COMPUTED_VALUE"""),292.54)</f>
        <v>292.54</v>
      </c>
      <c r="C798" s="1">
        <f>IFERROR(__xludf.DUMMYFUNCTION("""COMPUTED_VALUE"""),294.37)</f>
        <v>294.37</v>
      </c>
      <c r="D798" s="1">
        <f>IFERROR(__xludf.DUMMYFUNCTION("""COMPUTED_VALUE"""),291.41)</f>
        <v>291.41</v>
      </c>
      <c r="E798" s="1">
        <f>IFERROR(__xludf.DUMMYFUNCTION("""COMPUTED_VALUE"""),291.81)</f>
        <v>291.81</v>
      </c>
      <c r="F798" s="1">
        <f>IFERROR(__xludf.DUMMYFUNCTION("""COMPUTED_VALUE"""),2.3532812E7)</f>
        <v>23532812</v>
      </c>
    </row>
    <row r="799">
      <c r="A799" s="2">
        <f>IFERROR(__xludf.DUMMYFUNCTION("""COMPUTED_VALUE"""),32554.666666666668)</f>
        <v>32554.66667</v>
      </c>
      <c r="B799" s="1">
        <f>IFERROR(__xludf.DUMMYFUNCTION("""COMPUTED_VALUE"""),291.81)</f>
        <v>291.81</v>
      </c>
      <c r="C799" s="1">
        <f>IFERROR(__xludf.DUMMYFUNCTION("""COMPUTED_VALUE"""),294.42)</f>
        <v>294.42</v>
      </c>
      <c r="D799" s="1">
        <f>IFERROR(__xludf.DUMMYFUNCTION("""COMPUTED_VALUE"""),291.49)</f>
        <v>291.49</v>
      </c>
      <c r="E799" s="1">
        <f>IFERROR(__xludf.DUMMYFUNCTION("""COMPUTED_VALUE"""),294.24)</f>
        <v>294.24</v>
      </c>
      <c r="F799" s="1">
        <f>IFERROR(__xludf.DUMMYFUNCTION("""COMPUTED_VALUE"""),2.4096876E7)</f>
        <v>24096876</v>
      </c>
    </row>
    <row r="800">
      <c r="A800" s="2">
        <f>IFERROR(__xludf.DUMMYFUNCTION("""COMPUTED_VALUE"""),32555.666666666668)</f>
        <v>32555.66667</v>
      </c>
      <c r="B800" s="1">
        <f>IFERROR(__xludf.DUMMYFUNCTION("""COMPUTED_VALUE"""),294.24)</f>
        <v>294.24</v>
      </c>
      <c r="C800" s="1">
        <f>IFERROR(__xludf.DUMMYFUNCTION("""COMPUTED_VALUE"""),295.15)</f>
        <v>295.15</v>
      </c>
      <c r="D800" s="1">
        <f>IFERROR(__xludf.DUMMYFUNCTION("""COMPUTED_VALUE"""),294.22)</f>
        <v>294.22</v>
      </c>
      <c r="E800" s="1">
        <f>IFERROR(__xludf.DUMMYFUNCTION("""COMPUTED_VALUE"""),294.81)</f>
        <v>294.81</v>
      </c>
      <c r="F800" s="1">
        <f>IFERROR(__xludf.DUMMYFUNCTION("""COMPUTED_VALUE"""),2.7726562E7)</f>
        <v>27726562</v>
      </c>
    </row>
    <row r="801">
      <c r="A801" s="2">
        <f>IFERROR(__xludf.DUMMYFUNCTION("""COMPUTED_VALUE"""),32556.666666666668)</f>
        <v>32556.66667</v>
      </c>
      <c r="B801" s="1">
        <f>IFERROR(__xludf.DUMMYFUNCTION("""COMPUTED_VALUE"""),294.81)</f>
        <v>294.81</v>
      </c>
      <c r="C801" s="1">
        <f>IFERROR(__xludf.DUMMYFUNCTION("""COMPUTED_VALUE"""),297.12)</f>
        <v>297.12</v>
      </c>
      <c r="D801" s="1">
        <f>IFERROR(__xludf.DUMMYFUNCTION("""COMPUTED_VALUE"""),294.69)</f>
        <v>294.69</v>
      </c>
      <c r="E801" s="1">
        <f>IFERROR(__xludf.DUMMYFUNCTION("""COMPUTED_VALUE"""),296.76)</f>
        <v>296.76</v>
      </c>
      <c r="F801" s="1">
        <f>IFERROR(__xludf.DUMMYFUNCTION("""COMPUTED_VALUE"""),2.4925E7)</f>
        <v>24925000</v>
      </c>
    </row>
    <row r="802">
      <c r="A802" s="2">
        <f>IFERROR(__xludf.DUMMYFUNCTION("""COMPUTED_VALUE"""),32560.666666666668)</f>
        <v>32560.66667</v>
      </c>
      <c r="B802" s="1">
        <f>IFERROR(__xludf.DUMMYFUNCTION("""COMPUTED_VALUE"""),296.76)</f>
        <v>296.76</v>
      </c>
      <c r="C802" s="1">
        <f>IFERROR(__xludf.DUMMYFUNCTION("""COMPUTED_VALUE"""),297.04)</f>
        <v>297.04</v>
      </c>
      <c r="D802" s="1">
        <f>IFERROR(__xludf.DUMMYFUNCTION("""COMPUTED_VALUE"""),295.16)</f>
        <v>295.16</v>
      </c>
      <c r="E802" s="1">
        <f>IFERROR(__xludf.DUMMYFUNCTION("""COMPUTED_VALUE"""),295.98)</f>
        <v>295.98</v>
      </c>
      <c r="F802" s="1">
        <f>IFERROR(__xludf.DUMMYFUNCTION("""COMPUTED_VALUE"""),2.2179688E7)</f>
        <v>22179688</v>
      </c>
    </row>
    <row r="803">
      <c r="A803" s="2">
        <f>IFERROR(__xludf.DUMMYFUNCTION("""COMPUTED_VALUE"""),32561.666666666668)</f>
        <v>32561.66667</v>
      </c>
      <c r="B803" s="1">
        <f>IFERROR(__xludf.DUMMYFUNCTION("""COMPUTED_VALUE"""),295.98)</f>
        <v>295.98</v>
      </c>
      <c r="C803" s="1">
        <f>IFERROR(__xludf.DUMMYFUNCTION("""COMPUTED_VALUE"""),295.98)</f>
        <v>295.98</v>
      </c>
      <c r="D803" s="1">
        <f>IFERROR(__xludf.DUMMYFUNCTION("""COMPUTED_VALUE"""),290.76)</f>
        <v>290.76</v>
      </c>
      <c r="E803" s="1">
        <f>IFERROR(__xludf.DUMMYFUNCTION("""COMPUTED_VALUE"""),290.91)</f>
        <v>290.91</v>
      </c>
      <c r="F803" s="1">
        <f>IFERROR(__xludf.DUMMYFUNCTION("""COMPUTED_VALUE"""),2.5490624E7)</f>
        <v>25490624</v>
      </c>
    </row>
    <row r="804">
      <c r="A804" s="2">
        <f>IFERROR(__xludf.DUMMYFUNCTION("""COMPUTED_VALUE"""),32562.666666666668)</f>
        <v>32562.66667</v>
      </c>
      <c r="B804" s="1">
        <f>IFERROR(__xludf.DUMMYFUNCTION("""COMPUTED_VALUE"""),290.91)</f>
        <v>290.91</v>
      </c>
      <c r="C804" s="1">
        <f>IFERROR(__xludf.DUMMYFUNCTION("""COMPUTED_VALUE"""),292.05)</f>
        <v>292.05</v>
      </c>
      <c r="D804" s="1">
        <f>IFERROR(__xludf.DUMMYFUNCTION("""COMPUTED_VALUE"""),289.83)</f>
        <v>289.83</v>
      </c>
      <c r="E804" s="1">
        <f>IFERROR(__xludf.DUMMYFUNCTION("""COMPUTED_VALUE"""),292.05)</f>
        <v>292.05</v>
      </c>
      <c r="F804" s="1">
        <f>IFERROR(__xludf.DUMMYFUNCTION("""COMPUTED_VALUE"""),2.3495312E7)</f>
        <v>23495312</v>
      </c>
    </row>
    <row r="805">
      <c r="A805" s="2">
        <f>IFERROR(__xludf.DUMMYFUNCTION("""COMPUTED_VALUE"""),32563.666666666668)</f>
        <v>32563.66667</v>
      </c>
      <c r="B805" s="1">
        <f>IFERROR(__xludf.DUMMYFUNCTION("""COMPUTED_VALUE"""),292.05)</f>
        <v>292.05</v>
      </c>
      <c r="C805" s="1">
        <f>IFERROR(__xludf.DUMMYFUNCTION("""COMPUTED_VALUE"""),292.05)</f>
        <v>292.05</v>
      </c>
      <c r="D805" s="1">
        <f>IFERROR(__xludf.DUMMYFUNCTION("""COMPUTED_VALUE"""),287.13)</f>
        <v>287.13</v>
      </c>
      <c r="E805" s="1">
        <f>IFERROR(__xludf.DUMMYFUNCTION("""COMPUTED_VALUE"""),287.13)</f>
        <v>287.13</v>
      </c>
      <c r="F805" s="1">
        <f>IFERROR(__xludf.DUMMYFUNCTION("""COMPUTED_VALUE"""),2.510625E7)</f>
        <v>25106250</v>
      </c>
    </row>
    <row r="806">
      <c r="A806" s="2">
        <f>IFERROR(__xludf.DUMMYFUNCTION("""COMPUTED_VALUE"""),32566.666666666668)</f>
        <v>32566.66667</v>
      </c>
      <c r="B806" s="1">
        <f>IFERROR(__xludf.DUMMYFUNCTION("""COMPUTED_VALUE"""),287.13)</f>
        <v>287.13</v>
      </c>
      <c r="C806" s="1">
        <f>IFERROR(__xludf.DUMMYFUNCTION("""COMPUTED_VALUE"""),288.12)</f>
        <v>288.12</v>
      </c>
      <c r="D806" s="1">
        <f>IFERROR(__xludf.DUMMYFUNCTION("""COMPUTED_VALUE"""),286.26)</f>
        <v>286.26</v>
      </c>
      <c r="E806" s="1">
        <f>IFERROR(__xludf.DUMMYFUNCTION("""COMPUTED_VALUE"""),287.82)</f>
        <v>287.82</v>
      </c>
      <c r="F806" s="1">
        <f>IFERROR(__xludf.DUMMYFUNCTION("""COMPUTED_VALUE"""),2.1859376E7)</f>
        <v>21859376</v>
      </c>
    </row>
    <row r="807">
      <c r="A807" s="2">
        <f>IFERROR(__xludf.DUMMYFUNCTION("""COMPUTED_VALUE"""),32567.666666666668)</f>
        <v>32567.66667</v>
      </c>
      <c r="B807" s="1">
        <f>IFERROR(__xludf.DUMMYFUNCTION("""COMPUTED_VALUE"""),287.82)</f>
        <v>287.82</v>
      </c>
      <c r="C807" s="1">
        <f>IFERROR(__xludf.DUMMYFUNCTION("""COMPUTED_VALUE"""),289.42)</f>
        <v>289.42</v>
      </c>
      <c r="D807" s="1">
        <f>IFERROR(__xludf.DUMMYFUNCTION("""COMPUTED_VALUE"""),287.63)</f>
        <v>287.63</v>
      </c>
      <c r="E807" s="1">
        <f>IFERROR(__xludf.DUMMYFUNCTION("""COMPUTED_VALUE"""),288.86)</f>
        <v>288.86</v>
      </c>
      <c r="F807" s="1">
        <f>IFERROR(__xludf.DUMMYFUNCTION("""COMPUTED_VALUE"""),2.3035938E7)</f>
        <v>23035938</v>
      </c>
    </row>
    <row r="808">
      <c r="A808" s="2">
        <f>IFERROR(__xludf.DUMMYFUNCTION("""COMPUTED_VALUE"""),32568.666666666668)</f>
        <v>32568.66667</v>
      </c>
      <c r="B808" s="1">
        <f>IFERROR(__xludf.DUMMYFUNCTION("""COMPUTED_VALUE"""),288.86)</f>
        <v>288.86</v>
      </c>
      <c r="C808" s="1">
        <f>IFERROR(__xludf.DUMMYFUNCTION("""COMPUTED_VALUE"""),290.28)</f>
        <v>290.28</v>
      </c>
      <c r="D808" s="1">
        <f>IFERROR(__xludf.DUMMYFUNCTION("""COMPUTED_VALUE"""),286.46)</f>
        <v>286.46</v>
      </c>
      <c r="E808" s="1">
        <f>IFERROR(__xludf.DUMMYFUNCTION("""COMPUTED_VALUE"""),287.11)</f>
        <v>287.11</v>
      </c>
      <c r="F808" s="1">
        <f>IFERROR(__xludf.DUMMYFUNCTION("""COMPUTED_VALUE"""),2.7689062E7)</f>
        <v>27689062</v>
      </c>
    </row>
    <row r="809">
      <c r="A809" s="2">
        <f>IFERROR(__xludf.DUMMYFUNCTION("""COMPUTED_VALUE"""),32569.666666666668)</f>
        <v>32569.66667</v>
      </c>
      <c r="B809" s="1">
        <f>IFERROR(__xludf.DUMMYFUNCTION("""COMPUTED_VALUE"""),287.11)</f>
        <v>287.11</v>
      </c>
      <c r="C809" s="1">
        <f>IFERROR(__xludf.DUMMYFUNCTION("""COMPUTED_VALUE"""),290.32)</f>
        <v>290.32</v>
      </c>
      <c r="D809" s="1">
        <f>IFERROR(__xludf.DUMMYFUNCTION("""COMPUTED_VALUE"""),287.11)</f>
        <v>287.11</v>
      </c>
      <c r="E809" s="1">
        <f>IFERROR(__xludf.DUMMYFUNCTION("""COMPUTED_VALUE"""),289.95)</f>
        <v>289.95</v>
      </c>
      <c r="F809" s="1">
        <f>IFERROR(__xludf.DUMMYFUNCTION("""COMPUTED_VALUE"""),2.5309376E7)</f>
        <v>25309376</v>
      </c>
    </row>
    <row r="810">
      <c r="A810" s="2">
        <f>IFERROR(__xludf.DUMMYFUNCTION("""COMPUTED_VALUE"""),32570.666666666668)</f>
        <v>32570.66667</v>
      </c>
      <c r="B810" s="1">
        <f>IFERROR(__xludf.DUMMYFUNCTION("""COMPUTED_VALUE"""),289.94)</f>
        <v>289.94</v>
      </c>
      <c r="C810" s="1">
        <f>IFERROR(__xludf.DUMMYFUNCTION("""COMPUTED_VALUE"""),291.18)</f>
        <v>291.18</v>
      </c>
      <c r="D810" s="1">
        <f>IFERROR(__xludf.DUMMYFUNCTION("""COMPUTED_VALUE"""),289.44)</f>
        <v>289.44</v>
      </c>
      <c r="E810" s="1">
        <f>IFERROR(__xludf.DUMMYFUNCTION("""COMPUTED_VALUE"""),291.18)</f>
        <v>291.18</v>
      </c>
      <c r="F810" s="1">
        <f>IFERROR(__xludf.DUMMYFUNCTION("""COMPUTED_VALUE"""),2.3717188E7)</f>
        <v>23717188</v>
      </c>
    </row>
    <row r="811">
      <c r="A811" s="2">
        <f>IFERROR(__xludf.DUMMYFUNCTION("""COMPUTED_VALUE"""),32573.666666666668)</f>
        <v>32573.66667</v>
      </c>
      <c r="B811" s="1">
        <f>IFERROR(__xludf.DUMMYFUNCTION("""COMPUTED_VALUE"""),291.2)</f>
        <v>291.2</v>
      </c>
      <c r="C811" s="1">
        <f>IFERROR(__xludf.DUMMYFUNCTION("""COMPUTED_VALUE"""),294.81)</f>
        <v>294.81</v>
      </c>
      <c r="D811" s="1">
        <f>IFERROR(__xludf.DUMMYFUNCTION("""COMPUTED_VALUE"""),291.18)</f>
        <v>291.18</v>
      </c>
      <c r="E811" s="1">
        <f>IFERROR(__xludf.DUMMYFUNCTION("""COMPUTED_VALUE"""),294.81)</f>
        <v>294.81</v>
      </c>
      <c r="F811" s="1">
        <f>IFERROR(__xludf.DUMMYFUNCTION("""COMPUTED_VALUE"""),2.63875E7)</f>
        <v>26387500</v>
      </c>
    </row>
    <row r="812">
      <c r="A812" s="2">
        <f>IFERROR(__xludf.DUMMYFUNCTION("""COMPUTED_VALUE"""),32574.666666666668)</f>
        <v>32574.66667</v>
      </c>
      <c r="B812" s="1">
        <f>IFERROR(__xludf.DUMMYFUNCTION("""COMPUTED_VALUE"""),294.81)</f>
        <v>294.81</v>
      </c>
      <c r="C812" s="1">
        <f>IFERROR(__xludf.DUMMYFUNCTION("""COMPUTED_VALUE"""),295.16)</f>
        <v>295.16</v>
      </c>
      <c r="D812" s="1">
        <f>IFERROR(__xludf.DUMMYFUNCTION("""COMPUTED_VALUE"""),293.5)</f>
        <v>293.5</v>
      </c>
      <c r="E812" s="1">
        <f>IFERROR(__xludf.DUMMYFUNCTION("""COMPUTED_VALUE"""),293.87)</f>
        <v>293.87</v>
      </c>
      <c r="F812" s="1">
        <f>IFERROR(__xludf.DUMMYFUNCTION("""COMPUTED_VALUE"""),2.6953124E7)</f>
        <v>26953124</v>
      </c>
    </row>
    <row r="813">
      <c r="A813" s="2">
        <f>IFERROR(__xludf.DUMMYFUNCTION("""COMPUTED_VALUE"""),32575.666666666668)</f>
        <v>32575.66667</v>
      </c>
      <c r="B813" s="1">
        <f>IFERROR(__xludf.DUMMYFUNCTION("""COMPUTED_VALUE"""),293.87)</f>
        <v>293.87</v>
      </c>
      <c r="C813" s="1">
        <f>IFERROR(__xludf.DUMMYFUNCTION("""COMPUTED_VALUE"""),295.62)</f>
        <v>295.62</v>
      </c>
      <c r="D813" s="1">
        <f>IFERROR(__xludf.DUMMYFUNCTION("""COMPUTED_VALUE"""),293.51)</f>
        <v>293.51</v>
      </c>
      <c r="E813" s="1">
        <f>IFERROR(__xludf.DUMMYFUNCTION("""COMPUTED_VALUE"""),294.08)</f>
        <v>294.08</v>
      </c>
      <c r="F813" s="1">
        <f>IFERROR(__xludf.DUMMYFUNCTION("""COMPUTED_VALUE"""),2.6190624E7)</f>
        <v>26190624</v>
      </c>
    </row>
    <row r="814">
      <c r="A814" s="2">
        <f>IFERROR(__xludf.DUMMYFUNCTION("""COMPUTED_VALUE"""),32576.666666666668)</f>
        <v>32576.66667</v>
      </c>
      <c r="B814" s="1">
        <f>IFERROR(__xludf.DUMMYFUNCTION("""COMPUTED_VALUE"""),294.08)</f>
        <v>294.08</v>
      </c>
      <c r="C814" s="1">
        <f>IFERROR(__xludf.DUMMYFUNCTION("""COMPUTED_VALUE"""),294.69)</f>
        <v>294.69</v>
      </c>
      <c r="D814" s="1">
        <f>IFERROR(__xludf.DUMMYFUNCTION("""COMPUTED_VALUE"""),293.85)</f>
        <v>293.85</v>
      </c>
      <c r="E814" s="1">
        <f>IFERROR(__xludf.DUMMYFUNCTION("""COMPUTED_VALUE"""),293.93)</f>
        <v>293.93</v>
      </c>
      <c r="F814" s="1">
        <f>IFERROR(__xludf.DUMMYFUNCTION("""COMPUTED_VALUE"""),2.236875E7)</f>
        <v>22368750</v>
      </c>
    </row>
    <row r="815">
      <c r="A815" s="2">
        <f>IFERROR(__xludf.DUMMYFUNCTION("""COMPUTED_VALUE"""),32577.666666666668)</f>
        <v>32577.66667</v>
      </c>
      <c r="B815" s="1">
        <f>IFERROR(__xludf.DUMMYFUNCTION("""COMPUTED_VALUE"""),293.93)</f>
        <v>293.93</v>
      </c>
      <c r="C815" s="1">
        <f>IFERROR(__xludf.DUMMYFUNCTION("""COMPUTED_VALUE"""),293.93)</f>
        <v>293.93</v>
      </c>
      <c r="D815" s="1">
        <f>IFERROR(__xludf.DUMMYFUNCTION("""COMPUTED_VALUE"""),291.6)</f>
        <v>291.6</v>
      </c>
      <c r="E815" s="1">
        <f>IFERROR(__xludf.DUMMYFUNCTION("""COMPUTED_VALUE"""),292.88)</f>
        <v>292.88</v>
      </c>
      <c r="F815" s="1">
        <f>IFERROR(__xludf.DUMMYFUNCTION("""COMPUTED_VALUE"""),2.2942188E7)</f>
        <v>22942188</v>
      </c>
    </row>
    <row r="816">
      <c r="A816" s="2">
        <f>IFERROR(__xludf.DUMMYFUNCTION("""COMPUTED_VALUE"""),32580.666666666668)</f>
        <v>32580.66667</v>
      </c>
      <c r="B816" s="1">
        <f>IFERROR(__xludf.DUMMYFUNCTION("""COMPUTED_VALUE"""),292.88)</f>
        <v>292.88</v>
      </c>
      <c r="C816" s="1">
        <f>IFERROR(__xludf.DUMMYFUNCTION("""COMPUTED_VALUE"""),296.18)</f>
        <v>296.18</v>
      </c>
      <c r="D816" s="1">
        <f>IFERROR(__xludf.DUMMYFUNCTION("""COMPUTED_VALUE"""),292.88)</f>
        <v>292.88</v>
      </c>
      <c r="E816" s="1">
        <f>IFERROR(__xludf.DUMMYFUNCTION("""COMPUTED_VALUE"""),295.32)</f>
        <v>295.32</v>
      </c>
      <c r="F816" s="1">
        <f>IFERROR(__xludf.DUMMYFUNCTION("""COMPUTED_VALUE"""),2.1946876E7)</f>
        <v>21946876</v>
      </c>
    </row>
    <row r="817">
      <c r="A817" s="2">
        <f>IFERROR(__xludf.DUMMYFUNCTION("""COMPUTED_VALUE"""),32581.666666666668)</f>
        <v>32581.66667</v>
      </c>
      <c r="B817" s="1">
        <f>IFERROR(__xludf.DUMMYFUNCTION("""COMPUTED_VALUE"""),295.32)</f>
        <v>295.32</v>
      </c>
      <c r="C817" s="1">
        <f>IFERROR(__xludf.DUMMYFUNCTION("""COMPUTED_VALUE"""),296.29)</f>
        <v>296.29</v>
      </c>
      <c r="D817" s="1">
        <f>IFERROR(__xludf.DUMMYFUNCTION("""COMPUTED_VALUE"""),294.63)</f>
        <v>294.63</v>
      </c>
      <c r="E817" s="1">
        <f>IFERROR(__xludf.DUMMYFUNCTION("""COMPUTED_VALUE"""),295.14)</f>
        <v>295.14</v>
      </c>
      <c r="F817" s="1">
        <f>IFERROR(__xludf.DUMMYFUNCTION("""COMPUTED_VALUE"""),2.1870312E7)</f>
        <v>21870312</v>
      </c>
    </row>
    <row r="818">
      <c r="A818" s="2">
        <f>IFERROR(__xludf.DUMMYFUNCTION("""COMPUTED_VALUE"""),32582.666666666668)</f>
        <v>32582.66667</v>
      </c>
      <c r="B818" s="1">
        <f>IFERROR(__xludf.DUMMYFUNCTION("""COMPUTED_VALUE"""),295.14)</f>
        <v>295.14</v>
      </c>
      <c r="C818" s="1">
        <f>IFERROR(__xludf.DUMMYFUNCTION("""COMPUTED_VALUE"""),296.78)</f>
        <v>296.78</v>
      </c>
      <c r="D818" s="1">
        <f>IFERROR(__xludf.DUMMYFUNCTION("""COMPUTED_VALUE"""),295.14)</f>
        <v>295.14</v>
      </c>
      <c r="E818" s="1">
        <f>IFERROR(__xludf.DUMMYFUNCTION("""COMPUTED_VALUE"""),296.67)</f>
        <v>296.67</v>
      </c>
      <c r="F818" s="1">
        <f>IFERROR(__xludf.DUMMYFUNCTION("""COMPUTED_VALUE"""),2.6104688E7)</f>
        <v>26104688</v>
      </c>
    </row>
    <row r="819">
      <c r="A819" s="2">
        <f>IFERROR(__xludf.DUMMYFUNCTION("""COMPUTED_VALUE"""),32583.666666666668)</f>
        <v>32583.66667</v>
      </c>
      <c r="B819" s="1">
        <f>IFERROR(__xludf.DUMMYFUNCTION("""COMPUTED_VALUE"""),296.67)</f>
        <v>296.67</v>
      </c>
      <c r="C819" s="1">
        <f>IFERROR(__xludf.DUMMYFUNCTION("""COMPUTED_VALUE"""),299.99)</f>
        <v>299.99</v>
      </c>
      <c r="D819" s="1">
        <f>IFERROR(__xludf.DUMMYFUNCTION("""COMPUTED_VALUE"""),296.66)</f>
        <v>296.66</v>
      </c>
      <c r="E819" s="1">
        <f>IFERROR(__xludf.DUMMYFUNCTION("""COMPUTED_VALUE"""),299.44)</f>
        <v>299.44</v>
      </c>
      <c r="F819" s="1">
        <f>IFERROR(__xludf.DUMMYFUNCTION("""COMPUTED_VALUE"""),3.063125E7)</f>
        <v>30631250</v>
      </c>
    </row>
    <row r="820">
      <c r="A820" s="2">
        <f>IFERROR(__xludf.DUMMYFUNCTION("""COMPUTED_VALUE"""),32584.666666666668)</f>
        <v>32584.66667</v>
      </c>
      <c r="B820" s="1">
        <f>IFERROR(__xludf.DUMMYFUNCTION("""COMPUTED_VALUE"""),299.44)</f>
        <v>299.44</v>
      </c>
      <c r="C820" s="1">
        <f>IFERROR(__xludf.DUMMYFUNCTION("""COMPUTED_VALUE"""),299.44)</f>
        <v>299.44</v>
      </c>
      <c r="D820" s="1">
        <f>IFERROR(__xludf.DUMMYFUNCTION("""COMPUTED_VALUE"""),291.08)</f>
        <v>291.08</v>
      </c>
      <c r="E820" s="1">
        <f>IFERROR(__xludf.DUMMYFUNCTION("""COMPUTED_VALUE"""),292.69)</f>
        <v>292.69</v>
      </c>
      <c r="F820" s="1">
        <f>IFERROR(__xludf.DUMMYFUNCTION("""COMPUTED_VALUE"""),3.7953124E7)</f>
        <v>37953124</v>
      </c>
    </row>
    <row r="821">
      <c r="A821" s="2">
        <f>IFERROR(__xludf.DUMMYFUNCTION("""COMPUTED_VALUE"""),32587.666666666668)</f>
        <v>32587.66667</v>
      </c>
      <c r="B821" s="1">
        <f>IFERROR(__xludf.DUMMYFUNCTION("""COMPUTED_VALUE"""),292.69)</f>
        <v>292.69</v>
      </c>
      <c r="C821" s="1">
        <f>IFERROR(__xludf.DUMMYFUNCTION("""COMPUTED_VALUE"""),292.69)</f>
        <v>292.69</v>
      </c>
      <c r="D821" s="1">
        <f>IFERROR(__xludf.DUMMYFUNCTION("""COMPUTED_VALUE"""),288.56)</f>
        <v>288.56</v>
      </c>
      <c r="E821" s="1">
        <f>IFERROR(__xludf.DUMMYFUNCTION("""COMPUTED_VALUE"""),289.92)</f>
        <v>289.92</v>
      </c>
      <c r="F821" s="1">
        <f>IFERROR(__xludf.DUMMYFUNCTION("""COMPUTED_VALUE"""),2.3634376E7)</f>
        <v>23634376</v>
      </c>
    </row>
    <row r="822">
      <c r="A822" s="2">
        <f>IFERROR(__xludf.DUMMYFUNCTION("""COMPUTED_VALUE"""),32588.666666666668)</f>
        <v>32588.66667</v>
      </c>
      <c r="B822" s="1">
        <f>IFERROR(__xludf.DUMMYFUNCTION("""COMPUTED_VALUE"""),289.92)</f>
        <v>289.92</v>
      </c>
      <c r="C822" s="1">
        <f>IFERROR(__xludf.DUMMYFUNCTION("""COMPUTED_VALUE"""),292.38)</f>
        <v>292.38</v>
      </c>
      <c r="D822" s="1">
        <f>IFERROR(__xludf.DUMMYFUNCTION("""COMPUTED_VALUE"""),289.92)</f>
        <v>289.92</v>
      </c>
      <c r="E822" s="1">
        <f>IFERROR(__xludf.DUMMYFUNCTION("""COMPUTED_VALUE"""),291.33)</f>
        <v>291.33</v>
      </c>
      <c r="F822" s="1">
        <f>IFERROR(__xludf.DUMMYFUNCTION("""COMPUTED_VALUE"""),2.2189062E7)</f>
        <v>22189062</v>
      </c>
    </row>
    <row r="823">
      <c r="A823" s="2">
        <f>IFERROR(__xludf.DUMMYFUNCTION("""COMPUTED_VALUE"""),32589.666666666668)</f>
        <v>32589.66667</v>
      </c>
      <c r="B823" s="1">
        <f>IFERROR(__xludf.DUMMYFUNCTION("""COMPUTED_VALUE"""),291.33)</f>
        <v>291.33</v>
      </c>
      <c r="C823" s="1">
        <f>IFERROR(__xludf.DUMMYFUNCTION("""COMPUTED_VALUE"""),291.46)</f>
        <v>291.46</v>
      </c>
      <c r="D823" s="1">
        <f>IFERROR(__xludf.DUMMYFUNCTION("""COMPUTED_VALUE"""),289.9)</f>
        <v>289.9</v>
      </c>
      <c r="E823" s="1">
        <f>IFERROR(__xludf.DUMMYFUNCTION("""COMPUTED_VALUE"""),290.49)</f>
        <v>290.49</v>
      </c>
      <c r="F823" s="1">
        <f>IFERROR(__xludf.DUMMYFUNCTION("""COMPUTED_VALUE"""),2.2901562E7)</f>
        <v>22901562</v>
      </c>
    </row>
    <row r="824">
      <c r="A824" s="2">
        <f>IFERROR(__xludf.DUMMYFUNCTION("""COMPUTED_VALUE"""),32590.666666666668)</f>
        <v>32590.66667</v>
      </c>
      <c r="B824" s="1">
        <f>IFERROR(__xludf.DUMMYFUNCTION("""COMPUTED_VALUE"""),290.49)</f>
        <v>290.49</v>
      </c>
      <c r="C824" s="1">
        <f>IFERROR(__xludf.DUMMYFUNCTION("""COMPUTED_VALUE"""),291.51)</f>
        <v>291.51</v>
      </c>
      <c r="D824" s="1">
        <f>IFERROR(__xludf.DUMMYFUNCTION("""COMPUTED_VALUE"""),288.56)</f>
        <v>288.56</v>
      </c>
      <c r="E824" s="1">
        <f>IFERROR(__xludf.DUMMYFUNCTION("""COMPUTED_VALUE"""),288.98)</f>
        <v>288.98</v>
      </c>
      <c r="F824" s="1">
        <f>IFERROR(__xludf.DUMMYFUNCTION("""COMPUTED_VALUE"""),2.4023438E7)</f>
        <v>24023438</v>
      </c>
    </row>
    <row r="825">
      <c r="A825" s="2">
        <f>IFERROR(__xludf.DUMMYFUNCTION("""COMPUTED_VALUE"""),32591.666666666668)</f>
        <v>32591.66667</v>
      </c>
      <c r="B825" s="1">
        <f>IFERROR(__xludf.DUMMYFUNCTION("""COMPUTED_VALUE"""),290.58)</f>
        <v>290.58</v>
      </c>
      <c r="C825" s="1">
        <f>IFERROR(__xludf.DUMMYFUNCTION("""COMPUTED_VALUE"""),290.58)</f>
        <v>290.58</v>
      </c>
      <c r="D825" s="1">
        <f>IFERROR(__xludf.DUMMYFUNCTION("""COMPUTED_VALUE"""),290.58)</f>
        <v>290.58</v>
      </c>
      <c r="E825" s="1">
        <f>IFERROR(__xludf.DUMMYFUNCTION("""COMPUTED_VALUE"""),290.58)</f>
        <v>290.58</v>
      </c>
      <c r="F825" s="1">
        <f>IFERROR(__xludf.DUMMYFUNCTION("""COMPUTED_VALUE"""),0.0)</f>
        <v>0</v>
      </c>
    </row>
    <row r="826">
      <c r="A826" s="2">
        <f>IFERROR(__xludf.DUMMYFUNCTION("""COMPUTED_VALUE"""),32594.666666666668)</f>
        <v>32594.66667</v>
      </c>
      <c r="B826" s="1">
        <f>IFERROR(__xludf.DUMMYFUNCTION("""COMPUTED_VALUE"""),288.98)</f>
        <v>288.98</v>
      </c>
      <c r="C826" s="1">
        <f>IFERROR(__xludf.DUMMYFUNCTION("""COMPUTED_VALUE"""),290.57)</f>
        <v>290.57</v>
      </c>
      <c r="D826" s="1">
        <f>IFERROR(__xludf.DUMMYFUNCTION("""COMPUTED_VALUE"""),288.07)</f>
        <v>288.07</v>
      </c>
      <c r="E826" s="1">
        <f>IFERROR(__xludf.DUMMYFUNCTION("""COMPUTED_VALUE"""),290.57)</f>
        <v>290.57</v>
      </c>
      <c r="F826" s="1">
        <f>IFERROR(__xludf.DUMMYFUNCTION("""COMPUTED_VALUE"""),1.765E7)</f>
        <v>17650000</v>
      </c>
    </row>
    <row r="827">
      <c r="A827" s="2">
        <f>IFERROR(__xludf.DUMMYFUNCTION("""COMPUTED_VALUE"""),32595.666666666668)</f>
        <v>32595.66667</v>
      </c>
      <c r="B827" s="1">
        <f>IFERROR(__xludf.DUMMYFUNCTION("""COMPUTED_VALUE"""),290.57)</f>
        <v>290.57</v>
      </c>
      <c r="C827" s="1">
        <f>IFERROR(__xludf.DUMMYFUNCTION("""COMPUTED_VALUE"""),292.32)</f>
        <v>292.32</v>
      </c>
      <c r="D827" s="1">
        <f>IFERROR(__xludf.DUMMYFUNCTION("""COMPUTED_VALUE"""),290.57)</f>
        <v>290.57</v>
      </c>
      <c r="E827" s="1">
        <f>IFERROR(__xludf.DUMMYFUNCTION("""COMPUTED_VALUE"""),291.59)</f>
        <v>291.59</v>
      </c>
      <c r="F827" s="1">
        <f>IFERROR(__xludf.DUMMYFUNCTION("""COMPUTED_VALUE"""),2.2878124E7)</f>
        <v>22878124</v>
      </c>
    </row>
    <row r="828">
      <c r="A828" s="2">
        <f>IFERROR(__xludf.DUMMYFUNCTION("""COMPUTED_VALUE"""),32596.666666666668)</f>
        <v>32596.66667</v>
      </c>
      <c r="B828" s="1">
        <f>IFERROR(__xludf.DUMMYFUNCTION("""COMPUTED_VALUE"""),291.59)</f>
        <v>291.59</v>
      </c>
      <c r="C828" s="1">
        <f>IFERROR(__xludf.DUMMYFUNCTION("""COMPUTED_VALUE"""),292.75)</f>
        <v>292.75</v>
      </c>
      <c r="D828" s="1">
        <f>IFERROR(__xludf.DUMMYFUNCTION("""COMPUTED_VALUE"""),291.42)</f>
        <v>291.42</v>
      </c>
      <c r="E828" s="1">
        <f>IFERROR(__xludf.DUMMYFUNCTION("""COMPUTED_VALUE"""),292.35)</f>
        <v>292.35</v>
      </c>
      <c r="F828" s="1">
        <f>IFERROR(__xludf.DUMMYFUNCTION("""COMPUTED_VALUE"""),2.25375E7)</f>
        <v>22537500</v>
      </c>
    </row>
    <row r="829">
      <c r="A829" s="2">
        <f>IFERROR(__xludf.DUMMYFUNCTION("""COMPUTED_VALUE"""),32597.666666666668)</f>
        <v>32597.66667</v>
      </c>
      <c r="B829" s="1">
        <f>IFERROR(__xludf.DUMMYFUNCTION("""COMPUTED_VALUE"""),292.35)</f>
        <v>292.35</v>
      </c>
      <c r="C829" s="1">
        <f>IFERROR(__xludf.DUMMYFUNCTION("""COMPUTED_VALUE"""),293.8)</f>
        <v>293.8</v>
      </c>
      <c r="D829" s="1">
        <f>IFERROR(__xludf.DUMMYFUNCTION("""COMPUTED_VALUE"""),291.5)</f>
        <v>291.5</v>
      </c>
      <c r="E829" s="1">
        <f>IFERROR(__xludf.DUMMYFUNCTION("""COMPUTED_VALUE"""),292.52)</f>
        <v>292.52</v>
      </c>
      <c r="F829" s="1">
        <f>IFERROR(__xludf.DUMMYFUNCTION("""COMPUTED_VALUE"""),2.4992188E7)</f>
        <v>24992188</v>
      </c>
    </row>
    <row r="830">
      <c r="A830" s="2">
        <f>IFERROR(__xludf.DUMMYFUNCTION("""COMPUTED_VALUE"""),32598.666666666668)</f>
        <v>32598.66667</v>
      </c>
      <c r="B830" s="1">
        <f>IFERROR(__xludf.DUMMYFUNCTION("""COMPUTED_VALUE"""),292.52)</f>
        <v>292.52</v>
      </c>
      <c r="C830" s="1">
        <f>IFERROR(__xludf.DUMMYFUNCTION("""COMPUTED_VALUE"""),294.96)</f>
        <v>294.96</v>
      </c>
      <c r="D830" s="1">
        <f>IFERROR(__xludf.DUMMYFUNCTION("""COMPUTED_VALUE"""),292.52)</f>
        <v>292.52</v>
      </c>
      <c r="E830" s="1">
        <f>IFERROR(__xludf.DUMMYFUNCTION("""COMPUTED_VALUE"""),294.87)</f>
        <v>294.87</v>
      </c>
      <c r="F830" s="1">
        <f>IFERROR(__xludf.DUMMYFUNCTION("""COMPUTED_VALUE"""),2.67125E7)</f>
        <v>26712500</v>
      </c>
    </row>
    <row r="831">
      <c r="A831" s="2">
        <f>IFERROR(__xludf.DUMMYFUNCTION("""COMPUTED_VALUE"""),32601.666666666668)</f>
        <v>32601.66667</v>
      </c>
      <c r="B831" s="1">
        <f>IFERROR(__xludf.DUMMYFUNCTION("""COMPUTED_VALUE"""),294.87)</f>
        <v>294.87</v>
      </c>
      <c r="C831" s="1">
        <f>IFERROR(__xludf.DUMMYFUNCTION("""COMPUTED_VALUE"""),297.04)</f>
        <v>297.04</v>
      </c>
      <c r="D831" s="1">
        <f>IFERROR(__xludf.DUMMYFUNCTION("""COMPUTED_VALUE"""),294.62)</f>
        <v>294.62</v>
      </c>
      <c r="E831" s="1">
        <f>IFERROR(__xludf.DUMMYFUNCTION("""COMPUTED_VALUE"""),296.39)</f>
        <v>296.39</v>
      </c>
      <c r="F831" s="1">
        <f>IFERROR(__xludf.DUMMYFUNCTION("""COMPUTED_VALUE"""),2.5728124E7)</f>
        <v>25728124</v>
      </c>
    </row>
    <row r="832">
      <c r="A832" s="2">
        <f>IFERROR(__xludf.DUMMYFUNCTION("""COMPUTED_VALUE"""),32602.666666666668)</f>
        <v>32602.66667</v>
      </c>
      <c r="B832" s="1">
        <f>IFERROR(__xludf.DUMMYFUNCTION("""COMPUTED_VALUE"""),296.4)</f>
        <v>296.4</v>
      </c>
      <c r="C832" s="1">
        <f>IFERROR(__xludf.DUMMYFUNCTION("""COMPUTED_VALUE"""),296.4)</f>
        <v>296.4</v>
      </c>
      <c r="D832" s="1">
        <f>IFERROR(__xludf.DUMMYFUNCTION("""COMPUTED_VALUE"""),294.72)</f>
        <v>294.72</v>
      </c>
      <c r="E832" s="1">
        <f>IFERROR(__xludf.DUMMYFUNCTION("""COMPUTED_VALUE"""),295.31)</f>
        <v>295.31</v>
      </c>
      <c r="F832" s="1">
        <f>IFERROR(__xludf.DUMMYFUNCTION("""COMPUTED_VALUE"""),2.510625E7)</f>
        <v>25106250</v>
      </c>
    </row>
    <row r="833">
      <c r="A833" s="2">
        <f>IFERROR(__xludf.DUMMYFUNCTION("""COMPUTED_VALUE"""),32603.666666666668)</f>
        <v>32603.66667</v>
      </c>
      <c r="B833" s="1">
        <f>IFERROR(__xludf.DUMMYFUNCTION("""COMPUTED_VALUE"""),295.31)</f>
        <v>295.31</v>
      </c>
      <c r="C833" s="1">
        <f>IFERROR(__xludf.DUMMYFUNCTION("""COMPUTED_VALUE"""),296.43)</f>
        <v>296.43</v>
      </c>
      <c r="D833" s="1">
        <f>IFERROR(__xludf.DUMMYFUNCTION("""COMPUTED_VALUE"""),295.28)</f>
        <v>295.28</v>
      </c>
      <c r="E833" s="1">
        <f>IFERROR(__xludf.DUMMYFUNCTION("""COMPUTED_VALUE"""),296.24)</f>
        <v>296.24</v>
      </c>
      <c r="F833" s="1">
        <f>IFERROR(__xludf.DUMMYFUNCTION("""COMPUTED_VALUE"""),2.591875E7)</f>
        <v>25918750</v>
      </c>
    </row>
    <row r="834">
      <c r="A834" s="2">
        <f>IFERROR(__xludf.DUMMYFUNCTION("""COMPUTED_VALUE"""),32604.666666666668)</f>
        <v>32604.66667</v>
      </c>
      <c r="B834" s="1">
        <f>IFERROR(__xludf.DUMMYFUNCTION("""COMPUTED_VALUE"""),296.22)</f>
        <v>296.22</v>
      </c>
      <c r="C834" s="1">
        <f>IFERROR(__xludf.DUMMYFUNCTION("""COMPUTED_VALUE"""),296.24)</f>
        <v>296.24</v>
      </c>
      <c r="D834" s="1">
        <f>IFERROR(__xludf.DUMMYFUNCTION("""COMPUTED_VALUE"""),294.52)</f>
        <v>294.52</v>
      </c>
      <c r="E834" s="1">
        <f>IFERROR(__xludf.DUMMYFUNCTION("""COMPUTED_VALUE"""),295.29)</f>
        <v>295.29</v>
      </c>
      <c r="F834" s="1">
        <f>IFERROR(__xludf.DUMMYFUNCTION("""COMPUTED_VALUE"""),2.2895312E7)</f>
        <v>22895312</v>
      </c>
    </row>
    <row r="835">
      <c r="A835" s="2">
        <f>IFERROR(__xludf.DUMMYFUNCTION("""COMPUTED_VALUE"""),32605.666666666668)</f>
        <v>32605.66667</v>
      </c>
      <c r="B835" s="1">
        <f>IFERROR(__xludf.DUMMYFUNCTION("""COMPUTED_VALUE"""),295.29)</f>
        <v>295.29</v>
      </c>
      <c r="C835" s="1">
        <f>IFERROR(__xludf.DUMMYFUNCTION("""COMPUTED_VALUE"""),297.62)</f>
        <v>297.62</v>
      </c>
      <c r="D835" s="1">
        <f>IFERROR(__xludf.DUMMYFUNCTION("""COMPUTED_VALUE"""),294.35)</f>
        <v>294.35</v>
      </c>
      <c r="E835" s="1">
        <f>IFERROR(__xludf.DUMMYFUNCTION("""COMPUTED_VALUE"""),297.16)</f>
        <v>297.16</v>
      </c>
      <c r="F835" s="1">
        <f>IFERROR(__xludf.DUMMYFUNCTION("""COMPUTED_VALUE"""),2.4523438E7)</f>
        <v>24523438</v>
      </c>
    </row>
    <row r="836">
      <c r="A836" s="2">
        <f>IFERROR(__xludf.DUMMYFUNCTION("""COMPUTED_VALUE"""),32608.666666666668)</f>
        <v>32608.66667</v>
      </c>
      <c r="B836" s="1">
        <f>IFERROR(__xludf.DUMMYFUNCTION("""COMPUTED_VALUE"""),297.16)</f>
        <v>297.16</v>
      </c>
      <c r="C836" s="1">
        <f>IFERROR(__xludf.DUMMYFUNCTION("""COMPUTED_VALUE"""),297.94)</f>
        <v>297.94</v>
      </c>
      <c r="D836" s="1">
        <f>IFERROR(__xludf.DUMMYFUNCTION("""COMPUTED_VALUE"""),296.85)</f>
        <v>296.85</v>
      </c>
      <c r="E836" s="1">
        <f>IFERROR(__xludf.DUMMYFUNCTION("""COMPUTED_VALUE"""),297.11)</f>
        <v>297.11</v>
      </c>
      <c r="F836" s="1">
        <f>IFERROR(__xludf.DUMMYFUNCTION("""COMPUTED_VALUE"""),1.9373438E7)</f>
        <v>19373438</v>
      </c>
    </row>
    <row r="837">
      <c r="A837" s="2">
        <f>IFERROR(__xludf.DUMMYFUNCTION("""COMPUTED_VALUE"""),32609.666666666668)</f>
        <v>32609.66667</v>
      </c>
      <c r="B837" s="1">
        <f>IFERROR(__xludf.DUMMYFUNCTION("""COMPUTED_VALUE"""),297.11)</f>
        <v>297.11</v>
      </c>
      <c r="C837" s="1">
        <f>IFERROR(__xludf.DUMMYFUNCTION("""COMPUTED_VALUE"""),298.87)</f>
        <v>298.87</v>
      </c>
      <c r="D837" s="1">
        <f>IFERROR(__xludf.DUMMYFUNCTION("""COMPUTED_VALUE"""),297.11)</f>
        <v>297.11</v>
      </c>
      <c r="E837" s="1">
        <f>IFERROR(__xludf.DUMMYFUNCTION("""COMPUTED_VALUE"""),298.49)</f>
        <v>298.49</v>
      </c>
      <c r="F837" s="1">
        <f>IFERROR(__xludf.DUMMYFUNCTION("""COMPUTED_VALUE"""),2.2942188E7)</f>
        <v>22942188</v>
      </c>
    </row>
    <row r="838">
      <c r="A838" s="2">
        <f>IFERROR(__xludf.DUMMYFUNCTION("""COMPUTED_VALUE"""),32610.666666666668)</f>
        <v>32610.66667</v>
      </c>
      <c r="B838" s="1">
        <f>IFERROR(__xludf.DUMMYFUNCTION("""COMPUTED_VALUE"""),298.49)</f>
        <v>298.49</v>
      </c>
      <c r="C838" s="1">
        <f>IFERROR(__xludf.DUMMYFUNCTION("""COMPUTED_VALUE"""),299.81)</f>
        <v>299.81</v>
      </c>
      <c r="D838" s="1">
        <f>IFERROR(__xludf.DUMMYFUNCTION("""COMPUTED_VALUE"""),298.49)</f>
        <v>298.49</v>
      </c>
      <c r="E838" s="1">
        <f>IFERROR(__xludf.DUMMYFUNCTION("""COMPUTED_VALUE"""),298.99)</f>
        <v>298.99</v>
      </c>
      <c r="F838" s="1">
        <f>IFERROR(__xludf.DUMMYFUNCTION("""COMPUTED_VALUE"""),2.58125E7)</f>
        <v>25812500</v>
      </c>
    </row>
    <row r="839">
      <c r="A839" s="2">
        <f>IFERROR(__xludf.DUMMYFUNCTION("""COMPUTED_VALUE"""),32611.666666666668)</f>
        <v>32611.66667</v>
      </c>
      <c r="B839" s="1">
        <f>IFERROR(__xludf.DUMMYFUNCTION("""COMPUTED_VALUE"""),298.99)</f>
        <v>298.99</v>
      </c>
      <c r="C839" s="1">
        <f>IFERROR(__xludf.DUMMYFUNCTION("""COMPUTED_VALUE"""),299.0)</f>
        <v>299</v>
      </c>
      <c r="D839" s="1">
        <f>IFERROR(__xludf.DUMMYFUNCTION("""COMPUTED_VALUE"""),296.27)</f>
        <v>296.27</v>
      </c>
      <c r="E839" s="1">
        <f>IFERROR(__xludf.DUMMYFUNCTION("""COMPUTED_VALUE"""),296.4)</f>
        <v>296.4</v>
      </c>
      <c r="F839" s="1">
        <f>IFERROR(__xludf.DUMMYFUNCTION("""COMPUTED_VALUE"""),2.2123438E7)</f>
        <v>22123438</v>
      </c>
    </row>
    <row r="840">
      <c r="A840" s="2">
        <f>IFERROR(__xludf.DUMMYFUNCTION("""COMPUTED_VALUE"""),32612.666666666668)</f>
        <v>32612.66667</v>
      </c>
      <c r="B840" s="1">
        <f>IFERROR(__xludf.DUMMYFUNCTION("""COMPUTED_VALUE"""),296.4)</f>
        <v>296.4</v>
      </c>
      <c r="C840" s="1">
        <f>IFERROR(__xludf.DUMMYFUNCTION("""COMPUTED_VALUE"""),301.38)</f>
        <v>301.38</v>
      </c>
      <c r="D840" s="1">
        <f>IFERROR(__xludf.DUMMYFUNCTION("""COMPUTED_VALUE"""),296.4)</f>
        <v>296.4</v>
      </c>
      <c r="E840" s="1">
        <f>IFERROR(__xludf.DUMMYFUNCTION("""COMPUTED_VALUE"""),301.36)</f>
        <v>301.36</v>
      </c>
      <c r="F840" s="1">
        <f>IFERROR(__xludf.DUMMYFUNCTION("""COMPUTED_VALUE"""),2.6528124E7)</f>
        <v>26528124</v>
      </c>
    </row>
    <row r="841">
      <c r="A841" s="2">
        <f>IFERROR(__xludf.DUMMYFUNCTION("""COMPUTED_VALUE"""),32615.666666666668)</f>
        <v>32615.66667</v>
      </c>
      <c r="B841" s="1">
        <f>IFERROR(__xludf.DUMMYFUNCTION("""COMPUTED_VALUE"""),301.36)</f>
        <v>301.36</v>
      </c>
      <c r="C841" s="1">
        <f>IFERROR(__xludf.DUMMYFUNCTION("""COMPUTED_VALUE"""),302.01)</f>
        <v>302.01</v>
      </c>
      <c r="D841" s="1">
        <f>IFERROR(__xludf.DUMMYFUNCTION("""COMPUTED_VALUE"""),300.71)</f>
        <v>300.71</v>
      </c>
      <c r="E841" s="1">
        <f>IFERROR(__xludf.DUMMYFUNCTION("""COMPUTED_VALUE"""),301.72)</f>
        <v>301.72</v>
      </c>
      <c r="F841" s="1">
        <f>IFERROR(__xludf.DUMMYFUNCTION("""COMPUTED_VALUE"""),2.0084376E7)</f>
        <v>20084376</v>
      </c>
    </row>
    <row r="842">
      <c r="A842" s="2">
        <f>IFERROR(__xludf.DUMMYFUNCTION("""COMPUTED_VALUE"""),32616.666666666668)</f>
        <v>32616.66667</v>
      </c>
      <c r="B842" s="1">
        <f>IFERROR(__xludf.DUMMYFUNCTION("""COMPUTED_VALUE"""),301.72)</f>
        <v>301.72</v>
      </c>
      <c r="C842" s="1">
        <f>IFERROR(__xludf.DUMMYFUNCTION("""COMPUTED_VALUE"""),306.25)</f>
        <v>306.25</v>
      </c>
      <c r="D842" s="1">
        <f>IFERROR(__xludf.DUMMYFUNCTION("""COMPUTED_VALUE"""),301.72)</f>
        <v>301.72</v>
      </c>
      <c r="E842" s="1">
        <f>IFERROR(__xludf.DUMMYFUNCTION("""COMPUTED_VALUE"""),306.02)</f>
        <v>306.02</v>
      </c>
      <c r="F842" s="1">
        <f>IFERROR(__xludf.DUMMYFUNCTION("""COMPUTED_VALUE"""),3.2601562E7)</f>
        <v>32601562</v>
      </c>
    </row>
    <row r="843">
      <c r="A843" s="2">
        <f>IFERROR(__xludf.DUMMYFUNCTION("""COMPUTED_VALUE"""),32617.666666666668)</f>
        <v>32617.66667</v>
      </c>
      <c r="B843" s="1">
        <f>IFERROR(__xludf.DUMMYFUNCTION("""COMPUTED_VALUE"""),306.02)</f>
        <v>306.02</v>
      </c>
      <c r="C843" s="1">
        <f>IFERROR(__xludf.DUMMYFUNCTION("""COMPUTED_VALUE"""),307.68)</f>
        <v>307.68</v>
      </c>
      <c r="D843" s="1">
        <f>IFERROR(__xludf.DUMMYFUNCTION("""COMPUTED_VALUE"""),305.36)</f>
        <v>305.36</v>
      </c>
      <c r="E843" s="1">
        <f>IFERROR(__xludf.DUMMYFUNCTION("""COMPUTED_VALUE"""),307.15)</f>
        <v>307.15</v>
      </c>
      <c r="F843" s="1">
        <f>IFERROR(__xludf.DUMMYFUNCTION("""COMPUTED_VALUE"""),2.9923438E7)</f>
        <v>29923438</v>
      </c>
    </row>
    <row r="844">
      <c r="A844" s="2">
        <f>IFERROR(__xludf.DUMMYFUNCTION("""COMPUTED_VALUE"""),32618.666666666668)</f>
        <v>32618.66667</v>
      </c>
      <c r="B844" s="1">
        <f>IFERROR(__xludf.DUMMYFUNCTION("""COMPUTED_VALUE"""),307.15)</f>
        <v>307.15</v>
      </c>
      <c r="C844" s="1">
        <f>IFERROR(__xludf.DUMMYFUNCTION("""COMPUTED_VALUE"""),307.96)</f>
        <v>307.96</v>
      </c>
      <c r="D844" s="1">
        <f>IFERROR(__xludf.DUMMYFUNCTION("""COMPUTED_VALUE"""),304.53)</f>
        <v>304.53</v>
      </c>
      <c r="E844" s="1">
        <f>IFERROR(__xludf.DUMMYFUNCTION("""COMPUTED_VALUE"""),306.19)</f>
        <v>306.19</v>
      </c>
      <c r="F844" s="1">
        <f>IFERROR(__xludf.DUMMYFUNCTION("""COMPUTED_VALUE"""),2.7495312E7)</f>
        <v>27495312</v>
      </c>
    </row>
    <row r="845">
      <c r="A845" s="2">
        <f>IFERROR(__xludf.DUMMYFUNCTION("""COMPUTED_VALUE"""),32619.666666666668)</f>
        <v>32619.66667</v>
      </c>
      <c r="B845" s="1">
        <f>IFERROR(__xludf.DUMMYFUNCTION("""COMPUTED_VALUE"""),306.19)</f>
        <v>306.19</v>
      </c>
      <c r="C845" s="1">
        <f>IFERROR(__xludf.DUMMYFUNCTION("""COMPUTED_VALUE"""),309.61)</f>
        <v>309.61</v>
      </c>
      <c r="D845" s="1">
        <f>IFERROR(__xludf.DUMMYFUNCTION("""COMPUTED_VALUE"""),306.19)</f>
        <v>306.19</v>
      </c>
      <c r="E845" s="1">
        <f>IFERROR(__xludf.DUMMYFUNCTION("""COMPUTED_VALUE"""),309.61)</f>
        <v>309.61</v>
      </c>
      <c r="F845" s="1">
        <f>IFERROR(__xludf.DUMMYFUNCTION("""COMPUTED_VALUE"""),2.9267188E7)</f>
        <v>29267188</v>
      </c>
    </row>
    <row r="846">
      <c r="A846" s="2">
        <f>IFERROR(__xludf.DUMMYFUNCTION("""COMPUTED_VALUE"""),32622.666666666668)</f>
        <v>32622.66667</v>
      </c>
      <c r="B846" s="1">
        <f>IFERROR(__xludf.DUMMYFUNCTION("""COMPUTED_VALUE"""),309.61)</f>
        <v>309.61</v>
      </c>
      <c r="C846" s="1">
        <f>IFERROR(__xludf.DUMMYFUNCTION("""COMPUTED_VALUE"""),309.61)</f>
        <v>309.61</v>
      </c>
      <c r="D846" s="1">
        <f>IFERROR(__xludf.DUMMYFUNCTION("""COMPUTED_VALUE"""),307.83)</f>
        <v>307.83</v>
      </c>
      <c r="E846" s="1">
        <f>IFERROR(__xludf.DUMMYFUNCTION("""COMPUTED_VALUE"""),308.69)</f>
        <v>308.69</v>
      </c>
      <c r="F846" s="1">
        <f>IFERROR(__xludf.DUMMYFUNCTION("""COMPUTED_VALUE"""),2.2203124E7)</f>
        <v>22203124</v>
      </c>
    </row>
    <row r="847">
      <c r="A847" s="2">
        <f>IFERROR(__xludf.DUMMYFUNCTION("""COMPUTED_VALUE"""),32623.666666666668)</f>
        <v>32623.66667</v>
      </c>
      <c r="B847" s="1">
        <f>IFERROR(__xludf.DUMMYFUNCTION("""COMPUTED_VALUE"""),308.69)</f>
        <v>308.69</v>
      </c>
      <c r="C847" s="1">
        <f>IFERROR(__xludf.DUMMYFUNCTION("""COMPUTED_VALUE"""),309.65)</f>
        <v>309.65</v>
      </c>
      <c r="D847" s="1">
        <f>IFERROR(__xludf.DUMMYFUNCTION("""COMPUTED_VALUE"""),306.74)</f>
        <v>306.74</v>
      </c>
      <c r="E847" s="1">
        <f>IFERROR(__xludf.DUMMYFUNCTION("""COMPUTED_VALUE"""),306.75)</f>
        <v>306.75</v>
      </c>
      <c r="F847" s="1">
        <f>IFERROR(__xludf.DUMMYFUNCTION("""COMPUTED_VALUE"""),2.5848438E7)</f>
        <v>25848438</v>
      </c>
    </row>
    <row r="848">
      <c r="A848" s="2">
        <f>IFERROR(__xludf.DUMMYFUNCTION("""COMPUTED_VALUE"""),32624.666666666668)</f>
        <v>32624.66667</v>
      </c>
      <c r="B848" s="1">
        <f>IFERROR(__xludf.DUMMYFUNCTION("""COMPUTED_VALUE"""),306.78)</f>
        <v>306.78</v>
      </c>
      <c r="C848" s="1">
        <f>IFERROR(__xludf.DUMMYFUNCTION("""COMPUTED_VALUE"""),307.3)</f>
        <v>307.3</v>
      </c>
      <c r="D848" s="1">
        <f>IFERROR(__xludf.DUMMYFUNCTION("""COMPUTED_VALUE"""),306.07)</f>
        <v>306.07</v>
      </c>
      <c r="E848" s="1">
        <f>IFERROR(__xludf.DUMMYFUNCTION("""COMPUTED_VALUE"""),306.93)</f>
        <v>306.93</v>
      </c>
      <c r="F848" s="1">
        <f>IFERROR(__xludf.DUMMYFUNCTION("""COMPUTED_VALUE"""),2.2826562E7)</f>
        <v>22826562</v>
      </c>
    </row>
    <row r="849">
      <c r="A849" s="2">
        <f>IFERROR(__xludf.DUMMYFUNCTION("""COMPUTED_VALUE"""),32625.666666666668)</f>
        <v>32625.66667</v>
      </c>
      <c r="B849" s="1">
        <f>IFERROR(__xludf.DUMMYFUNCTION("""COMPUTED_VALUE"""),306.93)</f>
        <v>306.93</v>
      </c>
      <c r="C849" s="1">
        <f>IFERROR(__xludf.DUMMYFUNCTION("""COMPUTED_VALUE"""),310.45)</f>
        <v>310.45</v>
      </c>
      <c r="D849" s="1">
        <f>IFERROR(__xludf.DUMMYFUNCTION("""COMPUTED_VALUE"""),306.93)</f>
        <v>306.93</v>
      </c>
      <c r="E849" s="1">
        <f>IFERROR(__xludf.DUMMYFUNCTION("""COMPUTED_VALUE"""),309.58)</f>
        <v>309.58</v>
      </c>
      <c r="F849" s="1">
        <f>IFERROR(__xludf.DUMMYFUNCTION("""COMPUTED_VALUE"""),2.9870312E7)</f>
        <v>29870312</v>
      </c>
    </row>
    <row r="850">
      <c r="A850" s="2">
        <f>IFERROR(__xludf.DUMMYFUNCTION("""COMPUTED_VALUE"""),32626.666666666668)</f>
        <v>32626.66667</v>
      </c>
      <c r="B850" s="1">
        <f>IFERROR(__xludf.DUMMYFUNCTION("""COMPUTED_VALUE"""),309.58)</f>
        <v>309.58</v>
      </c>
      <c r="C850" s="1">
        <f>IFERROR(__xludf.DUMMYFUNCTION("""COMPUTED_VALUE"""),309.65)</f>
        <v>309.65</v>
      </c>
      <c r="D850" s="1">
        <f>IFERROR(__xludf.DUMMYFUNCTION("""COMPUTED_VALUE"""),308.48)</f>
        <v>308.48</v>
      </c>
      <c r="E850" s="1">
        <f>IFERROR(__xludf.DUMMYFUNCTION("""COMPUTED_VALUE"""),309.64)</f>
        <v>309.64</v>
      </c>
      <c r="F850" s="1">
        <f>IFERROR(__xludf.DUMMYFUNCTION("""COMPUTED_VALUE"""),2.4748438E7)</f>
        <v>24748438</v>
      </c>
    </row>
    <row r="851">
      <c r="A851" s="2">
        <f>IFERROR(__xludf.DUMMYFUNCTION("""COMPUTED_VALUE"""),32629.666666666668)</f>
        <v>32629.66667</v>
      </c>
      <c r="B851" s="1">
        <f>IFERROR(__xludf.DUMMYFUNCTION("""COMPUTED_VALUE"""),309.64)</f>
        <v>309.64</v>
      </c>
      <c r="C851" s="1">
        <f>IFERROR(__xludf.DUMMYFUNCTION("""COMPUTED_VALUE"""),309.64)</f>
        <v>309.64</v>
      </c>
      <c r="D851" s="1">
        <f>IFERROR(__xludf.DUMMYFUNCTION("""COMPUTED_VALUE"""),307.4)</f>
        <v>307.4</v>
      </c>
      <c r="E851" s="1">
        <f>IFERROR(__xludf.DUMMYFUNCTION("""COMPUTED_VALUE"""),309.12)</f>
        <v>309.12</v>
      </c>
      <c r="F851" s="1">
        <f>IFERROR(__xludf.DUMMYFUNCTION("""COMPUTED_VALUE"""),2.1570312E7)</f>
        <v>21570312</v>
      </c>
    </row>
    <row r="852">
      <c r="A852" s="2">
        <f>IFERROR(__xludf.DUMMYFUNCTION("""COMPUTED_VALUE"""),32630.666666666668)</f>
        <v>32630.66667</v>
      </c>
      <c r="B852" s="1">
        <f>IFERROR(__xludf.DUMMYFUNCTION("""COMPUTED_VALUE"""),309.13)</f>
        <v>309.13</v>
      </c>
      <c r="C852" s="1">
        <f>IFERROR(__xludf.DUMMYFUNCTION("""COMPUTED_VALUE"""),310.45)</f>
        <v>310.45</v>
      </c>
      <c r="D852" s="1">
        <f>IFERROR(__xludf.DUMMYFUNCTION("""COMPUTED_VALUE"""),308.12)</f>
        <v>308.12</v>
      </c>
      <c r="E852" s="1">
        <f>IFERROR(__xludf.DUMMYFUNCTION("""COMPUTED_VALUE"""),308.12)</f>
        <v>308.12</v>
      </c>
      <c r="F852" s="1">
        <f>IFERROR(__xludf.DUMMYFUNCTION("""COMPUTED_VALUE"""),2.69625E7)</f>
        <v>26962500</v>
      </c>
    </row>
    <row r="853">
      <c r="A853" s="2">
        <f>IFERROR(__xludf.DUMMYFUNCTION("""COMPUTED_VALUE"""),32631.666666666668)</f>
        <v>32631.66667</v>
      </c>
      <c r="B853" s="1">
        <f>IFERROR(__xludf.DUMMYFUNCTION("""COMPUTED_VALUE"""),308.12)</f>
        <v>308.12</v>
      </c>
      <c r="C853" s="1">
        <f>IFERROR(__xludf.DUMMYFUNCTION("""COMPUTED_VALUE"""),308.52)</f>
        <v>308.52</v>
      </c>
      <c r="D853" s="1">
        <f>IFERROR(__xludf.DUMMYFUNCTION("""COMPUTED_VALUE"""),307.11)</f>
        <v>307.11</v>
      </c>
      <c r="E853" s="1">
        <f>IFERROR(__xludf.DUMMYFUNCTION("""COMPUTED_VALUE"""),308.16)</f>
        <v>308.16</v>
      </c>
      <c r="F853" s="1">
        <f>IFERROR(__xludf.DUMMYFUNCTION("""COMPUTED_VALUE"""),2.6826562E7)</f>
        <v>26826562</v>
      </c>
    </row>
    <row r="854">
      <c r="A854" s="2">
        <f>IFERROR(__xludf.DUMMYFUNCTION("""COMPUTED_VALUE"""),32632.666666666668)</f>
        <v>32632.66667</v>
      </c>
      <c r="B854" s="1">
        <f>IFERROR(__xludf.DUMMYFUNCTION("""COMPUTED_VALUE"""),308.16)</f>
        <v>308.16</v>
      </c>
      <c r="C854" s="1">
        <f>IFERROR(__xludf.DUMMYFUNCTION("""COMPUTED_VALUE"""),308.4)</f>
        <v>308.4</v>
      </c>
      <c r="D854" s="1">
        <f>IFERROR(__xludf.DUMMYFUNCTION("""COMPUTED_VALUE"""),307.32)</f>
        <v>307.32</v>
      </c>
      <c r="E854" s="1">
        <f>IFERROR(__xludf.DUMMYFUNCTION("""COMPUTED_VALUE"""),307.77)</f>
        <v>307.77</v>
      </c>
      <c r="F854" s="1">
        <f>IFERROR(__xludf.DUMMYFUNCTION("""COMPUTED_VALUE"""),2.3926562E7)</f>
        <v>23926562</v>
      </c>
    </row>
    <row r="855">
      <c r="A855" s="2">
        <f>IFERROR(__xludf.DUMMYFUNCTION("""COMPUTED_VALUE"""),32633.666666666668)</f>
        <v>32633.66667</v>
      </c>
      <c r="B855" s="1">
        <f>IFERROR(__xludf.DUMMYFUNCTION("""COMPUTED_VALUE"""),307.77)</f>
        <v>307.77</v>
      </c>
      <c r="C855" s="1">
        <f>IFERROR(__xludf.DUMMYFUNCTION("""COMPUTED_VALUE"""),310.69)</f>
        <v>310.69</v>
      </c>
      <c r="D855" s="1">
        <f>IFERROR(__xludf.DUMMYFUNCTION("""COMPUTED_VALUE"""),306.98)</f>
        <v>306.98</v>
      </c>
      <c r="E855" s="1">
        <f>IFERROR(__xludf.DUMMYFUNCTION("""COMPUTED_VALUE"""),307.61)</f>
        <v>307.61</v>
      </c>
      <c r="F855" s="1">
        <f>IFERROR(__xludf.DUMMYFUNCTION("""COMPUTED_VALUE"""),2.8251562E7)</f>
        <v>28251562</v>
      </c>
    </row>
    <row r="856">
      <c r="A856" s="2">
        <f>IFERROR(__xludf.DUMMYFUNCTION("""COMPUTED_VALUE"""),32636.666666666668)</f>
        <v>32636.66667</v>
      </c>
      <c r="B856" s="1">
        <f>IFERROR(__xludf.DUMMYFUNCTION("""COMPUTED_VALUE"""),307.61)</f>
        <v>307.61</v>
      </c>
      <c r="C856" s="1">
        <f>IFERROR(__xludf.DUMMYFUNCTION("""COMPUTED_VALUE"""),307.61)</f>
        <v>307.61</v>
      </c>
      <c r="D856" s="1">
        <f>IFERROR(__xludf.DUMMYFUNCTION("""COMPUTED_VALUE"""),304.74)</f>
        <v>304.74</v>
      </c>
      <c r="E856" s="1">
        <f>IFERROR(__xludf.DUMMYFUNCTION("""COMPUTED_VALUE"""),306.0)</f>
        <v>306</v>
      </c>
      <c r="F856" s="1">
        <f>IFERROR(__xludf.DUMMYFUNCTION("""COMPUTED_VALUE"""),2.1114062E7)</f>
        <v>21114062</v>
      </c>
    </row>
    <row r="857">
      <c r="A857" s="2">
        <f>IFERROR(__xludf.DUMMYFUNCTION("""COMPUTED_VALUE"""),32637.666666666668)</f>
        <v>32637.66667</v>
      </c>
      <c r="B857" s="1">
        <f>IFERROR(__xludf.DUMMYFUNCTION("""COMPUTED_VALUE"""),306.0)</f>
        <v>306</v>
      </c>
      <c r="C857" s="1">
        <f>IFERROR(__xludf.DUMMYFUNCTION("""COMPUTED_VALUE"""),306.99)</f>
        <v>306.99</v>
      </c>
      <c r="D857" s="1">
        <f>IFERROR(__xludf.DUMMYFUNCTION("""COMPUTED_VALUE"""),304.06)</f>
        <v>304.06</v>
      </c>
      <c r="E857" s="1">
        <f>IFERROR(__xludf.DUMMYFUNCTION("""COMPUTED_VALUE"""),305.19)</f>
        <v>305.19</v>
      </c>
      <c r="F857" s="1">
        <f>IFERROR(__xludf.DUMMYFUNCTION("""COMPUTED_VALUE"""),2.3451562E7)</f>
        <v>23451562</v>
      </c>
    </row>
    <row r="858">
      <c r="A858" s="2">
        <f>IFERROR(__xludf.DUMMYFUNCTION("""COMPUTED_VALUE"""),32638.666666666668)</f>
        <v>32638.66667</v>
      </c>
      <c r="B858" s="1">
        <f>IFERROR(__xludf.DUMMYFUNCTION("""COMPUTED_VALUE"""),305.19)</f>
        <v>305.19</v>
      </c>
      <c r="C858" s="1">
        <f>IFERROR(__xludf.DUMMYFUNCTION("""COMPUTED_VALUE"""),306.25)</f>
        <v>306.25</v>
      </c>
      <c r="D858" s="1">
        <f>IFERROR(__xludf.DUMMYFUNCTION("""COMPUTED_VALUE"""),304.85)</f>
        <v>304.85</v>
      </c>
      <c r="E858" s="1">
        <f>IFERROR(__xludf.DUMMYFUNCTION("""COMPUTED_VALUE"""),305.8)</f>
        <v>305.8</v>
      </c>
      <c r="F858" s="1">
        <f>IFERROR(__xludf.DUMMYFUNCTION("""COMPUTED_VALUE"""),2.28125E7)</f>
        <v>22812500</v>
      </c>
    </row>
    <row r="859">
      <c r="A859" s="2">
        <f>IFERROR(__xludf.DUMMYFUNCTION("""COMPUTED_VALUE"""),32639.666666666668)</f>
        <v>32639.66667</v>
      </c>
      <c r="B859" s="1">
        <f>IFERROR(__xludf.DUMMYFUNCTION("""COMPUTED_VALUE"""),305.8)</f>
        <v>305.8</v>
      </c>
      <c r="C859" s="1">
        <f>IFERROR(__xludf.DUMMYFUNCTION("""COMPUTED_VALUE"""),307.34)</f>
        <v>307.34</v>
      </c>
      <c r="D859" s="1">
        <f>IFERROR(__xludf.DUMMYFUNCTION("""COMPUTED_VALUE"""),305.8)</f>
        <v>305.8</v>
      </c>
      <c r="E859" s="1">
        <f>IFERROR(__xludf.DUMMYFUNCTION("""COMPUTED_VALUE"""),306.95)</f>
        <v>306.95</v>
      </c>
      <c r="F859" s="1">
        <f>IFERROR(__xludf.DUMMYFUNCTION("""COMPUTED_VALUE"""),2.3690624E7)</f>
        <v>23690624</v>
      </c>
    </row>
    <row r="860">
      <c r="A860" s="2">
        <f>IFERROR(__xludf.DUMMYFUNCTION("""COMPUTED_VALUE"""),32640.666666666668)</f>
        <v>32640.66667</v>
      </c>
      <c r="B860" s="1">
        <f>IFERROR(__xludf.DUMMYFUNCTION("""COMPUTED_VALUE"""),306.95)</f>
        <v>306.95</v>
      </c>
      <c r="C860" s="1">
        <f>IFERROR(__xludf.DUMMYFUNCTION("""COMPUTED_VALUE"""),313.84)</f>
        <v>313.84</v>
      </c>
      <c r="D860" s="1">
        <f>IFERROR(__xludf.DUMMYFUNCTION("""COMPUTED_VALUE"""),306.95)</f>
        <v>306.95</v>
      </c>
      <c r="E860" s="1">
        <f>IFERROR(__xludf.DUMMYFUNCTION("""COMPUTED_VALUE"""),313.84)</f>
        <v>313.84</v>
      </c>
      <c r="F860" s="1">
        <f>IFERROR(__xludf.DUMMYFUNCTION("""COMPUTED_VALUE"""),3.4607812E7)</f>
        <v>34607812</v>
      </c>
    </row>
    <row r="861">
      <c r="A861" s="2">
        <f>IFERROR(__xludf.DUMMYFUNCTION("""COMPUTED_VALUE"""),32643.666666666668)</f>
        <v>32643.66667</v>
      </c>
      <c r="B861" s="1">
        <f>IFERROR(__xludf.DUMMYFUNCTION("""COMPUTED_VALUE"""),313.84)</f>
        <v>313.84</v>
      </c>
      <c r="C861" s="1">
        <f>IFERROR(__xludf.DUMMYFUNCTION("""COMPUTED_VALUE"""),316.16)</f>
        <v>316.16</v>
      </c>
      <c r="D861" s="1">
        <f>IFERROR(__xludf.DUMMYFUNCTION("""COMPUTED_VALUE"""),313.84)</f>
        <v>313.84</v>
      </c>
      <c r="E861" s="1">
        <f>IFERROR(__xludf.DUMMYFUNCTION("""COMPUTED_VALUE"""),316.16)</f>
        <v>316.16</v>
      </c>
      <c r="F861" s="1">
        <f>IFERROR(__xludf.DUMMYFUNCTION("""COMPUTED_VALUE"""),2.8023438E7)</f>
        <v>28023438</v>
      </c>
    </row>
    <row r="862">
      <c r="A862" s="2">
        <f>IFERROR(__xludf.DUMMYFUNCTION("""COMPUTED_VALUE"""),32644.666666666668)</f>
        <v>32644.66667</v>
      </c>
      <c r="B862" s="1">
        <f>IFERROR(__xludf.DUMMYFUNCTION("""COMPUTED_VALUE"""),316.16)</f>
        <v>316.16</v>
      </c>
      <c r="C862" s="1">
        <f>IFERROR(__xludf.DUMMYFUNCTION("""COMPUTED_VALUE"""),316.16)</f>
        <v>316.16</v>
      </c>
      <c r="D862" s="1">
        <f>IFERROR(__xludf.DUMMYFUNCTION("""COMPUTED_VALUE"""),314.99)</f>
        <v>314.99</v>
      </c>
      <c r="E862" s="1">
        <f>IFERROR(__xludf.DUMMYFUNCTION("""COMPUTED_VALUE"""),315.28)</f>
        <v>315.28</v>
      </c>
      <c r="F862" s="1">
        <f>IFERROR(__xludf.DUMMYFUNCTION("""COMPUTED_VALUE"""),2.7046876E7)</f>
        <v>27046876</v>
      </c>
    </row>
    <row r="863">
      <c r="A863" s="2">
        <f>IFERROR(__xludf.DUMMYFUNCTION("""COMPUTED_VALUE"""),32645.666666666668)</f>
        <v>32645.66667</v>
      </c>
      <c r="B863" s="1">
        <f>IFERROR(__xludf.DUMMYFUNCTION("""COMPUTED_VALUE"""),315.28)</f>
        <v>315.28</v>
      </c>
      <c r="C863" s="1">
        <f>IFERROR(__xludf.DUMMYFUNCTION("""COMPUTED_VALUE"""),317.94)</f>
        <v>317.94</v>
      </c>
      <c r="D863" s="1">
        <f>IFERROR(__xludf.DUMMYFUNCTION("""COMPUTED_VALUE"""),315.11)</f>
        <v>315.11</v>
      </c>
      <c r="E863" s="1">
        <f>IFERROR(__xludf.DUMMYFUNCTION("""COMPUTED_VALUE"""),317.48)</f>
        <v>317.48</v>
      </c>
      <c r="F863" s="1">
        <f>IFERROR(__xludf.DUMMYFUNCTION("""COMPUTED_VALUE"""),2.9876562E7)</f>
        <v>29876562</v>
      </c>
    </row>
    <row r="864">
      <c r="A864" s="2">
        <f>IFERROR(__xludf.DUMMYFUNCTION("""COMPUTED_VALUE"""),32646.666666666668)</f>
        <v>32646.66667</v>
      </c>
      <c r="B864" s="1">
        <f>IFERROR(__xludf.DUMMYFUNCTION("""COMPUTED_VALUE"""),317.48)</f>
        <v>317.48</v>
      </c>
      <c r="C864" s="1">
        <f>IFERROR(__xludf.DUMMYFUNCTION("""COMPUTED_VALUE"""),318.52)</f>
        <v>318.52</v>
      </c>
      <c r="D864" s="1">
        <f>IFERROR(__xludf.DUMMYFUNCTION("""COMPUTED_VALUE"""),316.54)</f>
        <v>316.54</v>
      </c>
      <c r="E864" s="1">
        <f>IFERROR(__xludf.DUMMYFUNCTION("""COMPUTED_VALUE"""),317.97)</f>
        <v>317.97</v>
      </c>
      <c r="F864" s="1">
        <f>IFERROR(__xludf.DUMMYFUNCTION("""COMPUTED_VALUE"""),2.773125E7)</f>
        <v>27731250</v>
      </c>
    </row>
    <row r="865">
      <c r="A865" s="2">
        <f>IFERROR(__xludf.DUMMYFUNCTION("""COMPUTED_VALUE"""),32647.666666666668)</f>
        <v>32647.66667</v>
      </c>
      <c r="B865" s="1">
        <f>IFERROR(__xludf.DUMMYFUNCTION("""COMPUTED_VALUE"""),317.97)</f>
        <v>317.97</v>
      </c>
      <c r="C865" s="1">
        <f>IFERROR(__xludf.DUMMYFUNCTION("""COMPUTED_VALUE"""),321.38)</f>
        <v>321.38</v>
      </c>
      <c r="D865" s="1">
        <f>IFERROR(__xludf.DUMMYFUNCTION("""COMPUTED_VALUE"""),317.97)</f>
        <v>317.97</v>
      </c>
      <c r="E865" s="1">
        <f>IFERROR(__xludf.DUMMYFUNCTION("""COMPUTED_VALUE"""),321.24)</f>
        <v>321.24</v>
      </c>
      <c r="F865" s="1">
        <f>IFERROR(__xludf.DUMMYFUNCTION("""COMPUTED_VALUE"""),3.7876564E7)</f>
        <v>37876564</v>
      </c>
    </row>
    <row r="866">
      <c r="A866" s="2">
        <f>IFERROR(__xludf.DUMMYFUNCTION("""COMPUTED_VALUE"""),32650.666666666668)</f>
        <v>32650.66667</v>
      </c>
      <c r="B866" s="1">
        <f>IFERROR(__xludf.DUMMYFUNCTION("""COMPUTED_VALUE"""),321.24)</f>
        <v>321.24</v>
      </c>
      <c r="C866" s="1">
        <f>IFERROR(__xludf.DUMMYFUNCTION("""COMPUTED_VALUE"""),323.06)</f>
        <v>323.06</v>
      </c>
      <c r="D866" s="1">
        <f>IFERROR(__xludf.DUMMYFUNCTION("""COMPUTED_VALUE"""),320.45)</f>
        <v>320.45</v>
      </c>
      <c r="E866" s="1">
        <f>IFERROR(__xludf.DUMMYFUNCTION("""COMPUTED_VALUE"""),321.98)</f>
        <v>321.98</v>
      </c>
      <c r="F866" s="1">
        <f>IFERROR(__xludf.DUMMYFUNCTION("""COMPUTED_VALUE"""),2.8907812E7)</f>
        <v>28907812</v>
      </c>
    </row>
    <row r="867">
      <c r="A867" s="2">
        <f>IFERROR(__xludf.DUMMYFUNCTION("""COMPUTED_VALUE"""),32651.666666666668)</f>
        <v>32651.66667</v>
      </c>
      <c r="B867" s="1">
        <f>IFERROR(__xludf.DUMMYFUNCTION("""COMPUTED_VALUE"""),321.98)</f>
        <v>321.98</v>
      </c>
      <c r="C867" s="1">
        <f>IFERROR(__xludf.DUMMYFUNCTION("""COMPUTED_VALUE"""),321.98)</f>
        <v>321.98</v>
      </c>
      <c r="D867" s="1">
        <f>IFERROR(__xludf.DUMMYFUNCTION("""COMPUTED_VALUE"""),318.2)</f>
        <v>318.2</v>
      </c>
      <c r="E867" s="1">
        <f>IFERROR(__xludf.DUMMYFUNCTION("""COMPUTED_VALUE"""),318.32)</f>
        <v>318.32</v>
      </c>
      <c r="F867" s="1">
        <f>IFERROR(__xludf.DUMMYFUNCTION("""COMPUTED_VALUE"""),2.9326562E7)</f>
        <v>29326562</v>
      </c>
    </row>
    <row r="868">
      <c r="A868" s="2">
        <f>IFERROR(__xludf.DUMMYFUNCTION("""COMPUTED_VALUE"""),32652.666666666668)</f>
        <v>32652.66667</v>
      </c>
      <c r="B868" s="1">
        <f>IFERROR(__xludf.DUMMYFUNCTION("""COMPUTED_VALUE"""),318.32)</f>
        <v>318.32</v>
      </c>
      <c r="C868" s="1">
        <f>IFERROR(__xludf.DUMMYFUNCTION("""COMPUTED_VALUE"""),319.14)</f>
        <v>319.14</v>
      </c>
      <c r="D868" s="1">
        <f>IFERROR(__xludf.DUMMYFUNCTION("""COMPUTED_VALUE"""),317.58)</f>
        <v>317.58</v>
      </c>
      <c r="E868" s="1">
        <f>IFERROR(__xludf.DUMMYFUNCTION("""COMPUTED_VALUE"""),319.14)</f>
        <v>319.14</v>
      </c>
      <c r="F868" s="1">
        <f>IFERROR(__xludf.DUMMYFUNCTION("""COMPUTED_VALUE"""),2.790625E7)</f>
        <v>27906250</v>
      </c>
    </row>
    <row r="869">
      <c r="A869" s="2">
        <f>IFERROR(__xludf.DUMMYFUNCTION("""COMPUTED_VALUE"""),32653.666666666668)</f>
        <v>32653.66667</v>
      </c>
      <c r="B869" s="1">
        <f>IFERROR(__xludf.DUMMYFUNCTION("""COMPUTED_VALUE"""),319.14)</f>
        <v>319.14</v>
      </c>
      <c r="C869" s="1">
        <f>IFERROR(__xludf.DUMMYFUNCTION("""COMPUTED_VALUE"""),319.6)</f>
        <v>319.6</v>
      </c>
      <c r="D869" s="1">
        <f>IFERROR(__xludf.DUMMYFUNCTION("""COMPUTED_VALUE"""),318.42)</f>
        <v>318.42</v>
      </c>
      <c r="E869" s="1">
        <f>IFERROR(__xludf.DUMMYFUNCTION("""COMPUTED_VALUE"""),319.17)</f>
        <v>319.17</v>
      </c>
      <c r="F869" s="1">
        <f>IFERROR(__xludf.DUMMYFUNCTION("""COMPUTED_VALUE"""),2.4135938E7)</f>
        <v>24135938</v>
      </c>
    </row>
    <row r="870">
      <c r="A870" s="2">
        <f>IFERROR(__xludf.DUMMYFUNCTION("""COMPUTED_VALUE"""),32654.666666666668)</f>
        <v>32654.66667</v>
      </c>
      <c r="B870" s="1">
        <f>IFERROR(__xludf.DUMMYFUNCTION("""COMPUTED_VALUE"""),319.17)</f>
        <v>319.17</v>
      </c>
      <c r="C870" s="1">
        <f>IFERROR(__xludf.DUMMYFUNCTION("""COMPUTED_VALUE"""),321.59)</f>
        <v>321.59</v>
      </c>
      <c r="D870" s="1">
        <f>IFERROR(__xludf.DUMMYFUNCTION("""COMPUTED_VALUE"""),319.14)</f>
        <v>319.14</v>
      </c>
      <c r="E870" s="1">
        <f>IFERROR(__xludf.DUMMYFUNCTION("""COMPUTED_VALUE"""),321.59)</f>
        <v>321.59</v>
      </c>
      <c r="F870" s="1">
        <f>IFERROR(__xludf.DUMMYFUNCTION("""COMPUTED_VALUE"""),2.23625E7)</f>
        <v>22362500</v>
      </c>
    </row>
    <row r="871">
      <c r="A871" s="2">
        <f>IFERROR(__xludf.DUMMYFUNCTION("""COMPUTED_VALUE"""),32657.666666666668)</f>
        <v>32657.66667</v>
      </c>
      <c r="B871" s="1">
        <f>IFERROR(__xludf.DUMMYFUNCTION("""COMPUTED_VALUE"""),319.05)</f>
        <v>319.05</v>
      </c>
      <c r="C871" s="1">
        <f>IFERROR(__xludf.DUMMYFUNCTION("""COMPUTED_VALUE"""),319.05)</f>
        <v>319.05</v>
      </c>
      <c r="D871" s="1">
        <f>IFERROR(__xludf.DUMMYFUNCTION("""COMPUTED_VALUE"""),319.05)</f>
        <v>319.05</v>
      </c>
      <c r="E871" s="1">
        <f>IFERROR(__xludf.DUMMYFUNCTION("""COMPUTED_VALUE"""),319.05)</f>
        <v>319.05</v>
      </c>
      <c r="F871" s="1">
        <f>IFERROR(__xludf.DUMMYFUNCTION("""COMPUTED_VALUE"""),0.0)</f>
        <v>0</v>
      </c>
    </row>
    <row r="872">
      <c r="A872" s="2">
        <f>IFERROR(__xludf.DUMMYFUNCTION("""COMPUTED_VALUE"""),32658.666666666668)</f>
        <v>32658.66667</v>
      </c>
      <c r="B872" s="1">
        <f>IFERROR(__xludf.DUMMYFUNCTION("""COMPUTED_VALUE"""),321.59)</f>
        <v>321.59</v>
      </c>
      <c r="C872" s="1">
        <f>IFERROR(__xludf.DUMMYFUNCTION("""COMPUTED_VALUE"""),322.53)</f>
        <v>322.53</v>
      </c>
      <c r="D872" s="1">
        <f>IFERROR(__xludf.DUMMYFUNCTION("""COMPUTED_VALUE"""),317.83)</f>
        <v>317.83</v>
      </c>
      <c r="E872" s="1">
        <f>IFERROR(__xludf.DUMMYFUNCTION("""COMPUTED_VALUE"""),319.05)</f>
        <v>319.05</v>
      </c>
      <c r="F872" s="1">
        <f>IFERROR(__xludf.DUMMYFUNCTION("""COMPUTED_VALUE"""),2.3715624E7)</f>
        <v>23715624</v>
      </c>
    </row>
    <row r="873">
      <c r="A873" s="2">
        <f>IFERROR(__xludf.DUMMYFUNCTION("""COMPUTED_VALUE"""),32659.666666666668)</f>
        <v>32659.66667</v>
      </c>
      <c r="B873" s="1">
        <f>IFERROR(__xludf.DUMMYFUNCTION("""COMPUTED_VALUE"""),319.05)</f>
        <v>319.05</v>
      </c>
      <c r="C873" s="1">
        <f>IFERROR(__xludf.DUMMYFUNCTION("""COMPUTED_VALUE"""),321.3)</f>
        <v>321.3</v>
      </c>
      <c r="D873" s="1">
        <f>IFERROR(__xludf.DUMMYFUNCTION("""COMPUTED_VALUE"""),318.68)</f>
        <v>318.68</v>
      </c>
      <c r="E873" s="1">
        <f>IFERROR(__xludf.DUMMYFUNCTION("""COMPUTED_VALUE"""),320.52)</f>
        <v>320.52</v>
      </c>
      <c r="F873" s="1">
        <f>IFERROR(__xludf.DUMMYFUNCTION("""COMPUTED_VALUE"""),2.5395312E7)</f>
        <v>25395312</v>
      </c>
    </row>
    <row r="874">
      <c r="A874" s="2">
        <f>IFERROR(__xludf.DUMMYFUNCTION("""COMPUTED_VALUE"""),32660.666666666668)</f>
        <v>32660.66667</v>
      </c>
      <c r="B874" s="1">
        <f>IFERROR(__xludf.DUMMYFUNCTION("""COMPUTED_VALUE"""),320.51)</f>
        <v>320.51</v>
      </c>
      <c r="C874" s="1">
        <f>IFERROR(__xludf.DUMMYFUNCTION("""COMPUTED_VALUE"""),322.57)</f>
        <v>322.57</v>
      </c>
      <c r="D874" s="1">
        <f>IFERROR(__xludf.DUMMYFUNCTION("""COMPUTED_VALUE"""),320.01)</f>
        <v>320.01</v>
      </c>
      <c r="E874" s="1">
        <f>IFERROR(__xludf.DUMMYFUNCTION("""COMPUTED_VALUE"""),321.97)</f>
        <v>321.97</v>
      </c>
      <c r="F874" s="1">
        <f>IFERROR(__xludf.DUMMYFUNCTION("""COMPUTED_VALUE"""),3.4868752E7)</f>
        <v>34868752</v>
      </c>
    </row>
    <row r="875">
      <c r="A875" s="2">
        <f>IFERROR(__xludf.DUMMYFUNCTION("""COMPUTED_VALUE"""),32661.666666666668)</f>
        <v>32661.66667</v>
      </c>
      <c r="B875" s="1">
        <f>IFERROR(__xludf.DUMMYFUNCTION("""COMPUTED_VALUE"""),321.97)</f>
        <v>321.97</v>
      </c>
      <c r="C875" s="1">
        <f>IFERROR(__xludf.DUMMYFUNCTION("""COMPUTED_VALUE"""),325.63)</f>
        <v>325.63</v>
      </c>
      <c r="D875" s="1">
        <f>IFERROR(__xludf.DUMMYFUNCTION("""COMPUTED_VALUE"""),321.97)</f>
        <v>321.97</v>
      </c>
      <c r="E875" s="1">
        <f>IFERROR(__xludf.DUMMYFUNCTION("""COMPUTED_VALUE"""),325.52)</f>
        <v>325.52</v>
      </c>
      <c r="F875" s="1">
        <f>IFERROR(__xludf.DUMMYFUNCTION("""COMPUTED_VALUE"""),3.5803124E7)</f>
        <v>35803124</v>
      </c>
    </row>
    <row r="876">
      <c r="A876" s="2">
        <f>IFERROR(__xludf.DUMMYFUNCTION("""COMPUTED_VALUE"""),32664.666666666668)</f>
        <v>32664.66667</v>
      </c>
      <c r="B876" s="1">
        <f>IFERROR(__xludf.DUMMYFUNCTION("""COMPUTED_VALUE"""),325.52)</f>
        <v>325.52</v>
      </c>
      <c r="C876" s="1">
        <f>IFERROR(__xludf.DUMMYFUNCTION("""COMPUTED_VALUE"""),325.93)</f>
        <v>325.93</v>
      </c>
      <c r="D876" s="1">
        <f>IFERROR(__xludf.DUMMYFUNCTION("""COMPUTED_VALUE"""),322.02)</f>
        <v>322.02</v>
      </c>
      <c r="E876" s="1">
        <f>IFERROR(__xludf.DUMMYFUNCTION("""COMPUTED_VALUE"""),322.03)</f>
        <v>322.03</v>
      </c>
      <c r="F876" s="1">
        <f>IFERROR(__xludf.DUMMYFUNCTION("""COMPUTED_VALUE"""),2.5534376E7)</f>
        <v>25534376</v>
      </c>
    </row>
    <row r="877">
      <c r="A877" s="2">
        <f>IFERROR(__xludf.DUMMYFUNCTION("""COMPUTED_VALUE"""),32665.666666666668)</f>
        <v>32665.66667</v>
      </c>
      <c r="B877" s="1">
        <f>IFERROR(__xludf.DUMMYFUNCTION("""COMPUTED_VALUE"""),322.03)</f>
        <v>322.03</v>
      </c>
      <c r="C877" s="1">
        <f>IFERROR(__xludf.DUMMYFUNCTION("""COMPUTED_VALUE"""),324.48)</f>
        <v>324.48</v>
      </c>
      <c r="D877" s="1">
        <f>IFERROR(__xludf.DUMMYFUNCTION("""COMPUTED_VALUE"""),321.27)</f>
        <v>321.27</v>
      </c>
      <c r="E877" s="1">
        <f>IFERROR(__xludf.DUMMYFUNCTION("""COMPUTED_VALUE"""),324.24)</f>
        <v>324.24</v>
      </c>
      <c r="F877" s="1">
        <f>IFERROR(__xludf.DUMMYFUNCTION("""COMPUTED_VALUE"""),2.9307812E7)</f>
        <v>29307812</v>
      </c>
    </row>
    <row r="878">
      <c r="A878" s="2">
        <f>IFERROR(__xludf.DUMMYFUNCTION("""COMPUTED_VALUE"""),32666.666666666668)</f>
        <v>32666.66667</v>
      </c>
      <c r="B878" s="1">
        <f>IFERROR(__xludf.DUMMYFUNCTION("""COMPUTED_VALUE"""),324.24)</f>
        <v>324.24</v>
      </c>
      <c r="C878" s="1">
        <f>IFERROR(__xludf.DUMMYFUNCTION("""COMPUTED_VALUE"""),327.39)</f>
        <v>327.39</v>
      </c>
      <c r="D878" s="1">
        <f>IFERROR(__xludf.DUMMYFUNCTION("""COMPUTED_VALUE"""),324.24)</f>
        <v>324.24</v>
      </c>
      <c r="E878" s="1">
        <f>IFERROR(__xludf.DUMMYFUNCTION("""COMPUTED_VALUE"""),326.95)</f>
        <v>326.95</v>
      </c>
      <c r="F878" s="1">
        <f>IFERROR(__xludf.DUMMYFUNCTION("""COMPUTED_VALUE"""),3.3392188E7)</f>
        <v>33392188</v>
      </c>
    </row>
    <row r="879">
      <c r="A879" s="2">
        <f>IFERROR(__xludf.DUMMYFUNCTION("""COMPUTED_VALUE"""),32667.666666666668)</f>
        <v>32667.66667</v>
      </c>
      <c r="B879" s="1">
        <f>IFERROR(__xludf.DUMMYFUNCTION("""COMPUTED_VALUE"""),326.95)</f>
        <v>326.95</v>
      </c>
      <c r="C879" s="1">
        <f>IFERROR(__xludf.DUMMYFUNCTION("""COMPUTED_VALUE"""),327.37)</f>
        <v>327.37</v>
      </c>
      <c r="D879" s="1">
        <f>IFERROR(__xludf.DUMMYFUNCTION("""COMPUTED_VALUE"""),325.92)</f>
        <v>325.92</v>
      </c>
      <c r="E879" s="1">
        <f>IFERROR(__xludf.DUMMYFUNCTION("""COMPUTED_VALUE"""),326.75)</f>
        <v>326.75</v>
      </c>
      <c r="F879" s="1">
        <f>IFERROR(__xludf.DUMMYFUNCTION("""COMPUTED_VALUE"""),3.3173438E7)</f>
        <v>33173438</v>
      </c>
    </row>
    <row r="880">
      <c r="A880" s="2">
        <f>IFERROR(__xludf.DUMMYFUNCTION("""COMPUTED_VALUE"""),32668.666666666668)</f>
        <v>32668.66667</v>
      </c>
      <c r="B880" s="1">
        <f>IFERROR(__xludf.DUMMYFUNCTION("""COMPUTED_VALUE"""),326.75)</f>
        <v>326.75</v>
      </c>
      <c r="C880" s="1">
        <f>IFERROR(__xludf.DUMMYFUNCTION("""COMPUTED_VALUE"""),327.32)</f>
        <v>327.32</v>
      </c>
      <c r="D880" s="1">
        <f>IFERROR(__xludf.DUMMYFUNCTION("""COMPUTED_VALUE"""),325.16)</f>
        <v>325.16</v>
      </c>
      <c r="E880" s="1">
        <f>IFERROR(__xludf.DUMMYFUNCTION("""COMPUTED_VALUE"""),326.69)</f>
        <v>326.69</v>
      </c>
      <c r="F880" s="1">
        <f>IFERROR(__xludf.DUMMYFUNCTION("""COMPUTED_VALUE"""),2.706875E7)</f>
        <v>27068750</v>
      </c>
    </row>
    <row r="881">
      <c r="A881" s="2">
        <f>IFERROR(__xludf.DUMMYFUNCTION("""COMPUTED_VALUE"""),32671.666666666668)</f>
        <v>32671.66667</v>
      </c>
      <c r="B881" s="1">
        <f>IFERROR(__xludf.DUMMYFUNCTION("""COMPUTED_VALUE"""),326.69)</f>
        <v>326.69</v>
      </c>
      <c r="C881" s="1">
        <f>IFERROR(__xludf.DUMMYFUNCTION("""COMPUTED_VALUE"""),326.69)</f>
        <v>326.69</v>
      </c>
      <c r="D881" s="1">
        <f>IFERROR(__xludf.DUMMYFUNCTION("""COMPUTED_VALUE"""),323.73)</f>
        <v>323.73</v>
      </c>
      <c r="E881" s="1">
        <f>IFERROR(__xludf.DUMMYFUNCTION("""COMPUTED_VALUE"""),326.24)</f>
        <v>326.24</v>
      </c>
      <c r="F881" s="1">
        <f>IFERROR(__xludf.DUMMYFUNCTION("""COMPUTED_VALUE"""),2.3665624E7)</f>
        <v>23665624</v>
      </c>
    </row>
    <row r="882">
      <c r="A882" s="2">
        <f>IFERROR(__xludf.DUMMYFUNCTION("""COMPUTED_VALUE"""),32672.666666666668)</f>
        <v>32672.66667</v>
      </c>
      <c r="B882" s="1">
        <f>IFERROR(__xludf.DUMMYFUNCTION("""COMPUTED_VALUE"""),326.24)</f>
        <v>326.24</v>
      </c>
      <c r="C882" s="1">
        <f>IFERROR(__xludf.DUMMYFUNCTION("""COMPUTED_VALUE"""),326.24)</f>
        <v>326.24</v>
      </c>
      <c r="D882" s="1">
        <f>IFERROR(__xludf.DUMMYFUNCTION("""COMPUTED_VALUE"""),322.96)</f>
        <v>322.96</v>
      </c>
      <c r="E882" s="1">
        <f>IFERROR(__xludf.DUMMYFUNCTION("""COMPUTED_VALUE"""),323.91)</f>
        <v>323.91</v>
      </c>
      <c r="F882" s="1">
        <f>IFERROR(__xludf.DUMMYFUNCTION("""COMPUTED_VALUE"""),2.5760938E7)</f>
        <v>25760938</v>
      </c>
    </row>
    <row r="883">
      <c r="A883" s="2">
        <f>IFERROR(__xludf.DUMMYFUNCTION("""COMPUTED_VALUE"""),32673.666666666668)</f>
        <v>32673.66667</v>
      </c>
      <c r="B883" s="1">
        <f>IFERROR(__xludf.DUMMYFUNCTION("""COMPUTED_VALUE"""),323.91)</f>
        <v>323.91</v>
      </c>
      <c r="C883" s="1">
        <f>IFERROR(__xludf.DUMMYFUNCTION("""COMPUTED_VALUE"""),324.89)</f>
        <v>324.89</v>
      </c>
      <c r="D883" s="1">
        <f>IFERROR(__xludf.DUMMYFUNCTION("""COMPUTED_VALUE"""),322.8)</f>
        <v>322.8</v>
      </c>
      <c r="E883" s="1">
        <f>IFERROR(__xludf.DUMMYFUNCTION("""COMPUTED_VALUE"""),323.83)</f>
        <v>323.83</v>
      </c>
      <c r="F883" s="1">
        <f>IFERROR(__xludf.DUMMYFUNCTION("""COMPUTED_VALUE"""),2.6646876E7)</f>
        <v>26646876</v>
      </c>
    </row>
    <row r="884">
      <c r="A884" s="2">
        <f>IFERROR(__xludf.DUMMYFUNCTION("""COMPUTED_VALUE"""),32674.666666666668)</f>
        <v>32674.66667</v>
      </c>
      <c r="B884" s="1">
        <f>IFERROR(__xludf.DUMMYFUNCTION("""COMPUTED_VALUE"""),323.83)</f>
        <v>323.83</v>
      </c>
      <c r="C884" s="1">
        <f>IFERROR(__xludf.DUMMYFUNCTION("""COMPUTED_VALUE"""),323.83)</f>
        <v>323.83</v>
      </c>
      <c r="D884" s="1">
        <f>IFERROR(__xludf.DUMMYFUNCTION("""COMPUTED_VALUE"""),319.21)</f>
        <v>319.21</v>
      </c>
      <c r="E884" s="1">
        <f>IFERROR(__xludf.DUMMYFUNCTION("""COMPUTED_VALUE"""),320.08)</f>
        <v>320.08</v>
      </c>
      <c r="F884" s="1">
        <f>IFERROR(__xludf.DUMMYFUNCTION("""COMPUTED_VALUE"""),2.804375E7)</f>
        <v>28043750</v>
      </c>
    </row>
    <row r="885">
      <c r="A885" s="2">
        <f>IFERROR(__xludf.DUMMYFUNCTION("""COMPUTED_VALUE"""),32675.666666666668)</f>
        <v>32675.66667</v>
      </c>
      <c r="B885" s="1">
        <f>IFERROR(__xludf.DUMMYFUNCTION("""COMPUTED_VALUE"""),319.96)</f>
        <v>319.96</v>
      </c>
      <c r="C885" s="1">
        <f>IFERROR(__xludf.DUMMYFUNCTION("""COMPUTED_VALUE"""),321.36)</f>
        <v>321.36</v>
      </c>
      <c r="D885" s="1">
        <f>IFERROR(__xludf.DUMMYFUNCTION("""COMPUTED_VALUE"""),318.69)</f>
        <v>318.69</v>
      </c>
      <c r="E885" s="1">
        <f>IFERROR(__xludf.DUMMYFUNCTION("""COMPUTED_VALUE"""),321.35)</f>
        <v>321.35</v>
      </c>
      <c r="F885" s="1">
        <f>IFERROR(__xludf.DUMMYFUNCTION("""COMPUTED_VALUE"""),3.8204688E7)</f>
        <v>38204688</v>
      </c>
    </row>
    <row r="886">
      <c r="A886" s="2">
        <f>IFERROR(__xludf.DUMMYFUNCTION("""COMPUTED_VALUE"""),32678.666666666668)</f>
        <v>32678.66667</v>
      </c>
      <c r="B886" s="1">
        <f>IFERROR(__xludf.DUMMYFUNCTION("""COMPUTED_VALUE"""),321.35)</f>
        <v>321.35</v>
      </c>
      <c r="C886" s="1">
        <f>IFERROR(__xludf.DUMMYFUNCTION("""COMPUTED_VALUE"""),321.89)</f>
        <v>321.89</v>
      </c>
      <c r="D886" s="1">
        <f>IFERROR(__xludf.DUMMYFUNCTION("""COMPUTED_VALUE"""),320.4)</f>
        <v>320.4</v>
      </c>
      <c r="E886" s="1">
        <f>IFERROR(__xludf.DUMMYFUNCTION("""COMPUTED_VALUE"""),321.89)</f>
        <v>321.89</v>
      </c>
      <c r="F886" s="1">
        <f>IFERROR(__xludf.DUMMYFUNCTION("""COMPUTED_VALUE"""),2.0425E7)</f>
        <v>20425000</v>
      </c>
    </row>
    <row r="887">
      <c r="A887" s="2">
        <f>IFERROR(__xludf.DUMMYFUNCTION("""COMPUTED_VALUE"""),32679.666666666668)</f>
        <v>32679.66667</v>
      </c>
      <c r="B887" s="1">
        <f>IFERROR(__xludf.DUMMYFUNCTION("""COMPUTED_VALUE"""),321.89)</f>
        <v>321.89</v>
      </c>
      <c r="C887" s="1">
        <f>IFERROR(__xludf.DUMMYFUNCTION("""COMPUTED_VALUE"""),322.78)</f>
        <v>322.78</v>
      </c>
      <c r="D887" s="1">
        <f>IFERROR(__xludf.DUMMYFUNCTION("""COMPUTED_VALUE"""),321.03)</f>
        <v>321.03</v>
      </c>
      <c r="E887" s="1">
        <f>IFERROR(__xludf.DUMMYFUNCTION("""COMPUTED_VALUE"""),321.25)</f>
        <v>321.25</v>
      </c>
      <c r="F887" s="1">
        <f>IFERROR(__xludf.DUMMYFUNCTION("""COMPUTED_VALUE"""),2.6195312E7)</f>
        <v>26195312</v>
      </c>
    </row>
    <row r="888">
      <c r="A888" s="2">
        <f>IFERROR(__xludf.DUMMYFUNCTION("""COMPUTED_VALUE"""),32680.666666666668)</f>
        <v>32680.66667</v>
      </c>
      <c r="B888" s="1">
        <f>IFERROR(__xludf.DUMMYFUNCTION("""COMPUTED_VALUE"""),321.25)</f>
        <v>321.25</v>
      </c>
      <c r="C888" s="1">
        <f>IFERROR(__xludf.DUMMYFUNCTION("""COMPUTED_VALUE"""),321.87)</f>
        <v>321.87</v>
      </c>
      <c r="D888" s="1">
        <f>IFERROR(__xludf.DUMMYFUNCTION("""COMPUTED_VALUE"""),319.25)</f>
        <v>319.25</v>
      </c>
      <c r="E888" s="1">
        <f>IFERROR(__xludf.DUMMYFUNCTION("""COMPUTED_VALUE"""),320.48)</f>
        <v>320.48</v>
      </c>
      <c r="F888" s="1">
        <f>IFERROR(__xludf.DUMMYFUNCTION("""COMPUTED_VALUE"""),2.6379688E7)</f>
        <v>26379688</v>
      </c>
    </row>
    <row r="889">
      <c r="A889" s="2">
        <f>IFERROR(__xludf.DUMMYFUNCTION("""COMPUTED_VALUE"""),32681.666666666668)</f>
        <v>32681.66667</v>
      </c>
      <c r="B889" s="1">
        <f>IFERROR(__xludf.DUMMYFUNCTION("""COMPUTED_VALUE"""),320.48)</f>
        <v>320.48</v>
      </c>
      <c r="C889" s="1">
        <f>IFERROR(__xludf.DUMMYFUNCTION("""COMPUTED_VALUE"""),322.34)</f>
        <v>322.34</v>
      </c>
      <c r="D889" s="1">
        <f>IFERROR(__xludf.DUMMYFUNCTION("""COMPUTED_VALUE"""),320.2)</f>
        <v>320.2</v>
      </c>
      <c r="E889" s="1">
        <f>IFERROR(__xludf.DUMMYFUNCTION("""COMPUTED_VALUE"""),322.32)</f>
        <v>322.32</v>
      </c>
      <c r="F889" s="1">
        <f>IFERROR(__xludf.DUMMYFUNCTION("""COMPUTED_VALUE"""),2.7579688E7)</f>
        <v>27579688</v>
      </c>
    </row>
    <row r="890">
      <c r="A890" s="2">
        <f>IFERROR(__xludf.DUMMYFUNCTION("""COMPUTED_VALUE"""),32682.666666666668)</f>
        <v>32682.66667</v>
      </c>
      <c r="B890" s="1">
        <f>IFERROR(__xludf.DUMMYFUNCTION("""COMPUTED_VALUE"""),322.32)</f>
        <v>322.32</v>
      </c>
      <c r="C890" s="1">
        <f>IFERROR(__xludf.DUMMYFUNCTION("""COMPUTED_VALUE"""),328.0)</f>
        <v>328</v>
      </c>
      <c r="D890" s="1">
        <f>IFERROR(__xludf.DUMMYFUNCTION("""COMPUTED_VALUE"""),322.32)</f>
        <v>322.32</v>
      </c>
      <c r="E890" s="1">
        <f>IFERROR(__xludf.DUMMYFUNCTION("""COMPUTED_VALUE"""),328.0)</f>
        <v>328</v>
      </c>
      <c r="F890" s="1">
        <f>IFERROR(__xludf.DUMMYFUNCTION("""COMPUTED_VALUE"""),3.105E7)</f>
        <v>31050000</v>
      </c>
    </row>
    <row r="891">
      <c r="A891" s="2">
        <f>IFERROR(__xludf.DUMMYFUNCTION("""COMPUTED_VALUE"""),32685.666666666668)</f>
        <v>32685.66667</v>
      </c>
      <c r="B891" s="1">
        <f>IFERROR(__xludf.DUMMYFUNCTION("""COMPUTED_VALUE"""),328.0)</f>
        <v>328</v>
      </c>
      <c r="C891" s="1">
        <f>IFERROR(__xludf.DUMMYFUNCTION("""COMPUTED_VALUE"""),328.15)</f>
        <v>328.15</v>
      </c>
      <c r="D891" s="1">
        <f>IFERROR(__xludf.DUMMYFUNCTION("""COMPUTED_VALUE"""),326.31)</f>
        <v>326.31</v>
      </c>
      <c r="E891" s="1">
        <f>IFERROR(__xludf.DUMMYFUNCTION("""COMPUTED_VALUE"""),326.6)</f>
        <v>326.6</v>
      </c>
      <c r="F891" s="1">
        <f>IFERROR(__xludf.DUMMYFUNCTION("""COMPUTED_VALUE"""),2.24375E7)</f>
        <v>22437500</v>
      </c>
    </row>
    <row r="892">
      <c r="A892" s="2">
        <f>IFERROR(__xludf.DUMMYFUNCTION("""COMPUTED_VALUE"""),32686.666666666668)</f>
        <v>32686.66667</v>
      </c>
      <c r="B892" s="1">
        <f>IFERROR(__xludf.DUMMYFUNCTION("""COMPUTED_VALUE"""),326.6)</f>
        <v>326.6</v>
      </c>
      <c r="C892" s="1">
        <f>IFERROR(__xludf.DUMMYFUNCTION("""COMPUTED_VALUE"""),329.19)</f>
        <v>329.19</v>
      </c>
      <c r="D892" s="1">
        <f>IFERROR(__xludf.DUMMYFUNCTION("""COMPUTED_VALUE"""),326.59)</f>
        <v>326.59</v>
      </c>
      <c r="E892" s="1">
        <f>IFERROR(__xludf.DUMMYFUNCTION("""COMPUTED_VALUE"""),328.44)</f>
        <v>328.44</v>
      </c>
      <c r="F892" s="1">
        <f>IFERROR(__xludf.DUMMYFUNCTION("""COMPUTED_VALUE"""),2.6732812E7)</f>
        <v>26732812</v>
      </c>
    </row>
    <row r="893">
      <c r="A893" s="2">
        <f>IFERROR(__xludf.DUMMYFUNCTION("""COMPUTED_VALUE"""),32687.666666666668)</f>
        <v>32687.66667</v>
      </c>
      <c r="B893" s="1">
        <f>IFERROR(__xludf.DUMMYFUNCTION("""COMPUTED_VALUE"""),328.44)</f>
        <v>328.44</v>
      </c>
      <c r="C893" s="1">
        <f>IFERROR(__xludf.DUMMYFUNCTION("""COMPUTED_VALUE"""),328.44)</f>
        <v>328.44</v>
      </c>
      <c r="D893" s="1">
        <f>IFERROR(__xludf.DUMMYFUNCTION("""COMPUTED_VALUE"""),324.3)</f>
        <v>324.3</v>
      </c>
      <c r="E893" s="1">
        <f>IFERROR(__xludf.DUMMYFUNCTION("""COMPUTED_VALUE"""),325.81)</f>
        <v>325.81</v>
      </c>
      <c r="F893" s="1">
        <f>IFERROR(__xludf.DUMMYFUNCTION("""COMPUTED_VALUE"""),2.4760938E7)</f>
        <v>24760938</v>
      </c>
    </row>
    <row r="894">
      <c r="A894" s="2">
        <f>IFERROR(__xludf.DUMMYFUNCTION("""COMPUTED_VALUE"""),32688.666666666668)</f>
        <v>32688.66667</v>
      </c>
      <c r="B894" s="1">
        <f>IFERROR(__xludf.DUMMYFUNCTION("""COMPUTED_VALUE"""),325.81)</f>
        <v>325.81</v>
      </c>
      <c r="C894" s="1">
        <f>IFERROR(__xludf.DUMMYFUNCTION("""COMPUTED_VALUE"""),325.81)</f>
        <v>325.81</v>
      </c>
      <c r="D894" s="1">
        <f>IFERROR(__xludf.DUMMYFUNCTION("""COMPUTED_VALUE"""),319.54)</f>
        <v>319.54</v>
      </c>
      <c r="E894" s="1">
        <f>IFERROR(__xludf.DUMMYFUNCTION("""COMPUTED_VALUE"""),319.68)</f>
        <v>319.68</v>
      </c>
      <c r="F894" s="1">
        <f>IFERROR(__xludf.DUMMYFUNCTION("""COMPUTED_VALUE"""),2.6109376E7)</f>
        <v>26109376</v>
      </c>
    </row>
    <row r="895">
      <c r="A895" s="2">
        <f>IFERROR(__xludf.DUMMYFUNCTION("""COMPUTED_VALUE"""),32689.666666666668)</f>
        <v>32689.66667</v>
      </c>
      <c r="B895" s="1">
        <f>IFERROR(__xludf.DUMMYFUNCTION("""COMPUTED_VALUE"""),319.67)</f>
        <v>319.67</v>
      </c>
      <c r="C895" s="1">
        <f>IFERROR(__xludf.DUMMYFUNCTION("""COMPUTED_VALUE"""),319.97)</f>
        <v>319.97</v>
      </c>
      <c r="D895" s="1">
        <f>IFERROR(__xludf.DUMMYFUNCTION("""COMPUTED_VALUE"""),314.38)</f>
        <v>314.38</v>
      </c>
      <c r="E895" s="1">
        <f>IFERROR(__xludf.DUMMYFUNCTION("""COMPUTED_VALUE"""),317.98)</f>
        <v>317.98</v>
      </c>
      <c r="F895" s="1">
        <f>IFERROR(__xludf.DUMMYFUNCTION("""COMPUTED_VALUE"""),2.6639062E7)</f>
        <v>26639062</v>
      </c>
    </row>
    <row r="896">
      <c r="A896" s="2">
        <f>IFERROR(__xludf.DUMMYFUNCTION("""COMPUTED_VALUE"""),32692.666666666668)</f>
        <v>32692.66667</v>
      </c>
      <c r="B896" s="1">
        <f>IFERROR(__xludf.DUMMYFUNCTION("""COMPUTED_VALUE"""),317.98)</f>
        <v>317.98</v>
      </c>
      <c r="C896" s="1">
        <f>IFERROR(__xludf.DUMMYFUNCTION("""COMPUTED_VALUE"""),319.27)</f>
        <v>319.27</v>
      </c>
      <c r="D896" s="1">
        <f>IFERROR(__xludf.DUMMYFUNCTION("""COMPUTED_VALUE"""),317.27)</f>
        <v>317.27</v>
      </c>
      <c r="E896" s="1">
        <f>IFERROR(__xludf.DUMMYFUNCTION("""COMPUTED_VALUE"""),319.23)</f>
        <v>319.23</v>
      </c>
      <c r="F896" s="1">
        <f>IFERROR(__xludf.DUMMYFUNCTION("""COMPUTED_VALUE"""),1.0760938E7)</f>
        <v>10760938</v>
      </c>
    </row>
    <row r="897">
      <c r="A897" s="2">
        <f>IFERROR(__xludf.DUMMYFUNCTION("""COMPUTED_VALUE"""),32693.666666666668)</f>
        <v>32693.66667</v>
      </c>
      <c r="B897" s="1">
        <f>IFERROR(__xludf.DUMMYFUNCTION("""COMPUTED_VALUE"""),320.64)</f>
        <v>320.64</v>
      </c>
      <c r="C897" s="1">
        <f>IFERROR(__xludf.DUMMYFUNCTION("""COMPUTED_VALUE"""),320.64)</f>
        <v>320.64</v>
      </c>
      <c r="D897" s="1">
        <f>IFERROR(__xludf.DUMMYFUNCTION("""COMPUTED_VALUE"""),320.64)</f>
        <v>320.64</v>
      </c>
      <c r="E897" s="1">
        <f>IFERROR(__xludf.DUMMYFUNCTION("""COMPUTED_VALUE"""),320.64)</f>
        <v>320.64</v>
      </c>
      <c r="F897" s="1">
        <f>IFERROR(__xludf.DUMMYFUNCTION("""COMPUTED_VALUE"""),0.0)</f>
        <v>0</v>
      </c>
    </row>
    <row r="898">
      <c r="A898" s="2">
        <f>IFERROR(__xludf.DUMMYFUNCTION("""COMPUTED_VALUE"""),32694.666666666668)</f>
        <v>32694.66667</v>
      </c>
      <c r="B898" s="1">
        <f>IFERROR(__xludf.DUMMYFUNCTION("""COMPUTED_VALUE"""),319.23)</f>
        <v>319.23</v>
      </c>
      <c r="C898" s="1">
        <f>IFERROR(__xludf.DUMMYFUNCTION("""COMPUTED_VALUE"""),321.22)</f>
        <v>321.22</v>
      </c>
      <c r="D898" s="1">
        <f>IFERROR(__xludf.DUMMYFUNCTION("""COMPUTED_VALUE"""),317.26)</f>
        <v>317.26</v>
      </c>
      <c r="E898" s="1">
        <f>IFERROR(__xludf.DUMMYFUNCTION("""COMPUTED_VALUE"""),320.64)</f>
        <v>320.64</v>
      </c>
      <c r="F898" s="1">
        <f>IFERROR(__xludf.DUMMYFUNCTION("""COMPUTED_VALUE"""),1.9954688E7)</f>
        <v>19954688</v>
      </c>
    </row>
    <row r="899">
      <c r="A899" s="2">
        <f>IFERROR(__xludf.DUMMYFUNCTION("""COMPUTED_VALUE"""),32695.666666666668)</f>
        <v>32695.66667</v>
      </c>
      <c r="B899" s="1">
        <f>IFERROR(__xludf.DUMMYFUNCTION("""COMPUTED_VALUE"""),320.64)</f>
        <v>320.64</v>
      </c>
      <c r="C899" s="1">
        <f>IFERROR(__xludf.DUMMYFUNCTION("""COMPUTED_VALUE"""),321.55)</f>
        <v>321.55</v>
      </c>
      <c r="D899" s="1">
        <f>IFERROR(__xludf.DUMMYFUNCTION("""COMPUTED_VALUE"""),320.45)</f>
        <v>320.45</v>
      </c>
      <c r="E899" s="1">
        <f>IFERROR(__xludf.DUMMYFUNCTION("""COMPUTED_VALUE"""),321.55)</f>
        <v>321.55</v>
      </c>
      <c r="F899" s="1">
        <f>IFERROR(__xludf.DUMMYFUNCTION("""COMPUTED_VALUE"""),2.1945312E7)</f>
        <v>21945312</v>
      </c>
    </row>
    <row r="900">
      <c r="A900" s="2">
        <f>IFERROR(__xludf.DUMMYFUNCTION("""COMPUTED_VALUE"""),32696.666666666668)</f>
        <v>32696.66667</v>
      </c>
      <c r="B900" s="1">
        <f>IFERROR(__xludf.DUMMYFUNCTION("""COMPUTED_VALUE"""),321.55)</f>
        <v>321.55</v>
      </c>
      <c r="C900" s="1">
        <f>IFERROR(__xludf.DUMMYFUNCTION("""COMPUTED_VALUE"""),325.87)</f>
        <v>325.87</v>
      </c>
      <c r="D900" s="1">
        <f>IFERROR(__xludf.DUMMYFUNCTION("""COMPUTED_VALUE"""),321.08)</f>
        <v>321.08</v>
      </c>
      <c r="E900" s="1">
        <f>IFERROR(__xludf.DUMMYFUNCTION("""COMPUTED_VALUE"""),324.91)</f>
        <v>324.91</v>
      </c>
      <c r="F900" s="1">
        <f>IFERROR(__xludf.DUMMYFUNCTION("""COMPUTED_VALUE"""),2.6004688E7)</f>
        <v>26004688</v>
      </c>
    </row>
    <row r="901">
      <c r="A901" s="2">
        <f>IFERROR(__xludf.DUMMYFUNCTION("""COMPUTED_VALUE"""),32699.666666666668)</f>
        <v>32699.66667</v>
      </c>
      <c r="B901" s="1">
        <f>IFERROR(__xludf.DUMMYFUNCTION("""COMPUTED_VALUE"""),324.93)</f>
        <v>324.93</v>
      </c>
      <c r="C901" s="1">
        <f>IFERROR(__xludf.DUMMYFUNCTION("""COMPUTED_VALUE"""),327.07)</f>
        <v>327.07</v>
      </c>
      <c r="D901" s="1">
        <f>IFERROR(__xludf.DUMMYFUNCTION("""COMPUTED_VALUE"""),324.91)</f>
        <v>324.91</v>
      </c>
      <c r="E901" s="1">
        <f>IFERROR(__xludf.DUMMYFUNCTION("""COMPUTED_VALUE"""),327.07)</f>
        <v>327.07</v>
      </c>
      <c r="F901" s="1">
        <f>IFERROR(__xludf.DUMMYFUNCTION("""COMPUTED_VALUE"""),2.0604688E7)</f>
        <v>20604688</v>
      </c>
    </row>
    <row r="902">
      <c r="A902" s="2">
        <f>IFERROR(__xludf.DUMMYFUNCTION("""COMPUTED_VALUE"""),32700.666666666668)</f>
        <v>32700.66667</v>
      </c>
      <c r="B902" s="1">
        <f>IFERROR(__xludf.DUMMYFUNCTION("""COMPUTED_VALUE"""),327.07)</f>
        <v>327.07</v>
      </c>
      <c r="C902" s="1">
        <f>IFERROR(__xludf.DUMMYFUNCTION("""COMPUTED_VALUE"""),330.42)</f>
        <v>330.42</v>
      </c>
      <c r="D902" s="1">
        <f>IFERROR(__xludf.DUMMYFUNCTION("""COMPUTED_VALUE"""),327.07)</f>
        <v>327.07</v>
      </c>
      <c r="E902" s="1">
        <f>IFERROR(__xludf.DUMMYFUNCTION("""COMPUTED_VALUE"""),328.78)</f>
        <v>328.78</v>
      </c>
      <c r="F902" s="1">
        <f>IFERROR(__xludf.DUMMYFUNCTION("""COMPUTED_VALUE"""),2.6810938E7)</f>
        <v>26810938</v>
      </c>
    </row>
    <row r="903">
      <c r="A903" s="2">
        <f>IFERROR(__xludf.DUMMYFUNCTION("""COMPUTED_VALUE"""),32701.666666666668)</f>
        <v>32701.66667</v>
      </c>
      <c r="B903" s="1">
        <f>IFERROR(__xludf.DUMMYFUNCTION("""COMPUTED_VALUE"""),328.78)</f>
        <v>328.78</v>
      </c>
      <c r="C903" s="1">
        <f>IFERROR(__xludf.DUMMYFUNCTION("""COMPUTED_VALUE"""),330.39)</f>
        <v>330.39</v>
      </c>
      <c r="D903" s="1">
        <f>IFERROR(__xludf.DUMMYFUNCTION("""COMPUTED_VALUE"""),327.92)</f>
        <v>327.92</v>
      </c>
      <c r="E903" s="1">
        <f>IFERROR(__xludf.DUMMYFUNCTION("""COMPUTED_VALUE"""),329.81)</f>
        <v>329.81</v>
      </c>
      <c r="F903" s="1">
        <f>IFERROR(__xludf.DUMMYFUNCTION("""COMPUTED_VALUE"""),2.5085938E7)</f>
        <v>25085938</v>
      </c>
    </row>
    <row r="904">
      <c r="A904" s="2">
        <f>IFERROR(__xludf.DUMMYFUNCTION("""COMPUTED_VALUE"""),32702.666666666668)</f>
        <v>32702.66667</v>
      </c>
      <c r="B904" s="1">
        <f>IFERROR(__xludf.DUMMYFUNCTION("""COMPUTED_VALUE"""),329.81)</f>
        <v>329.81</v>
      </c>
      <c r="C904" s="1">
        <f>IFERROR(__xludf.DUMMYFUNCTION("""COMPUTED_VALUE"""),330.37)</f>
        <v>330.37</v>
      </c>
      <c r="D904" s="1">
        <f>IFERROR(__xludf.DUMMYFUNCTION("""COMPUTED_VALUE"""),329.08)</f>
        <v>329.08</v>
      </c>
      <c r="E904" s="1">
        <f>IFERROR(__xludf.DUMMYFUNCTION("""COMPUTED_VALUE"""),329.95)</f>
        <v>329.95</v>
      </c>
      <c r="F904" s="1">
        <f>IFERROR(__xludf.DUMMYFUNCTION("""COMPUTED_VALUE"""),2.4034376E7)</f>
        <v>24034376</v>
      </c>
    </row>
    <row r="905">
      <c r="A905" s="2">
        <f>IFERROR(__xludf.DUMMYFUNCTION("""COMPUTED_VALUE"""),32703.666666666668)</f>
        <v>32703.66667</v>
      </c>
      <c r="B905" s="1">
        <f>IFERROR(__xludf.DUMMYFUNCTION("""COMPUTED_VALUE"""),329.96)</f>
        <v>329.96</v>
      </c>
      <c r="C905" s="1">
        <f>IFERROR(__xludf.DUMMYFUNCTION("""COMPUTED_VALUE"""),331.89)</f>
        <v>331.89</v>
      </c>
      <c r="D905" s="1">
        <f>IFERROR(__xludf.DUMMYFUNCTION("""COMPUTED_VALUE"""),327.13)</f>
        <v>327.13</v>
      </c>
      <c r="E905" s="1">
        <f>IFERROR(__xludf.DUMMYFUNCTION("""COMPUTED_VALUE"""),331.84)</f>
        <v>331.84</v>
      </c>
      <c r="F905" s="1">
        <f>IFERROR(__xludf.DUMMYFUNCTION("""COMPUTED_VALUE"""),2.866875E7)</f>
        <v>28668750</v>
      </c>
    </row>
    <row r="906">
      <c r="A906" s="2">
        <f>IFERROR(__xludf.DUMMYFUNCTION("""COMPUTED_VALUE"""),32706.666666666668)</f>
        <v>32706.66667</v>
      </c>
      <c r="B906" s="1">
        <f>IFERROR(__xludf.DUMMYFUNCTION("""COMPUTED_VALUE"""),331.78)</f>
        <v>331.78</v>
      </c>
      <c r="C906" s="1">
        <f>IFERROR(__xludf.DUMMYFUNCTION("""COMPUTED_VALUE"""),333.02)</f>
        <v>333.02</v>
      </c>
      <c r="D906" s="1">
        <f>IFERROR(__xludf.DUMMYFUNCTION("""COMPUTED_VALUE"""),331.02)</f>
        <v>331.02</v>
      </c>
      <c r="E906" s="1">
        <f>IFERROR(__xludf.DUMMYFUNCTION("""COMPUTED_VALUE"""),332.44)</f>
        <v>332.44</v>
      </c>
      <c r="F906" s="1">
        <f>IFERROR(__xludf.DUMMYFUNCTION("""COMPUTED_VALUE"""),2.061875E7)</f>
        <v>20618750</v>
      </c>
    </row>
    <row r="907">
      <c r="A907" s="2">
        <f>IFERROR(__xludf.DUMMYFUNCTION("""COMPUTED_VALUE"""),32707.666666666668)</f>
        <v>32707.66667</v>
      </c>
      <c r="B907" s="1">
        <f>IFERROR(__xludf.DUMMYFUNCTION("""COMPUTED_VALUE"""),332.42)</f>
        <v>332.42</v>
      </c>
      <c r="C907" s="1">
        <f>IFERROR(__xludf.DUMMYFUNCTION("""COMPUTED_VALUE"""),332.44)</f>
        <v>332.44</v>
      </c>
      <c r="D907" s="1">
        <f>IFERROR(__xludf.DUMMYFUNCTION("""COMPUTED_VALUE"""),330.75)</f>
        <v>330.75</v>
      </c>
      <c r="E907" s="1">
        <f>IFERROR(__xludf.DUMMYFUNCTION("""COMPUTED_VALUE"""),331.35)</f>
        <v>331.35</v>
      </c>
      <c r="F907" s="1">
        <f>IFERROR(__xludf.DUMMYFUNCTION("""COMPUTED_VALUE"""),2.3804688E7)</f>
        <v>23804688</v>
      </c>
    </row>
    <row r="908">
      <c r="A908" s="2">
        <f>IFERROR(__xludf.DUMMYFUNCTION("""COMPUTED_VALUE"""),32708.666666666668)</f>
        <v>32708.66667</v>
      </c>
      <c r="B908" s="1">
        <f>IFERROR(__xludf.DUMMYFUNCTION("""COMPUTED_VALUE"""),331.37)</f>
        <v>331.37</v>
      </c>
      <c r="C908" s="1">
        <f>IFERROR(__xludf.DUMMYFUNCTION("""COMPUTED_VALUE"""),335.73)</f>
        <v>335.73</v>
      </c>
      <c r="D908" s="1">
        <f>IFERROR(__xludf.DUMMYFUNCTION("""COMPUTED_VALUE"""),331.35)</f>
        <v>331.35</v>
      </c>
      <c r="E908" s="1">
        <f>IFERROR(__xludf.DUMMYFUNCTION("""COMPUTED_VALUE"""),335.73)</f>
        <v>335.73</v>
      </c>
      <c r="F908" s="1">
        <f>IFERROR(__xludf.DUMMYFUNCTION("""COMPUTED_VALUE"""),3.3709376E7)</f>
        <v>33709376</v>
      </c>
    </row>
    <row r="909">
      <c r="A909" s="2">
        <f>IFERROR(__xludf.DUMMYFUNCTION("""COMPUTED_VALUE"""),32709.666666666668)</f>
        <v>32709.66667</v>
      </c>
      <c r="B909" s="1">
        <f>IFERROR(__xludf.DUMMYFUNCTION("""COMPUTED_VALUE"""),335.74)</f>
        <v>335.74</v>
      </c>
      <c r="C909" s="1">
        <f>IFERROR(__xludf.DUMMYFUNCTION("""COMPUTED_VALUE"""),337.4)</f>
        <v>337.4</v>
      </c>
      <c r="D909" s="1">
        <f>IFERROR(__xludf.DUMMYFUNCTION("""COMPUTED_VALUE"""),333.22)</f>
        <v>333.22</v>
      </c>
      <c r="E909" s="1">
        <f>IFERROR(__xludf.DUMMYFUNCTION("""COMPUTED_VALUE"""),333.51)</f>
        <v>333.51</v>
      </c>
      <c r="F909" s="1">
        <f>IFERROR(__xludf.DUMMYFUNCTION("""COMPUTED_VALUE"""),3.1967188E7)</f>
        <v>31967188</v>
      </c>
    </row>
    <row r="910">
      <c r="A910" s="2">
        <f>IFERROR(__xludf.DUMMYFUNCTION("""COMPUTED_VALUE"""),32710.666666666668)</f>
        <v>32710.66667</v>
      </c>
      <c r="B910" s="1">
        <f>IFERROR(__xludf.DUMMYFUNCTION("""COMPUTED_VALUE"""),333.5)</f>
        <v>333.5</v>
      </c>
      <c r="C910" s="1">
        <f>IFERROR(__xludf.DUMMYFUNCTION("""COMPUTED_VALUE"""),335.91)</f>
        <v>335.91</v>
      </c>
      <c r="D910" s="1">
        <f>IFERROR(__xludf.DUMMYFUNCTION("""COMPUTED_VALUE"""),332.46)</f>
        <v>332.46</v>
      </c>
      <c r="E910" s="1">
        <f>IFERROR(__xludf.DUMMYFUNCTION("""COMPUTED_VALUE"""),335.9)</f>
        <v>335.9</v>
      </c>
      <c r="F910" s="1">
        <f>IFERROR(__xludf.DUMMYFUNCTION("""COMPUTED_VALUE"""),2.7325E7)</f>
        <v>27325000</v>
      </c>
    </row>
    <row r="911">
      <c r="A911" s="2">
        <f>IFERROR(__xludf.DUMMYFUNCTION("""COMPUTED_VALUE"""),32713.666666666668)</f>
        <v>32713.66667</v>
      </c>
      <c r="B911" s="1">
        <f>IFERROR(__xludf.DUMMYFUNCTION("""COMPUTED_VALUE"""),335.9)</f>
        <v>335.9</v>
      </c>
      <c r="C911" s="1">
        <f>IFERROR(__xludf.DUMMYFUNCTION("""COMPUTED_VALUE"""),335.9)</f>
        <v>335.9</v>
      </c>
      <c r="D911" s="1">
        <f>IFERROR(__xludf.DUMMYFUNCTION("""COMPUTED_VALUE"""),333.44)</f>
        <v>333.44</v>
      </c>
      <c r="E911" s="1">
        <f>IFERROR(__xludf.DUMMYFUNCTION("""COMPUTED_VALUE"""),333.67)</f>
        <v>333.67</v>
      </c>
      <c r="F911" s="1">
        <f>IFERROR(__xludf.DUMMYFUNCTION("""COMPUTED_VALUE"""),2.1290624E7)</f>
        <v>21290624</v>
      </c>
    </row>
    <row r="912">
      <c r="A912" s="2">
        <f>IFERROR(__xludf.DUMMYFUNCTION("""COMPUTED_VALUE"""),32714.666666666668)</f>
        <v>32714.66667</v>
      </c>
      <c r="B912" s="1">
        <f>IFERROR(__xludf.DUMMYFUNCTION("""COMPUTED_VALUE"""),333.67)</f>
        <v>333.67</v>
      </c>
      <c r="C912" s="1">
        <f>IFERROR(__xludf.DUMMYFUNCTION("""COMPUTED_VALUE"""),336.29)</f>
        <v>336.29</v>
      </c>
      <c r="D912" s="1">
        <f>IFERROR(__xludf.DUMMYFUNCTION("""COMPUTED_VALUE"""),332.6)</f>
        <v>332.6</v>
      </c>
      <c r="E912" s="1">
        <f>IFERROR(__xludf.DUMMYFUNCTION("""COMPUTED_VALUE"""),333.88)</f>
        <v>333.88</v>
      </c>
      <c r="F912" s="1">
        <f>IFERROR(__xludf.DUMMYFUNCTION("""COMPUTED_VALUE"""),2.8010938E7)</f>
        <v>28010938</v>
      </c>
    </row>
    <row r="913">
      <c r="A913" s="2">
        <f>IFERROR(__xludf.DUMMYFUNCTION("""COMPUTED_VALUE"""),32715.666666666668)</f>
        <v>32715.66667</v>
      </c>
      <c r="B913" s="1">
        <f>IFERROR(__xludf.DUMMYFUNCTION("""COMPUTED_VALUE"""),333.88)</f>
        <v>333.88</v>
      </c>
      <c r="C913" s="1">
        <f>IFERROR(__xludf.DUMMYFUNCTION("""COMPUTED_VALUE"""),338.05)</f>
        <v>338.05</v>
      </c>
      <c r="D913" s="1">
        <f>IFERROR(__xludf.DUMMYFUNCTION("""COMPUTED_VALUE"""),333.19)</f>
        <v>333.19</v>
      </c>
      <c r="E913" s="1">
        <f>IFERROR(__xludf.DUMMYFUNCTION("""COMPUTED_VALUE"""),338.05)</f>
        <v>338.05</v>
      </c>
      <c r="F913" s="1">
        <f>IFERROR(__xludf.DUMMYFUNCTION("""COMPUTED_VALUE"""),2.9417188E7)</f>
        <v>29417188</v>
      </c>
    </row>
    <row r="914">
      <c r="A914" s="2">
        <f>IFERROR(__xludf.DUMMYFUNCTION("""COMPUTED_VALUE"""),32716.666666666668)</f>
        <v>32716.66667</v>
      </c>
      <c r="B914" s="1">
        <f>IFERROR(__xludf.DUMMYFUNCTION("""COMPUTED_VALUE"""),338.05)</f>
        <v>338.05</v>
      </c>
      <c r="C914" s="1">
        <f>IFERROR(__xludf.DUMMYFUNCTION("""COMPUTED_VALUE"""),342.0)</f>
        <v>342</v>
      </c>
      <c r="D914" s="1">
        <f>IFERROR(__xludf.DUMMYFUNCTION("""COMPUTED_VALUE"""),338.05)</f>
        <v>338.05</v>
      </c>
      <c r="E914" s="1">
        <f>IFERROR(__xludf.DUMMYFUNCTION("""COMPUTED_VALUE"""),341.99)</f>
        <v>341.99</v>
      </c>
      <c r="F914" s="1">
        <f>IFERROR(__xludf.DUMMYFUNCTION("""COMPUTED_VALUE"""),3.33875E7)</f>
        <v>33387500</v>
      </c>
    </row>
    <row r="915">
      <c r="A915" s="2">
        <f>IFERROR(__xludf.DUMMYFUNCTION("""COMPUTED_VALUE"""),32717.666666666668)</f>
        <v>32717.66667</v>
      </c>
      <c r="B915" s="1">
        <f>IFERROR(__xludf.DUMMYFUNCTION("""COMPUTED_VALUE"""),341.94)</f>
        <v>341.94</v>
      </c>
      <c r="C915" s="1">
        <f>IFERROR(__xludf.DUMMYFUNCTION("""COMPUTED_VALUE"""),342.96)</f>
        <v>342.96</v>
      </c>
      <c r="D915" s="1">
        <f>IFERROR(__xludf.DUMMYFUNCTION("""COMPUTED_VALUE"""),341.3)</f>
        <v>341.3</v>
      </c>
      <c r="E915" s="1">
        <f>IFERROR(__xludf.DUMMYFUNCTION("""COMPUTED_VALUE"""),342.15)</f>
        <v>342.15</v>
      </c>
      <c r="F915" s="1">
        <f>IFERROR(__xludf.DUMMYFUNCTION("""COMPUTED_VALUE"""),2.8220312E7)</f>
        <v>28220312</v>
      </c>
    </row>
    <row r="916">
      <c r="A916" s="2">
        <f>IFERROR(__xludf.DUMMYFUNCTION("""COMPUTED_VALUE"""),32720.666666666668)</f>
        <v>32720.66667</v>
      </c>
      <c r="B916" s="1">
        <f>IFERROR(__xludf.DUMMYFUNCTION("""COMPUTED_VALUE"""),342.13)</f>
        <v>342.13</v>
      </c>
      <c r="C916" s="1">
        <f>IFERROR(__xludf.DUMMYFUNCTION("""COMPUTED_VALUE"""),346.08)</f>
        <v>346.08</v>
      </c>
      <c r="D916" s="1">
        <f>IFERROR(__xludf.DUMMYFUNCTION("""COMPUTED_VALUE"""),342.02)</f>
        <v>342.02</v>
      </c>
      <c r="E916" s="1">
        <f>IFERROR(__xludf.DUMMYFUNCTION("""COMPUTED_VALUE"""),346.08)</f>
        <v>346.08</v>
      </c>
      <c r="F916" s="1">
        <f>IFERROR(__xludf.DUMMYFUNCTION("""COMPUTED_VALUE"""),2.6039062E7)</f>
        <v>26039062</v>
      </c>
    </row>
    <row r="917">
      <c r="A917" s="2">
        <f>IFERROR(__xludf.DUMMYFUNCTION("""COMPUTED_VALUE"""),32721.666666666668)</f>
        <v>32721.66667</v>
      </c>
      <c r="B917" s="1">
        <f>IFERROR(__xludf.DUMMYFUNCTION("""COMPUTED_VALUE"""),346.08)</f>
        <v>346.08</v>
      </c>
      <c r="C917" s="1">
        <f>IFERROR(__xludf.DUMMYFUNCTION("""COMPUTED_VALUE"""),347.99)</f>
        <v>347.99</v>
      </c>
      <c r="D917" s="1">
        <f>IFERROR(__xludf.DUMMYFUNCTION("""COMPUTED_VALUE"""),342.93)</f>
        <v>342.93</v>
      </c>
      <c r="E917" s="1">
        <f>IFERROR(__xludf.DUMMYFUNCTION("""COMPUTED_VALUE"""),343.75)</f>
        <v>343.75</v>
      </c>
      <c r="F917" s="1">
        <f>IFERROR(__xludf.DUMMYFUNCTION("""COMPUTED_VALUE"""),3.52E7)</f>
        <v>35200000</v>
      </c>
    </row>
    <row r="918">
      <c r="A918" s="2">
        <f>IFERROR(__xludf.DUMMYFUNCTION("""COMPUTED_VALUE"""),32722.666666666668)</f>
        <v>32722.66667</v>
      </c>
      <c r="B918" s="1">
        <f>IFERROR(__xludf.DUMMYFUNCTION("""COMPUTED_VALUE"""),343.75)</f>
        <v>343.75</v>
      </c>
      <c r="C918" s="1">
        <f>IFERROR(__xludf.DUMMYFUNCTION("""COMPUTED_VALUE"""),344.34)</f>
        <v>344.34</v>
      </c>
      <c r="D918" s="1">
        <f>IFERROR(__xludf.DUMMYFUNCTION("""COMPUTED_VALUE"""),342.47)</f>
        <v>342.47</v>
      </c>
      <c r="E918" s="1">
        <f>IFERROR(__xludf.DUMMYFUNCTION("""COMPUTED_VALUE"""),344.34)</f>
        <v>344.34</v>
      </c>
      <c r="F918" s="1">
        <f>IFERROR(__xludf.DUMMYFUNCTION("""COMPUTED_VALUE"""),2.84E7)</f>
        <v>28400000</v>
      </c>
    </row>
    <row r="919">
      <c r="A919" s="2">
        <f>IFERROR(__xludf.DUMMYFUNCTION("""COMPUTED_VALUE"""),32723.666666666668)</f>
        <v>32723.66667</v>
      </c>
      <c r="B919" s="1">
        <f>IFERROR(__xludf.DUMMYFUNCTION("""COMPUTED_VALUE"""),344.34)</f>
        <v>344.34</v>
      </c>
      <c r="C919" s="1">
        <f>IFERROR(__xludf.DUMMYFUNCTION("""COMPUTED_VALUE"""),345.22)</f>
        <v>345.22</v>
      </c>
      <c r="D919" s="1">
        <f>IFERROR(__xludf.DUMMYFUNCTION("""COMPUTED_VALUE"""),343.81)</f>
        <v>343.81</v>
      </c>
      <c r="E919" s="1">
        <f>IFERROR(__xludf.DUMMYFUNCTION("""COMPUTED_VALUE"""),344.74)</f>
        <v>344.74</v>
      </c>
      <c r="F919" s="1">
        <f>IFERROR(__xludf.DUMMYFUNCTION("""COMPUTED_VALUE"""),2.6357812E7)</f>
        <v>26357812</v>
      </c>
    </row>
    <row r="920">
      <c r="A920" s="2">
        <f>IFERROR(__xludf.DUMMYFUNCTION("""COMPUTED_VALUE"""),32724.666666666668)</f>
        <v>32724.66667</v>
      </c>
      <c r="B920" s="1">
        <f>IFERROR(__xludf.DUMMYFUNCTION("""COMPUTED_VALUE"""),344.74)</f>
        <v>344.74</v>
      </c>
      <c r="C920" s="1">
        <f>IFERROR(__xludf.DUMMYFUNCTION("""COMPUTED_VALUE"""),345.42)</f>
        <v>345.42</v>
      </c>
      <c r="D920" s="1">
        <f>IFERROR(__xludf.DUMMYFUNCTION("""COMPUTED_VALUE"""),342.6)</f>
        <v>342.6</v>
      </c>
      <c r="E920" s="1">
        <f>IFERROR(__xludf.DUMMYFUNCTION("""COMPUTED_VALUE"""),343.92)</f>
        <v>343.92</v>
      </c>
      <c r="F920" s="1">
        <f>IFERROR(__xludf.DUMMYFUNCTION("""COMPUTED_VALUE"""),2.6523438E7)</f>
        <v>26523438</v>
      </c>
    </row>
    <row r="921">
      <c r="A921" s="2">
        <f>IFERROR(__xludf.DUMMYFUNCTION("""COMPUTED_VALUE"""),32727.666666666668)</f>
        <v>32727.66667</v>
      </c>
      <c r="B921" s="1">
        <f>IFERROR(__xludf.DUMMYFUNCTION("""COMPUTED_VALUE"""),343.92)</f>
        <v>343.92</v>
      </c>
      <c r="C921" s="1">
        <f>IFERROR(__xludf.DUMMYFUNCTION("""COMPUTED_VALUE"""),349.42)</f>
        <v>349.42</v>
      </c>
      <c r="D921" s="1">
        <f>IFERROR(__xludf.DUMMYFUNCTION("""COMPUTED_VALUE"""),343.91)</f>
        <v>343.91</v>
      </c>
      <c r="E921" s="1">
        <f>IFERROR(__xludf.DUMMYFUNCTION("""COMPUTED_VALUE"""),349.41)</f>
        <v>349.41</v>
      </c>
      <c r="F921" s="1">
        <f>IFERROR(__xludf.DUMMYFUNCTION("""COMPUTED_VALUE"""),3.0871876E7)</f>
        <v>30871876</v>
      </c>
    </row>
    <row r="922">
      <c r="A922" s="2">
        <f>IFERROR(__xludf.DUMMYFUNCTION("""COMPUTED_VALUE"""),32728.666666666668)</f>
        <v>32728.66667</v>
      </c>
      <c r="B922" s="1">
        <f>IFERROR(__xludf.DUMMYFUNCTION("""COMPUTED_VALUE"""),349.41)</f>
        <v>349.41</v>
      </c>
      <c r="C922" s="1">
        <f>IFERROR(__xludf.DUMMYFUNCTION("""COMPUTED_VALUE"""),349.84)</f>
        <v>349.84</v>
      </c>
      <c r="D922" s="1">
        <f>IFERROR(__xludf.DUMMYFUNCTION("""COMPUTED_VALUE"""),348.28)</f>
        <v>348.28</v>
      </c>
      <c r="E922" s="1">
        <f>IFERROR(__xludf.DUMMYFUNCTION("""COMPUTED_VALUE"""),349.35)</f>
        <v>349.35</v>
      </c>
      <c r="F922" s="1">
        <f>IFERROR(__xludf.DUMMYFUNCTION("""COMPUTED_VALUE"""),3.1303124E7)</f>
        <v>31303124</v>
      </c>
    </row>
    <row r="923">
      <c r="A923" s="2">
        <f>IFERROR(__xludf.DUMMYFUNCTION("""COMPUTED_VALUE"""),32729.666666666668)</f>
        <v>32729.66667</v>
      </c>
      <c r="B923" s="1">
        <f>IFERROR(__xludf.DUMMYFUNCTION("""COMPUTED_VALUE"""),349.3)</f>
        <v>349.3</v>
      </c>
      <c r="C923" s="1">
        <f>IFERROR(__xludf.DUMMYFUNCTION("""COMPUTED_VALUE"""),351.0)</f>
        <v>351</v>
      </c>
      <c r="D923" s="1">
        <f>IFERROR(__xludf.DUMMYFUNCTION("""COMPUTED_VALUE"""),346.86)</f>
        <v>346.86</v>
      </c>
      <c r="E923" s="1">
        <f>IFERROR(__xludf.DUMMYFUNCTION("""COMPUTED_VALUE"""),346.94)</f>
        <v>346.94</v>
      </c>
      <c r="F923" s="1">
        <f>IFERROR(__xludf.DUMMYFUNCTION("""COMPUTED_VALUE"""),3.2796876E7)</f>
        <v>32796876</v>
      </c>
    </row>
    <row r="924">
      <c r="A924" s="2">
        <f>IFERROR(__xludf.DUMMYFUNCTION("""COMPUTED_VALUE"""),32730.666666666668)</f>
        <v>32730.66667</v>
      </c>
      <c r="B924" s="1">
        <f>IFERROR(__xludf.DUMMYFUNCTION("""COMPUTED_VALUE"""),346.94)</f>
        <v>346.94</v>
      </c>
      <c r="C924" s="1">
        <f>IFERROR(__xludf.DUMMYFUNCTION("""COMPUTED_VALUE"""),349.78)</f>
        <v>349.78</v>
      </c>
      <c r="D924" s="1">
        <f>IFERROR(__xludf.DUMMYFUNCTION("""COMPUTED_VALUE"""),345.31)</f>
        <v>345.31</v>
      </c>
      <c r="E924" s="1">
        <f>IFERROR(__xludf.DUMMYFUNCTION("""COMPUTED_VALUE"""),348.25)</f>
        <v>348.25</v>
      </c>
      <c r="F924" s="1">
        <f>IFERROR(__xludf.DUMMYFUNCTION("""COMPUTED_VALUE"""),3.1040624E7)</f>
        <v>31040624</v>
      </c>
    </row>
    <row r="925">
      <c r="A925" s="2">
        <f>IFERROR(__xludf.DUMMYFUNCTION("""COMPUTED_VALUE"""),32731.666666666668)</f>
        <v>32731.66667</v>
      </c>
      <c r="B925" s="1">
        <f>IFERROR(__xludf.DUMMYFUNCTION("""COMPUTED_VALUE"""),348.28)</f>
        <v>348.28</v>
      </c>
      <c r="C925" s="1">
        <f>IFERROR(__xludf.DUMMYFUNCTION("""COMPUTED_VALUE"""),351.18)</f>
        <v>351.18</v>
      </c>
      <c r="D925" s="1">
        <f>IFERROR(__xludf.DUMMYFUNCTION("""COMPUTED_VALUE"""),344.01)</f>
        <v>344.01</v>
      </c>
      <c r="E925" s="1">
        <f>IFERROR(__xludf.DUMMYFUNCTION("""COMPUTED_VALUE"""),344.74)</f>
        <v>344.74</v>
      </c>
      <c r="F925" s="1">
        <f>IFERROR(__xludf.DUMMYFUNCTION("""COMPUTED_VALUE"""),3.0867188E7)</f>
        <v>30867188</v>
      </c>
    </row>
    <row r="926">
      <c r="A926" s="2">
        <f>IFERROR(__xludf.DUMMYFUNCTION("""COMPUTED_VALUE"""),32734.666666666668)</f>
        <v>32734.66667</v>
      </c>
      <c r="B926" s="1">
        <f>IFERROR(__xludf.DUMMYFUNCTION("""COMPUTED_VALUE"""),344.71)</f>
        <v>344.71</v>
      </c>
      <c r="C926" s="1">
        <f>IFERROR(__xludf.DUMMYFUNCTION("""COMPUTED_VALUE"""),345.44)</f>
        <v>345.44</v>
      </c>
      <c r="D926" s="1">
        <f>IFERROR(__xludf.DUMMYFUNCTION("""COMPUTED_VALUE"""),341.96)</f>
        <v>341.96</v>
      </c>
      <c r="E926" s="1">
        <f>IFERROR(__xludf.DUMMYFUNCTION("""COMPUTED_VALUE"""),343.06)</f>
        <v>343.06</v>
      </c>
      <c r="F926" s="1">
        <f>IFERROR(__xludf.DUMMYFUNCTION("""COMPUTED_VALUE"""),2.2189062E7)</f>
        <v>22189062</v>
      </c>
    </row>
    <row r="927">
      <c r="A927" s="2">
        <f>IFERROR(__xludf.DUMMYFUNCTION("""COMPUTED_VALUE"""),32735.666666666668)</f>
        <v>32735.66667</v>
      </c>
      <c r="B927" s="1">
        <f>IFERROR(__xludf.DUMMYFUNCTION("""COMPUTED_VALUE"""),343.06)</f>
        <v>343.06</v>
      </c>
      <c r="C927" s="1">
        <f>IFERROR(__xludf.DUMMYFUNCTION("""COMPUTED_VALUE"""),345.03)</f>
        <v>345.03</v>
      </c>
      <c r="D927" s="1">
        <f>IFERROR(__xludf.DUMMYFUNCTION("""COMPUTED_VALUE"""),343.05)</f>
        <v>343.05</v>
      </c>
      <c r="E927" s="1">
        <f>IFERROR(__xludf.DUMMYFUNCTION("""COMPUTED_VALUE"""),344.71)</f>
        <v>344.71</v>
      </c>
      <c r="F927" s="1">
        <f>IFERROR(__xludf.DUMMYFUNCTION("""COMPUTED_VALUE"""),2.3245312E7)</f>
        <v>23245312</v>
      </c>
    </row>
    <row r="928">
      <c r="A928" s="2">
        <f>IFERROR(__xludf.DUMMYFUNCTION("""COMPUTED_VALUE"""),32736.666666666668)</f>
        <v>32736.66667</v>
      </c>
      <c r="B928" s="1">
        <f>IFERROR(__xludf.DUMMYFUNCTION("""COMPUTED_VALUE"""),344.71)</f>
        <v>344.71</v>
      </c>
      <c r="C928" s="1">
        <f>IFERROR(__xludf.DUMMYFUNCTION("""COMPUTED_VALUE"""),346.37)</f>
        <v>346.37</v>
      </c>
      <c r="D928" s="1">
        <f>IFERROR(__xludf.DUMMYFUNCTION("""COMPUTED_VALUE"""),344.71)</f>
        <v>344.71</v>
      </c>
      <c r="E928" s="1">
        <f>IFERROR(__xludf.DUMMYFUNCTION("""COMPUTED_VALUE"""),345.66)</f>
        <v>345.66</v>
      </c>
      <c r="F928" s="1">
        <f>IFERROR(__xludf.DUMMYFUNCTION("""COMPUTED_VALUE"""),2.3446876E7)</f>
        <v>23446876</v>
      </c>
    </row>
    <row r="929">
      <c r="A929" s="2">
        <f>IFERROR(__xludf.DUMMYFUNCTION("""COMPUTED_VALUE"""),32737.666666666668)</f>
        <v>32737.66667</v>
      </c>
      <c r="B929" s="1">
        <f>IFERROR(__xludf.DUMMYFUNCTION("""COMPUTED_VALUE"""),345.66)</f>
        <v>345.66</v>
      </c>
      <c r="C929" s="1">
        <f>IFERROR(__xludf.DUMMYFUNCTION("""COMPUTED_VALUE"""),346.39)</f>
        <v>346.39</v>
      </c>
      <c r="D929" s="1">
        <f>IFERROR(__xludf.DUMMYFUNCTION("""COMPUTED_VALUE"""),342.97)</f>
        <v>342.97</v>
      </c>
      <c r="E929" s="1">
        <f>IFERROR(__xludf.DUMMYFUNCTION("""COMPUTED_VALUE"""),344.45)</f>
        <v>344.45</v>
      </c>
      <c r="F929" s="1">
        <f>IFERROR(__xludf.DUMMYFUNCTION("""COMPUTED_VALUE"""),2.461875E7)</f>
        <v>24618750</v>
      </c>
    </row>
    <row r="930">
      <c r="A930" s="2">
        <f>IFERROR(__xludf.DUMMYFUNCTION("""COMPUTED_VALUE"""),32738.666666666668)</f>
        <v>32738.66667</v>
      </c>
      <c r="B930" s="1">
        <f>IFERROR(__xludf.DUMMYFUNCTION("""COMPUTED_VALUE"""),344.45)</f>
        <v>344.45</v>
      </c>
      <c r="C930" s="1">
        <f>IFERROR(__xludf.DUMMYFUNCTION("""COMPUTED_VALUE"""),346.03)</f>
        <v>346.03</v>
      </c>
      <c r="D930" s="1">
        <f>IFERROR(__xludf.DUMMYFUNCTION("""COMPUTED_VALUE"""),343.89)</f>
        <v>343.89</v>
      </c>
      <c r="E930" s="1">
        <f>IFERROR(__xludf.DUMMYFUNCTION("""COMPUTED_VALUE"""),346.03)</f>
        <v>346.03</v>
      </c>
      <c r="F930" s="1">
        <f>IFERROR(__xludf.DUMMYFUNCTION("""COMPUTED_VALUE"""),2.2782812E7)</f>
        <v>22782812</v>
      </c>
    </row>
    <row r="931">
      <c r="A931" s="2">
        <f>IFERROR(__xludf.DUMMYFUNCTION("""COMPUTED_VALUE"""),32741.666666666668)</f>
        <v>32741.66667</v>
      </c>
      <c r="B931" s="1">
        <f>IFERROR(__xludf.DUMMYFUNCTION("""COMPUTED_VALUE"""),346.03)</f>
        <v>346.03</v>
      </c>
      <c r="C931" s="1">
        <f>IFERROR(__xludf.DUMMYFUNCTION("""COMPUTED_VALUE"""),346.25)</f>
        <v>346.25</v>
      </c>
      <c r="D931" s="1">
        <f>IFERROR(__xludf.DUMMYFUNCTION("""COMPUTED_VALUE"""),340.55)</f>
        <v>340.55</v>
      </c>
      <c r="E931" s="1">
        <f>IFERROR(__xludf.DUMMYFUNCTION("""COMPUTED_VALUE"""),340.67)</f>
        <v>340.67</v>
      </c>
      <c r="F931" s="1">
        <f>IFERROR(__xludf.DUMMYFUNCTION("""COMPUTED_VALUE"""),2.1375E7)</f>
        <v>21375000</v>
      </c>
    </row>
    <row r="932">
      <c r="A932" s="2">
        <f>IFERROR(__xludf.DUMMYFUNCTION("""COMPUTED_VALUE"""),32742.666666666668)</f>
        <v>32742.66667</v>
      </c>
      <c r="B932" s="1">
        <f>IFERROR(__xludf.DUMMYFUNCTION("""COMPUTED_VALUE"""),340.67)</f>
        <v>340.67</v>
      </c>
      <c r="C932" s="1">
        <f>IFERROR(__xludf.DUMMYFUNCTION("""COMPUTED_VALUE"""),341.25)</f>
        <v>341.25</v>
      </c>
      <c r="D932" s="1">
        <f>IFERROR(__xludf.DUMMYFUNCTION("""COMPUTED_VALUE"""),339.0)</f>
        <v>339</v>
      </c>
      <c r="E932" s="1">
        <f>IFERROR(__xludf.DUMMYFUNCTION("""COMPUTED_VALUE"""),341.19)</f>
        <v>341.19</v>
      </c>
      <c r="F932" s="1">
        <f>IFERROR(__xludf.DUMMYFUNCTION("""COMPUTED_VALUE"""),2.2176562E7)</f>
        <v>22176562</v>
      </c>
    </row>
    <row r="933">
      <c r="A933" s="2">
        <f>IFERROR(__xludf.DUMMYFUNCTION("""COMPUTED_VALUE"""),32743.666666666668)</f>
        <v>32743.66667</v>
      </c>
      <c r="B933" s="1">
        <f>IFERROR(__xludf.DUMMYFUNCTION("""COMPUTED_VALUE"""),341.19)</f>
        <v>341.19</v>
      </c>
      <c r="C933" s="1">
        <f>IFERROR(__xludf.DUMMYFUNCTION("""COMPUTED_VALUE"""),344.8)</f>
        <v>344.8</v>
      </c>
      <c r="D933" s="1">
        <f>IFERROR(__xludf.DUMMYFUNCTION("""COMPUTED_VALUE"""),341.19)</f>
        <v>341.19</v>
      </c>
      <c r="E933" s="1">
        <f>IFERROR(__xludf.DUMMYFUNCTION("""COMPUTED_VALUE"""),344.7)</f>
        <v>344.7</v>
      </c>
      <c r="F933" s="1">
        <f>IFERROR(__xludf.DUMMYFUNCTION("""COMPUTED_VALUE"""),2.494375E7)</f>
        <v>24943750</v>
      </c>
    </row>
    <row r="934">
      <c r="A934" s="2">
        <f>IFERROR(__xludf.DUMMYFUNCTION("""COMPUTED_VALUE"""),32744.666666666668)</f>
        <v>32744.66667</v>
      </c>
      <c r="B934" s="1">
        <f>IFERROR(__xludf.DUMMYFUNCTION("""COMPUTED_VALUE"""),344.7)</f>
        <v>344.7</v>
      </c>
      <c r="C934" s="1">
        <f>IFERROR(__xludf.DUMMYFUNCTION("""COMPUTED_VALUE"""),351.52)</f>
        <v>351.52</v>
      </c>
      <c r="D934" s="1">
        <f>IFERROR(__xludf.DUMMYFUNCTION("""COMPUTED_VALUE"""),344.7)</f>
        <v>344.7</v>
      </c>
      <c r="E934" s="1">
        <f>IFERROR(__xludf.DUMMYFUNCTION("""COMPUTED_VALUE"""),351.52)</f>
        <v>351.52</v>
      </c>
      <c r="F934" s="1">
        <f>IFERROR(__xludf.DUMMYFUNCTION("""COMPUTED_VALUE"""),3.52375E7)</f>
        <v>35237500</v>
      </c>
    </row>
    <row r="935">
      <c r="A935" s="2">
        <f>IFERROR(__xludf.DUMMYFUNCTION("""COMPUTED_VALUE"""),32745.666666666668)</f>
        <v>32745.66667</v>
      </c>
      <c r="B935" s="1">
        <f>IFERROR(__xludf.DUMMYFUNCTION("""COMPUTED_VALUE"""),351.52)</f>
        <v>351.52</v>
      </c>
      <c r="C935" s="1">
        <f>IFERROR(__xludf.DUMMYFUNCTION("""COMPUTED_VALUE"""),352.73)</f>
        <v>352.73</v>
      </c>
      <c r="D935" s="1">
        <f>IFERROR(__xludf.DUMMYFUNCTION("""COMPUTED_VALUE"""),350.09)</f>
        <v>350.09</v>
      </c>
      <c r="E935" s="1">
        <f>IFERROR(__xludf.DUMMYFUNCTION("""COMPUTED_VALUE"""),350.52)</f>
        <v>350.52</v>
      </c>
      <c r="F935" s="1">
        <f>IFERROR(__xludf.DUMMYFUNCTION("""COMPUTED_VALUE"""),2.5926562E7)</f>
        <v>25926562</v>
      </c>
    </row>
    <row r="936">
      <c r="A936" s="2">
        <f>IFERROR(__xludf.DUMMYFUNCTION("""COMPUTED_VALUE"""),32748.666666666668)</f>
        <v>32748.66667</v>
      </c>
      <c r="B936" s="1">
        <f>IFERROR(__xludf.DUMMYFUNCTION("""COMPUTED_VALUE"""),350.52)</f>
        <v>350.52</v>
      </c>
      <c r="C936" s="1">
        <f>IFERROR(__xludf.DUMMYFUNCTION("""COMPUTED_VALUE"""),352.09)</f>
        <v>352.09</v>
      </c>
      <c r="D936" s="1">
        <f>IFERROR(__xludf.DUMMYFUNCTION("""COMPUTED_VALUE"""),349.08)</f>
        <v>349.08</v>
      </c>
      <c r="E936" s="1">
        <f>IFERROR(__xludf.DUMMYFUNCTION("""COMPUTED_VALUE"""),352.09)</f>
        <v>352.09</v>
      </c>
      <c r="F936" s="1">
        <f>IFERROR(__xludf.DUMMYFUNCTION("""COMPUTED_VALUE"""),2.0496876E7)</f>
        <v>20496876</v>
      </c>
    </row>
    <row r="937">
      <c r="A937" s="2">
        <f>IFERROR(__xludf.DUMMYFUNCTION("""COMPUTED_VALUE"""),32749.666666666668)</f>
        <v>32749.66667</v>
      </c>
      <c r="B937" s="1">
        <f>IFERROR(__xludf.DUMMYFUNCTION("""COMPUTED_VALUE"""),352.09)</f>
        <v>352.09</v>
      </c>
      <c r="C937" s="1">
        <f>IFERROR(__xludf.DUMMYFUNCTION("""COMPUTED_VALUE"""),352.12)</f>
        <v>352.12</v>
      </c>
      <c r="D937" s="1">
        <f>IFERROR(__xludf.DUMMYFUNCTION("""COMPUTED_VALUE"""),348.86)</f>
        <v>348.86</v>
      </c>
      <c r="E937" s="1">
        <f>IFERROR(__xludf.DUMMYFUNCTION("""COMPUTED_VALUE"""),349.84)</f>
        <v>349.84</v>
      </c>
      <c r="F937" s="1">
        <f>IFERROR(__xludf.DUMMYFUNCTION("""COMPUTED_VALUE"""),2.7376562E7)</f>
        <v>27376562</v>
      </c>
    </row>
    <row r="938">
      <c r="A938" s="2">
        <f>IFERROR(__xludf.DUMMYFUNCTION("""COMPUTED_VALUE"""),32750.666666666668)</f>
        <v>32750.66667</v>
      </c>
      <c r="B938" s="1">
        <f>IFERROR(__xludf.DUMMYFUNCTION("""COMPUTED_VALUE"""),349.84)</f>
        <v>349.84</v>
      </c>
      <c r="C938" s="1">
        <f>IFERROR(__xludf.DUMMYFUNCTION("""COMPUTED_VALUE"""),352.27)</f>
        <v>352.27</v>
      </c>
      <c r="D938" s="1">
        <f>IFERROR(__xludf.DUMMYFUNCTION("""COMPUTED_VALUE"""),348.66)</f>
        <v>348.66</v>
      </c>
      <c r="E938" s="1">
        <f>IFERROR(__xludf.DUMMYFUNCTION("""COMPUTED_VALUE"""),350.65)</f>
        <v>350.65</v>
      </c>
      <c r="F938" s="1">
        <f>IFERROR(__xludf.DUMMYFUNCTION("""COMPUTED_VALUE"""),2.7242188E7)</f>
        <v>27242188</v>
      </c>
    </row>
    <row r="939">
      <c r="A939" s="2">
        <f>IFERROR(__xludf.DUMMYFUNCTION("""COMPUTED_VALUE"""),32751.666666666668)</f>
        <v>32751.66667</v>
      </c>
      <c r="B939" s="1">
        <f>IFERROR(__xludf.DUMMYFUNCTION("""COMPUTED_VALUE"""),350.65)</f>
        <v>350.65</v>
      </c>
      <c r="C939" s="1">
        <f>IFERROR(__xludf.DUMMYFUNCTION("""COMPUTED_VALUE"""),351.45)</f>
        <v>351.45</v>
      </c>
      <c r="D939" s="1">
        <f>IFERROR(__xludf.DUMMYFUNCTION("""COMPUTED_VALUE"""),350.21)</f>
        <v>350.21</v>
      </c>
      <c r="E939" s="1">
        <f>IFERROR(__xludf.DUMMYFUNCTION("""COMPUTED_VALUE"""),351.45)</f>
        <v>351.45</v>
      </c>
      <c r="F939" s="1">
        <f>IFERROR(__xludf.DUMMYFUNCTION("""COMPUTED_VALUE"""),2.2628124E7)</f>
        <v>22628124</v>
      </c>
    </row>
    <row r="940">
      <c r="A940" s="2">
        <f>IFERROR(__xludf.DUMMYFUNCTION("""COMPUTED_VALUE"""),32752.666666666668)</f>
        <v>32752.66667</v>
      </c>
      <c r="B940" s="1">
        <f>IFERROR(__xludf.DUMMYFUNCTION("""COMPUTED_VALUE"""),351.45)</f>
        <v>351.45</v>
      </c>
      <c r="C940" s="1">
        <f>IFERROR(__xludf.DUMMYFUNCTION("""COMPUTED_VALUE"""),353.9)</f>
        <v>353.9</v>
      </c>
      <c r="D940" s="1">
        <f>IFERROR(__xludf.DUMMYFUNCTION("""COMPUTED_VALUE"""),350.88)</f>
        <v>350.88</v>
      </c>
      <c r="E940" s="1">
        <f>IFERROR(__xludf.DUMMYFUNCTION("""COMPUTED_VALUE"""),353.73)</f>
        <v>353.73</v>
      </c>
      <c r="F940" s="1">
        <f>IFERROR(__xludf.DUMMYFUNCTION("""COMPUTED_VALUE"""),2.0828124E7)</f>
        <v>20828124</v>
      </c>
    </row>
    <row r="941">
      <c r="A941" s="2">
        <f>IFERROR(__xludf.DUMMYFUNCTION("""COMPUTED_VALUE"""),32756.666666666668)</f>
        <v>32756.66667</v>
      </c>
      <c r="B941" s="1">
        <f>IFERROR(__xludf.DUMMYFUNCTION("""COMPUTED_VALUE"""),353.73)</f>
        <v>353.73</v>
      </c>
      <c r="C941" s="1">
        <f>IFERROR(__xludf.DUMMYFUNCTION("""COMPUTED_VALUE"""),354.13)</f>
        <v>354.13</v>
      </c>
      <c r="D941" s="1">
        <f>IFERROR(__xludf.DUMMYFUNCTION("""COMPUTED_VALUE"""),351.82)</f>
        <v>351.82</v>
      </c>
      <c r="E941" s="1">
        <f>IFERROR(__xludf.DUMMYFUNCTION("""COMPUTED_VALUE"""),352.56)</f>
        <v>352.56</v>
      </c>
      <c r="F941" s="1">
        <f>IFERROR(__xludf.DUMMYFUNCTION("""COMPUTED_VALUE"""),2.2684376E7)</f>
        <v>22684376</v>
      </c>
    </row>
    <row r="942">
      <c r="A942" s="2">
        <f>IFERROR(__xludf.DUMMYFUNCTION("""COMPUTED_VALUE"""),32757.666666666668)</f>
        <v>32757.66667</v>
      </c>
      <c r="B942" s="1">
        <f>IFERROR(__xludf.DUMMYFUNCTION("""COMPUTED_VALUE"""),352.56)</f>
        <v>352.56</v>
      </c>
      <c r="C942" s="1">
        <f>IFERROR(__xludf.DUMMYFUNCTION("""COMPUTED_VALUE"""),352.56)</f>
        <v>352.56</v>
      </c>
      <c r="D942" s="1">
        <f>IFERROR(__xludf.DUMMYFUNCTION("""COMPUTED_VALUE"""),347.98)</f>
        <v>347.98</v>
      </c>
      <c r="E942" s="1">
        <f>IFERROR(__xludf.DUMMYFUNCTION("""COMPUTED_VALUE"""),349.24)</f>
        <v>349.24</v>
      </c>
      <c r="F942" s="1">
        <f>IFERROR(__xludf.DUMMYFUNCTION("""COMPUTED_VALUE"""),2.528125E7)</f>
        <v>25281250</v>
      </c>
    </row>
    <row r="943">
      <c r="A943" s="2">
        <f>IFERROR(__xludf.DUMMYFUNCTION("""COMPUTED_VALUE"""),32758.666666666668)</f>
        <v>32758.66667</v>
      </c>
      <c r="B943" s="1">
        <f>IFERROR(__xludf.DUMMYFUNCTION("""COMPUTED_VALUE"""),349.24)</f>
        <v>349.24</v>
      </c>
      <c r="C943" s="1">
        <f>IFERROR(__xludf.DUMMYFUNCTION("""COMPUTED_VALUE"""),350.31)</f>
        <v>350.31</v>
      </c>
      <c r="D943" s="1">
        <f>IFERROR(__xludf.DUMMYFUNCTION("""COMPUTED_VALUE"""),348.15)</f>
        <v>348.15</v>
      </c>
      <c r="E943" s="1">
        <f>IFERROR(__xludf.DUMMYFUNCTION("""COMPUTED_VALUE"""),348.35)</f>
        <v>348.35</v>
      </c>
      <c r="F943" s="1">
        <f>IFERROR(__xludf.DUMMYFUNCTION("""COMPUTED_VALUE"""),2.5025E7)</f>
        <v>25025000</v>
      </c>
    </row>
    <row r="944">
      <c r="A944" s="2">
        <f>IFERROR(__xludf.DUMMYFUNCTION("""COMPUTED_VALUE"""),32759.666666666668)</f>
        <v>32759.66667</v>
      </c>
      <c r="B944" s="1">
        <f>IFERROR(__xludf.DUMMYFUNCTION("""COMPUTED_VALUE"""),348.35)</f>
        <v>348.35</v>
      </c>
      <c r="C944" s="1">
        <f>IFERROR(__xludf.DUMMYFUNCTION("""COMPUTED_VALUE"""),349.18)</f>
        <v>349.18</v>
      </c>
      <c r="D944" s="1">
        <f>IFERROR(__xludf.DUMMYFUNCTION("""COMPUTED_VALUE"""),345.74)</f>
        <v>345.74</v>
      </c>
      <c r="E944" s="1">
        <f>IFERROR(__xludf.DUMMYFUNCTION("""COMPUTED_VALUE"""),348.76)</f>
        <v>348.76</v>
      </c>
      <c r="F944" s="1">
        <f>IFERROR(__xludf.DUMMYFUNCTION("""COMPUTED_VALUE"""),2.4076562E7)</f>
        <v>24076562</v>
      </c>
    </row>
    <row r="945">
      <c r="A945" s="2">
        <f>IFERROR(__xludf.DUMMYFUNCTION("""COMPUTED_VALUE"""),32762.666666666668)</f>
        <v>32762.66667</v>
      </c>
      <c r="B945" s="1">
        <f>IFERROR(__xludf.DUMMYFUNCTION("""COMPUTED_VALUE"""),348.76)</f>
        <v>348.76</v>
      </c>
      <c r="C945" s="1">
        <f>IFERROR(__xludf.DUMMYFUNCTION("""COMPUTED_VALUE"""),348.76)</f>
        <v>348.76</v>
      </c>
      <c r="D945" s="1">
        <f>IFERROR(__xludf.DUMMYFUNCTION("""COMPUTED_VALUE"""),345.91)</f>
        <v>345.91</v>
      </c>
      <c r="E945" s="1">
        <f>IFERROR(__xludf.DUMMYFUNCTION("""COMPUTED_VALUE"""),347.66)</f>
        <v>347.66</v>
      </c>
      <c r="F945" s="1">
        <f>IFERROR(__xludf.DUMMYFUNCTION("""COMPUTED_VALUE"""),1.9690624E7)</f>
        <v>19690624</v>
      </c>
    </row>
    <row r="946">
      <c r="A946" s="2">
        <f>IFERROR(__xludf.DUMMYFUNCTION("""COMPUTED_VALUE"""),32763.666666666668)</f>
        <v>32763.66667</v>
      </c>
      <c r="B946" s="1">
        <f>IFERROR(__xludf.DUMMYFUNCTION("""COMPUTED_VALUE"""),347.66)</f>
        <v>347.66</v>
      </c>
      <c r="C946" s="1">
        <f>IFERROR(__xludf.DUMMYFUNCTION("""COMPUTED_VALUE"""),349.46)</f>
        <v>349.46</v>
      </c>
      <c r="D946" s="1">
        <f>IFERROR(__xludf.DUMMYFUNCTION("""COMPUTED_VALUE"""),347.5)</f>
        <v>347.5</v>
      </c>
      <c r="E946" s="1">
        <f>IFERROR(__xludf.DUMMYFUNCTION("""COMPUTED_VALUE"""),348.7)</f>
        <v>348.7</v>
      </c>
      <c r="F946" s="1">
        <f>IFERROR(__xludf.DUMMYFUNCTION("""COMPUTED_VALUE"""),2.2209376E7)</f>
        <v>22209376</v>
      </c>
    </row>
    <row r="947">
      <c r="A947" s="2">
        <f>IFERROR(__xludf.DUMMYFUNCTION("""COMPUTED_VALUE"""),32764.666666666668)</f>
        <v>32764.66667</v>
      </c>
      <c r="B947" s="1">
        <f>IFERROR(__xludf.DUMMYFUNCTION("""COMPUTED_VALUE"""),348.7)</f>
        <v>348.7</v>
      </c>
      <c r="C947" s="1">
        <f>IFERROR(__xludf.DUMMYFUNCTION("""COMPUTED_VALUE"""),350.1)</f>
        <v>350.1</v>
      </c>
      <c r="D947" s="1">
        <f>IFERROR(__xludf.DUMMYFUNCTION("""COMPUTED_VALUE"""),345.46)</f>
        <v>345.46</v>
      </c>
      <c r="E947" s="1">
        <f>IFERROR(__xludf.DUMMYFUNCTION("""COMPUTED_VALUE"""),345.46)</f>
        <v>345.46</v>
      </c>
      <c r="F947" s="1">
        <f>IFERROR(__xludf.DUMMYFUNCTION("""COMPUTED_VALUE"""),2.7395312E7)</f>
        <v>27395312</v>
      </c>
    </row>
    <row r="948">
      <c r="A948" s="2">
        <f>IFERROR(__xludf.DUMMYFUNCTION("""COMPUTED_VALUE"""),32765.666666666668)</f>
        <v>32765.66667</v>
      </c>
      <c r="B948" s="1">
        <f>IFERROR(__xludf.DUMMYFUNCTION("""COMPUTED_VALUE"""),345.46)</f>
        <v>345.46</v>
      </c>
      <c r="C948" s="1">
        <f>IFERROR(__xludf.DUMMYFUNCTION("""COMPUTED_VALUE"""),345.61)</f>
        <v>345.61</v>
      </c>
      <c r="D948" s="1">
        <f>IFERROR(__xludf.DUMMYFUNCTION("""COMPUTED_VALUE"""),342.55)</f>
        <v>342.55</v>
      </c>
      <c r="E948" s="1">
        <f>IFERROR(__xludf.DUMMYFUNCTION("""COMPUTED_VALUE"""),343.16)</f>
        <v>343.16</v>
      </c>
      <c r="F948" s="1">
        <f>IFERROR(__xludf.DUMMYFUNCTION("""COMPUTED_VALUE"""),2.3320312E7)</f>
        <v>23320312</v>
      </c>
    </row>
    <row r="949">
      <c r="A949" s="2">
        <f>IFERROR(__xludf.DUMMYFUNCTION("""COMPUTED_VALUE"""),32766.666666666668)</f>
        <v>32766.66667</v>
      </c>
      <c r="B949" s="1">
        <f>IFERROR(__xludf.DUMMYFUNCTION("""COMPUTED_VALUE"""),343.16)</f>
        <v>343.16</v>
      </c>
      <c r="C949" s="1">
        <f>IFERROR(__xludf.DUMMYFUNCTION("""COMPUTED_VALUE"""),345.06)</f>
        <v>345.06</v>
      </c>
      <c r="D949" s="1">
        <f>IFERROR(__xludf.DUMMYFUNCTION("""COMPUTED_VALUE"""),341.37)</f>
        <v>341.37</v>
      </c>
      <c r="E949" s="1">
        <f>IFERROR(__xludf.DUMMYFUNCTION("""COMPUTED_VALUE"""),345.06)</f>
        <v>345.06</v>
      </c>
      <c r="F949" s="1">
        <f>IFERROR(__xludf.DUMMYFUNCTION("""COMPUTED_VALUE"""),3.6696876E7)</f>
        <v>36696876</v>
      </c>
    </row>
    <row r="950">
      <c r="A950" s="2">
        <f>IFERROR(__xludf.DUMMYFUNCTION("""COMPUTED_VALUE"""),32769.666666666664)</f>
        <v>32769.66667</v>
      </c>
      <c r="B950" s="1">
        <f>IFERROR(__xludf.DUMMYFUNCTION("""COMPUTED_VALUE"""),345.06)</f>
        <v>345.06</v>
      </c>
      <c r="C950" s="1">
        <f>IFERROR(__xludf.DUMMYFUNCTION("""COMPUTED_VALUE"""),346.84)</f>
        <v>346.84</v>
      </c>
      <c r="D950" s="1">
        <f>IFERROR(__xludf.DUMMYFUNCTION("""COMPUTED_VALUE"""),344.6)</f>
        <v>344.6</v>
      </c>
      <c r="E950" s="1">
        <f>IFERROR(__xludf.DUMMYFUNCTION("""COMPUTED_VALUE"""),346.73)</f>
        <v>346.73</v>
      </c>
      <c r="F950" s="1">
        <f>IFERROR(__xludf.DUMMYFUNCTION("""COMPUTED_VALUE"""),2.1396876E7)</f>
        <v>21396876</v>
      </c>
    </row>
    <row r="951">
      <c r="A951" s="2">
        <f>IFERROR(__xludf.DUMMYFUNCTION("""COMPUTED_VALUE"""),32770.666666666664)</f>
        <v>32770.66667</v>
      </c>
      <c r="B951" s="1">
        <f>IFERROR(__xludf.DUMMYFUNCTION("""COMPUTED_VALUE"""),346.73)</f>
        <v>346.73</v>
      </c>
      <c r="C951" s="1">
        <f>IFERROR(__xludf.DUMMYFUNCTION("""COMPUTED_VALUE"""),348.17)</f>
        <v>348.17</v>
      </c>
      <c r="D951" s="1">
        <f>IFERROR(__xludf.DUMMYFUNCTION("""COMPUTED_VALUE"""),346.44)</f>
        <v>346.44</v>
      </c>
      <c r="E951" s="1">
        <f>IFERROR(__xludf.DUMMYFUNCTION("""COMPUTED_VALUE"""),346.55)</f>
        <v>346.55</v>
      </c>
      <c r="F951" s="1">
        <f>IFERROR(__xludf.DUMMYFUNCTION("""COMPUTED_VALUE"""),2.2126562E7)</f>
        <v>22126562</v>
      </c>
    </row>
    <row r="952">
      <c r="A952" s="2">
        <f>IFERROR(__xludf.DUMMYFUNCTION("""COMPUTED_VALUE"""),32771.666666666664)</f>
        <v>32771.66667</v>
      </c>
      <c r="B952" s="1">
        <f>IFERROR(__xludf.DUMMYFUNCTION("""COMPUTED_VALUE"""),346.55)</f>
        <v>346.55</v>
      </c>
      <c r="C952" s="1">
        <f>IFERROR(__xludf.DUMMYFUNCTION("""COMPUTED_VALUE"""),347.27)</f>
        <v>347.27</v>
      </c>
      <c r="D952" s="1">
        <f>IFERROR(__xludf.DUMMYFUNCTION("""COMPUTED_VALUE"""),346.18)</f>
        <v>346.18</v>
      </c>
      <c r="E952" s="1">
        <f>IFERROR(__xludf.DUMMYFUNCTION("""COMPUTED_VALUE"""),346.47)</f>
        <v>346.47</v>
      </c>
      <c r="F952" s="1">
        <f>IFERROR(__xludf.DUMMYFUNCTION("""COMPUTED_VALUE"""),2.135E7)</f>
        <v>21350000</v>
      </c>
    </row>
    <row r="953">
      <c r="A953" s="2">
        <f>IFERROR(__xludf.DUMMYFUNCTION("""COMPUTED_VALUE"""),32772.666666666664)</f>
        <v>32772.66667</v>
      </c>
      <c r="B953" s="1">
        <f>IFERROR(__xludf.DUMMYFUNCTION("""COMPUTED_VALUE"""),346.47)</f>
        <v>346.47</v>
      </c>
      <c r="C953" s="1">
        <f>IFERROR(__xludf.DUMMYFUNCTION("""COMPUTED_VALUE"""),348.46)</f>
        <v>348.46</v>
      </c>
      <c r="D953" s="1">
        <f>IFERROR(__xludf.DUMMYFUNCTION("""COMPUTED_VALUE"""),344.96)</f>
        <v>344.96</v>
      </c>
      <c r="E953" s="1">
        <f>IFERROR(__xludf.DUMMYFUNCTION("""COMPUTED_VALUE"""),345.7)</f>
        <v>345.7</v>
      </c>
      <c r="F953" s="1">
        <f>IFERROR(__xludf.DUMMYFUNCTION("""COMPUTED_VALUE"""),2.2957812E7)</f>
        <v>22957812</v>
      </c>
    </row>
    <row r="954">
      <c r="A954" s="2">
        <f>IFERROR(__xludf.DUMMYFUNCTION("""COMPUTED_VALUE"""),32773.666666666664)</f>
        <v>32773.66667</v>
      </c>
      <c r="B954" s="1">
        <f>IFERROR(__xludf.DUMMYFUNCTION("""COMPUTED_VALUE"""),345.7)</f>
        <v>345.7</v>
      </c>
      <c r="C954" s="1">
        <f>IFERROR(__xludf.DUMMYFUNCTION("""COMPUTED_VALUE"""),347.57)</f>
        <v>347.57</v>
      </c>
      <c r="D954" s="1">
        <f>IFERROR(__xludf.DUMMYFUNCTION("""COMPUTED_VALUE"""),345.69)</f>
        <v>345.69</v>
      </c>
      <c r="E954" s="1">
        <f>IFERROR(__xludf.DUMMYFUNCTION("""COMPUTED_VALUE"""),347.05)</f>
        <v>347.05</v>
      </c>
      <c r="F954" s="1">
        <f>IFERROR(__xludf.DUMMYFUNCTION("""COMPUTED_VALUE"""),2.0835938E7)</f>
        <v>20835938</v>
      </c>
    </row>
    <row r="955">
      <c r="A955" s="2">
        <f>IFERROR(__xludf.DUMMYFUNCTION("""COMPUTED_VALUE"""),32776.666666666664)</f>
        <v>32776.66667</v>
      </c>
      <c r="B955" s="1">
        <f>IFERROR(__xludf.DUMMYFUNCTION("""COMPUTED_VALUE"""),347.05)</f>
        <v>347.05</v>
      </c>
      <c r="C955" s="1">
        <f>IFERROR(__xludf.DUMMYFUNCTION("""COMPUTED_VALUE"""),347.05)</f>
        <v>347.05</v>
      </c>
      <c r="D955" s="1">
        <f>IFERROR(__xludf.DUMMYFUNCTION("""COMPUTED_VALUE"""),343.7)</f>
        <v>343.7</v>
      </c>
      <c r="E955" s="1">
        <f>IFERROR(__xludf.DUMMYFUNCTION("""COMPUTED_VALUE"""),344.23)</f>
        <v>344.23</v>
      </c>
      <c r="F955" s="1">
        <f>IFERROR(__xludf.DUMMYFUNCTION("""COMPUTED_VALUE"""),1.8926562E7)</f>
        <v>18926562</v>
      </c>
    </row>
    <row r="956">
      <c r="A956" s="2">
        <f>IFERROR(__xludf.DUMMYFUNCTION("""COMPUTED_VALUE"""),32777.666666666664)</f>
        <v>32777.66667</v>
      </c>
      <c r="B956" s="1">
        <f>IFERROR(__xludf.DUMMYFUNCTION("""COMPUTED_VALUE"""),344.23)</f>
        <v>344.23</v>
      </c>
      <c r="C956" s="1">
        <f>IFERROR(__xludf.DUMMYFUNCTION("""COMPUTED_VALUE"""),347.02)</f>
        <v>347.02</v>
      </c>
      <c r="D956" s="1">
        <f>IFERROR(__xludf.DUMMYFUNCTION("""COMPUTED_VALUE"""),344.13)</f>
        <v>344.13</v>
      </c>
      <c r="E956" s="1">
        <f>IFERROR(__xludf.DUMMYFUNCTION("""COMPUTED_VALUE"""),344.33)</f>
        <v>344.33</v>
      </c>
      <c r="F956" s="1">
        <f>IFERROR(__xludf.DUMMYFUNCTION("""COMPUTED_VALUE"""),2.4742188E7)</f>
        <v>24742188</v>
      </c>
    </row>
    <row r="957">
      <c r="A957" s="2">
        <f>IFERROR(__xludf.DUMMYFUNCTION("""COMPUTED_VALUE"""),32778.666666666664)</f>
        <v>32778.66667</v>
      </c>
      <c r="B957" s="1">
        <f>IFERROR(__xludf.DUMMYFUNCTION("""COMPUTED_VALUE"""),344.33)</f>
        <v>344.33</v>
      </c>
      <c r="C957" s="1">
        <f>IFERROR(__xludf.DUMMYFUNCTION("""COMPUTED_VALUE"""),345.47)</f>
        <v>345.47</v>
      </c>
      <c r="D957" s="1">
        <f>IFERROR(__xludf.DUMMYFUNCTION("""COMPUTED_VALUE"""),342.85)</f>
        <v>342.85</v>
      </c>
      <c r="E957" s="1">
        <f>IFERROR(__xludf.DUMMYFUNCTION("""COMPUTED_VALUE"""),345.1)</f>
        <v>345.1</v>
      </c>
      <c r="F957" s="1">
        <f>IFERROR(__xludf.DUMMYFUNCTION("""COMPUTED_VALUE"""),2.475E7)</f>
        <v>24750000</v>
      </c>
    </row>
    <row r="958">
      <c r="A958" s="2">
        <f>IFERROR(__xludf.DUMMYFUNCTION("""COMPUTED_VALUE"""),32779.666666666664)</f>
        <v>32779.66667</v>
      </c>
      <c r="B958" s="1">
        <f>IFERROR(__xludf.DUMMYFUNCTION("""COMPUTED_VALUE"""),345.1)</f>
        <v>345.1</v>
      </c>
      <c r="C958" s="1">
        <f>IFERROR(__xludf.DUMMYFUNCTION("""COMPUTED_VALUE"""),348.61)</f>
        <v>348.61</v>
      </c>
      <c r="D958" s="1">
        <f>IFERROR(__xludf.DUMMYFUNCTION("""COMPUTED_VALUE"""),345.1)</f>
        <v>345.1</v>
      </c>
      <c r="E958" s="1">
        <f>IFERROR(__xludf.DUMMYFUNCTION("""COMPUTED_VALUE"""),348.6)</f>
        <v>348.6</v>
      </c>
      <c r="F958" s="1">
        <f>IFERROR(__xludf.DUMMYFUNCTION("""COMPUTED_VALUE"""),2.56625E7)</f>
        <v>25662500</v>
      </c>
    </row>
    <row r="959">
      <c r="A959" s="2">
        <f>IFERROR(__xludf.DUMMYFUNCTION("""COMPUTED_VALUE"""),32780.666666666664)</f>
        <v>32780.66667</v>
      </c>
      <c r="B959" s="1">
        <f>IFERROR(__xludf.DUMMYFUNCTION("""COMPUTED_VALUE"""),348.6)</f>
        <v>348.6</v>
      </c>
      <c r="C959" s="1">
        <f>IFERROR(__xludf.DUMMYFUNCTION("""COMPUTED_VALUE"""),350.31)</f>
        <v>350.31</v>
      </c>
      <c r="D959" s="1">
        <f>IFERROR(__xludf.DUMMYFUNCTION("""COMPUTED_VALUE"""),348.12)</f>
        <v>348.12</v>
      </c>
      <c r="E959" s="1">
        <f>IFERROR(__xludf.DUMMYFUNCTION("""COMPUTED_VALUE"""),349.15)</f>
        <v>349.15</v>
      </c>
      <c r="F959" s="1">
        <f>IFERROR(__xludf.DUMMYFUNCTION("""COMPUTED_VALUE"""),2.4265624E7)</f>
        <v>24265624</v>
      </c>
    </row>
    <row r="960">
      <c r="A960" s="2">
        <f>IFERROR(__xludf.DUMMYFUNCTION("""COMPUTED_VALUE"""),32783.666666666664)</f>
        <v>32783.66667</v>
      </c>
      <c r="B960" s="1">
        <f>IFERROR(__xludf.DUMMYFUNCTION("""COMPUTED_VALUE"""),349.15)</f>
        <v>349.15</v>
      </c>
      <c r="C960" s="1">
        <f>IFERROR(__xludf.DUMMYFUNCTION("""COMPUTED_VALUE"""),350.99)</f>
        <v>350.99</v>
      </c>
      <c r="D960" s="1">
        <f>IFERROR(__xludf.DUMMYFUNCTION("""COMPUTED_VALUE"""),348.35)</f>
        <v>348.35</v>
      </c>
      <c r="E960" s="1">
        <f>IFERROR(__xludf.DUMMYFUNCTION("""COMPUTED_VALUE"""),350.87)</f>
        <v>350.87</v>
      </c>
      <c r="F960" s="1">
        <f>IFERROR(__xludf.DUMMYFUNCTION("""COMPUTED_VALUE"""),1.9907812E7)</f>
        <v>19907812</v>
      </c>
    </row>
    <row r="961">
      <c r="A961" s="2">
        <f>IFERROR(__xludf.DUMMYFUNCTION("""COMPUTED_VALUE"""),32784.666666666664)</f>
        <v>32784.66667</v>
      </c>
      <c r="B961" s="1">
        <f>IFERROR(__xludf.DUMMYFUNCTION("""COMPUTED_VALUE"""),350.87)</f>
        <v>350.87</v>
      </c>
      <c r="C961" s="1">
        <f>IFERROR(__xludf.DUMMYFUNCTION("""COMPUTED_VALUE"""),354.73)</f>
        <v>354.73</v>
      </c>
      <c r="D961" s="1">
        <f>IFERROR(__xludf.DUMMYFUNCTION("""COMPUTED_VALUE"""),350.85)</f>
        <v>350.85</v>
      </c>
      <c r="E961" s="1">
        <f>IFERROR(__xludf.DUMMYFUNCTION("""COMPUTED_VALUE"""),354.71)</f>
        <v>354.71</v>
      </c>
      <c r="F961" s="1">
        <f>IFERROR(__xludf.DUMMYFUNCTION("""COMPUTED_VALUE"""),2.8523438E7)</f>
        <v>28523438</v>
      </c>
    </row>
    <row r="962">
      <c r="A962" s="2">
        <f>IFERROR(__xludf.DUMMYFUNCTION("""COMPUTED_VALUE"""),32785.666666666664)</f>
        <v>32785.66667</v>
      </c>
      <c r="B962" s="1">
        <f>IFERROR(__xludf.DUMMYFUNCTION("""COMPUTED_VALUE"""),354.71)</f>
        <v>354.71</v>
      </c>
      <c r="C962" s="1">
        <f>IFERROR(__xludf.DUMMYFUNCTION("""COMPUTED_VALUE"""),357.49)</f>
        <v>357.49</v>
      </c>
      <c r="D962" s="1">
        <f>IFERROR(__xludf.DUMMYFUNCTION("""COMPUTED_VALUE"""),354.71)</f>
        <v>354.71</v>
      </c>
      <c r="E962" s="1">
        <f>IFERROR(__xludf.DUMMYFUNCTION("""COMPUTED_VALUE"""),356.94)</f>
        <v>356.94</v>
      </c>
      <c r="F962" s="1">
        <f>IFERROR(__xludf.DUMMYFUNCTION("""COMPUTED_VALUE"""),3.0404688E7)</f>
        <v>30404688</v>
      </c>
    </row>
    <row r="963">
      <c r="A963" s="2">
        <f>IFERROR(__xludf.DUMMYFUNCTION("""COMPUTED_VALUE"""),32786.666666666664)</f>
        <v>32786.66667</v>
      </c>
      <c r="B963" s="1">
        <f>IFERROR(__xludf.DUMMYFUNCTION("""COMPUTED_VALUE"""),356.94)</f>
        <v>356.94</v>
      </c>
      <c r="C963" s="1">
        <f>IFERROR(__xludf.DUMMYFUNCTION("""COMPUTED_VALUE"""),357.63)</f>
        <v>357.63</v>
      </c>
      <c r="D963" s="1">
        <f>IFERROR(__xludf.DUMMYFUNCTION("""COMPUTED_VALUE"""),356.28)</f>
        <v>356.28</v>
      </c>
      <c r="E963" s="1">
        <f>IFERROR(__xludf.DUMMYFUNCTION("""COMPUTED_VALUE"""),356.97)</f>
        <v>356.97</v>
      </c>
      <c r="F963" s="1">
        <f>IFERROR(__xludf.DUMMYFUNCTION("""COMPUTED_VALUE"""),2.7795312E7)</f>
        <v>27795312</v>
      </c>
    </row>
    <row r="964">
      <c r="A964" s="2">
        <f>IFERROR(__xludf.DUMMYFUNCTION("""COMPUTED_VALUE"""),32787.666666666664)</f>
        <v>32787.66667</v>
      </c>
      <c r="B964" s="1">
        <f>IFERROR(__xludf.DUMMYFUNCTION("""COMPUTED_VALUE"""),356.97)</f>
        <v>356.97</v>
      </c>
      <c r="C964" s="1">
        <f>IFERROR(__xludf.DUMMYFUNCTION("""COMPUTED_VALUE"""),359.05)</f>
        <v>359.05</v>
      </c>
      <c r="D964" s="1">
        <f>IFERROR(__xludf.DUMMYFUNCTION("""COMPUTED_VALUE"""),356.97)</f>
        <v>356.97</v>
      </c>
      <c r="E964" s="1">
        <f>IFERROR(__xludf.DUMMYFUNCTION("""COMPUTED_VALUE"""),358.78)</f>
        <v>358.78</v>
      </c>
      <c r="F964" s="1">
        <f>IFERROR(__xludf.DUMMYFUNCTION("""COMPUTED_VALUE"""),2.695625E7)</f>
        <v>26956250</v>
      </c>
    </row>
    <row r="965">
      <c r="A965" s="2">
        <f>IFERROR(__xludf.DUMMYFUNCTION("""COMPUTED_VALUE"""),32790.666666666664)</f>
        <v>32790.66667</v>
      </c>
      <c r="B965" s="1">
        <f>IFERROR(__xludf.DUMMYFUNCTION("""COMPUTED_VALUE"""),358.76)</f>
        <v>358.76</v>
      </c>
      <c r="C965" s="1">
        <f>IFERROR(__xludf.DUMMYFUNCTION("""COMPUTED_VALUE"""),359.86)</f>
        <v>359.86</v>
      </c>
      <c r="D965" s="1">
        <f>IFERROR(__xludf.DUMMYFUNCTION("""COMPUTED_VALUE"""),358.06)</f>
        <v>358.06</v>
      </c>
      <c r="E965" s="1">
        <f>IFERROR(__xludf.DUMMYFUNCTION("""COMPUTED_VALUE"""),359.8)</f>
        <v>359.8</v>
      </c>
      <c r="F965" s="1">
        <f>IFERROR(__xludf.DUMMYFUNCTION("""COMPUTED_VALUE"""),1.3564062E7)</f>
        <v>13564062</v>
      </c>
    </row>
    <row r="966">
      <c r="A966" s="2">
        <f>IFERROR(__xludf.DUMMYFUNCTION("""COMPUTED_VALUE"""),32791.666666666664)</f>
        <v>32791.66667</v>
      </c>
      <c r="B966" s="1">
        <f>IFERROR(__xludf.DUMMYFUNCTION("""COMPUTED_VALUE"""),359.8)</f>
        <v>359.8</v>
      </c>
      <c r="C966" s="1">
        <f>IFERROR(__xludf.DUMMYFUNCTION("""COMPUTED_VALUE"""),360.44)</f>
        <v>360.44</v>
      </c>
      <c r="D966" s="1">
        <f>IFERROR(__xludf.DUMMYFUNCTION("""COMPUTED_VALUE"""),358.11)</f>
        <v>358.11</v>
      </c>
      <c r="E966" s="1">
        <f>IFERROR(__xludf.DUMMYFUNCTION("""COMPUTED_VALUE"""),359.13)</f>
        <v>359.13</v>
      </c>
      <c r="F966" s="1">
        <f>IFERROR(__xludf.DUMMYFUNCTION("""COMPUTED_VALUE"""),2.305625E7)</f>
        <v>23056250</v>
      </c>
    </row>
    <row r="967">
      <c r="A967" s="2">
        <f>IFERROR(__xludf.DUMMYFUNCTION("""COMPUTED_VALUE"""),32792.666666666664)</f>
        <v>32792.66667</v>
      </c>
      <c r="B967" s="1">
        <f>IFERROR(__xludf.DUMMYFUNCTION("""COMPUTED_VALUE"""),359.13)</f>
        <v>359.13</v>
      </c>
      <c r="C967" s="1">
        <f>IFERROR(__xludf.DUMMYFUNCTION("""COMPUTED_VALUE"""),359.13)</f>
        <v>359.13</v>
      </c>
      <c r="D967" s="1">
        <f>IFERROR(__xludf.DUMMYFUNCTION("""COMPUTED_VALUE"""),356.08)</f>
        <v>356.08</v>
      </c>
      <c r="E967" s="1">
        <f>IFERROR(__xludf.DUMMYFUNCTION("""COMPUTED_VALUE"""),356.99)</f>
        <v>356.99</v>
      </c>
      <c r="F967" s="1">
        <f>IFERROR(__xludf.DUMMYFUNCTION("""COMPUTED_VALUE"""),2.5635938E7)</f>
        <v>25635938</v>
      </c>
    </row>
    <row r="968">
      <c r="A968" s="2">
        <f>IFERROR(__xludf.DUMMYFUNCTION("""COMPUTED_VALUE"""),32793.666666666664)</f>
        <v>32793.66667</v>
      </c>
      <c r="B968" s="1">
        <f>IFERROR(__xludf.DUMMYFUNCTION("""COMPUTED_VALUE"""),356.99)</f>
        <v>356.99</v>
      </c>
      <c r="C968" s="1">
        <f>IFERROR(__xludf.DUMMYFUNCTION("""COMPUTED_VALUE"""),356.99)</f>
        <v>356.99</v>
      </c>
      <c r="D968" s="1">
        <f>IFERROR(__xludf.DUMMYFUNCTION("""COMPUTED_VALUE"""),354.91)</f>
        <v>354.91</v>
      </c>
      <c r="E968" s="1">
        <f>IFERROR(__xludf.DUMMYFUNCTION("""COMPUTED_VALUE"""),355.39)</f>
        <v>355.39</v>
      </c>
      <c r="F968" s="1">
        <f>IFERROR(__xludf.DUMMYFUNCTION("""COMPUTED_VALUE"""),2.501875E7)</f>
        <v>25018750</v>
      </c>
    </row>
    <row r="969">
      <c r="A969" s="2">
        <f>IFERROR(__xludf.DUMMYFUNCTION("""COMPUTED_VALUE"""),32794.666666666664)</f>
        <v>32794.66667</v>
      </c>
      <c r="B969" s="1">
        <f>IFERROR(__xludf.DUMMYFUNCTION("""COMPUTED_VALUE"""),355.39)</f>
        <v>355.39</v>
      </c>
      <c r="C969" s="1">
        <f>IFERROR(__xludf.DUMMYFUNCTION("""COMPUTED_VALUE"""),355.53)</f>
        <v>355.53</v>
      </c>
      <c r="D969" s="1">
        <f>IFERROR(__xludf.DUMMYFUNCTION("""COMPUTED_VALUE"""),332.81)</f>
        <v>332.81</v>
      </c>
      <c r="E969" s="1">
        <f>IFERROR(__xludf.DUMMYFUNCTION("""COMPUTED_VALUE"""),333.65)</f>
        <v>333.65</v>
      </c>
      <c r="F969" s="1">
        <f>IFERROR(__xludf.DUMMYFUNCTION("""COMPUTED_VALUE"""),3.9245312E7)</f>
        <v>39245312</v>
      </c>
    </row>
    <row r="970">
      <c r="A970" s="2">
        <f>IFERROR(__xludf.DUMMYFUNCTION("""COMPUTED_VALUE"""),32797.666666666664)</f>
        <v>32797.66667</v>
      </c>
      <c r="B970" s="1">
        <f>IFERROR(__xludf.DUMMYFUNCTION("""COMPUTED_VALUE"""),333.65)</f>
        <v>333.65</v>
      </c>
      <c r="C970" s="1">
        <f>IFERROR(__xludf.DUMMYFUNCTION("""COMPUTED_VALUE"""),342.87)</f>
        <v>342.87</v>
      </c>
      <c r="D970" s="1">
        <f>IFERROR(__xludf.DUMMYFUNCTION("""COMPUTED_VALUE"""),327.12)</f>
        <v>327.12</v>
      </c>
      <c r="E970" s="1">
        <f>IFERROR(__xludf.DUMMYFUNCTION("""COMPUTED_VALUE"""),342.85)</f>
        <v>342.85</v>
      </c>
      <c r="F970" s="1">
        <f>IFERROR(__xludf.DUMMYFUNCTION("""COMPUTED_VALUE"""),6.5045312E7)</f>
        <v>65045312</v>
      </c>
    </row>
    <row r="971">
      <c r="A971" s="2">
        <f>IFERROR(__xludf.DUMMYFUNCTION("""COMPUTED_VALUE"""),32798.666666666664)</f>
        <v>32798.66667</v>
      </c>
      <c r="B971" s="1">
        <f>IFERROR(__xludf.DUMMYFUNCTION("""COMPUTED_VALUE"""),342.84)</f>
        <v>342.84</v>
      </c>
      <c r="C971" s="1">
        <f>IFERROR(__xludf.DUMMYFUNCTION("""COMPUTED_VALUE"""),342.85)</f>
        <v>342.85</v>
      </c>
      <c r="D971" s="1">
        <f>IFERROR(__xludf.DUMMYFUNCTION("""COMPUTED_VALUE"""),335.69)</f>
        <v>335.69</v>
      </c>
      <c r="E971" s="1">
        <f>IFERROR(__xludf.DUMMYFUNCTION("""COMPUTED_VALUE"""),341.16)</f>
        <v>341.16</v>
      </c>
      <c r="F971" s="1">
        <f>IFERROR(__xludf.DUMMYFUNCTION("""COMPUTED_VALUE"""),3.5010936E7)</f>
        <v>35010936</v>
      </c>
    </row>
    <row r="972">
      <c r="A972" s="2">
        <f>IFERROR(__xludf.DUMMYFUNCTION("""COMPUTED_VALUE"""),32799.666666666664)</f>
        <v>32799.66667</v>
      </c>
      <c r="B972" s="1">
        <f>IFERROR(__xludf.DUMMYFUNCTION("""COMPUTED_VALUE"""),341.16)</f>
        <v>341.16</v>
      </c>
      <c r="C972" s="1">
        <f>IFERROR(__xludf.DUMMYFUNCTION("""COMPUTED_VALUE"""),343.39)</f>
        <v>343.39</v>
      </c>
      <c r="D972" s="1">
        <f>IFERROR(__xludf.DUMMYFUNCTION("""COMPUTED_VALUE"""),339.03)</f>
        <v>339.03</v>
      </c>
      <c r="E972" s="1">
        <f>IFERROR(__xludf.DUMMYFUNCTION("""COMPUTED_VALUE"""),341.76)</f>
        <v>341.76</v>
      </c>
      <c r="F972" s="1">
        <f>IFERROR(__xludf.DUMMYFUNCTION("""COMPUTED_VALUE"""),2.6078124E7)</f>
        <v>26078124</v>
      </c>
    </row>
    <row r="973">
      <c r="A973" s="2">
        <f>IFERROR(__xludf.DUMMYFUNCTION("""COMPUTED_VALUE"""),32800.666666666664)</f>
        <v>32800.66667</v>
      </c>
      <c r="B973" s="1">
        <f>IFERROR(__xludf.DUMMYFUNCTION("""COMPUTED_VALUE"""),341.76)</f>
        <v>341.76</v>
      </c>
      <c r="C973" s="1">
        <f>IFERROR(__xludf.DUMMYFUNCTION("""COMPUTED_VALUE"""),348.82)</f>
        <v>348.82</v>
      </c>
      <c r="D973" s="1">
        <f>IFERROR(__xludf.DUMMYFUNCTION("""COMPUTED_VALUE"""),341.76)</f>
        <v>341.76</v>
      </c>
      <c r="E973" s="1">
        <f>IFERROR(__xludf.DUMMYFUNCTION("""COMPUTED_VALUE"""),347.13)</f>
        <v>347.13</v>
      </c>
      <c r="F973" s="1">
        <f>IFERROR(__xludf.DUMMYFUNCTION("""COMPUTED_VALUE"""),3.095625E7)</f>
        <v>30956250</v>
      </c>
    </row>
    <row r="974">
      <c r="A974" s="2">
        <f>IFERROR(__xludf.DUMMYFUNCTION("""COMPUTED_VALUE"""),32801.666666666664)</f>
        <v>32801.66667</v>
      </c>
      <c r="B974" s="1">
        <f>IFERROR(__xludf.DUMMYFUNCTION("""COMPUTED_VALUE"""),347.04)</f>
        <v>347.04</v>
      </c>
      <c r="C974" s="1">
        <f>IFERROR(__xludf.DUMMYFUNCTION("""COMPUTED_VALUE"""),347.57)</f>
        <v>347.57</v>
      </c>
      <c r="D974" s="1">
        <f>IFERROR(__xludf.DUMMYFUNCTION("""COMPUTED_VALUE"""),344.47)</f>
        <v>344.47</v>
      </c>
      <c r="E974" s="1">
        <f>IFERROR(__xludf.DUMMYFUNCTION("""COMPUTED_VALUE"""),347.16)</f>
        <v>347.16</v>
      </c>
      <c r="F974" s="1">
        <f>IFERROR(__xludf.DUMMYFUNCTION("""COMPUTED_VALUE"""),2.5754688E7)</f>
        <v>25754688</v>
      </c>
    </row>
    <row r="975">
      <c r="A975" s="2">
        <f>IFERROR(__xludf.DUMMYFUNCTION("""COMPUTED_VALUE"""),32804.666666666664)</f>
        <v>32804.66667</v>
      </c>
      <c r="B975" s="1">
        <f>IFERROR(__xludf.DUMMYFUNCTION("""COMPUTED_VALUE"""),347.11)</f>
        <v>347.11</v>
      </c>
      <c r="C975" s="1">
        <f>IFERROR(__xludf.DUMMYFUNCTION("""COMPUTED_VALUE"""),348.19)</f>
        <v>348.19</v>
      </c>
      <c r="D975" s="1">
        <f>IFERROR(__xludf.DUMMYFUNCTION("""COMPUTED_VALUE"""),344.22)</f>
        <v>344.22</v>
      </c>
      <c r="E975" s="1">
        <f>IFERROR(__xludf.DUMMYFUNCTION("""COMPUTED_VALUE"""),344.83)</f>
        <v>344.83</v>
      </c>
      <c r="F975" s="1">
        <f>IFERROR(__xludf.DUMMYFUNCTION("""COMPUTED_VALUE"""),2.1228124E7)</f>
        <v>21228124</v>
      </c>
    </row>
    <row r="976">
      <c r="A976" s="2">
        <f>IFERROR(__xludf.DUMMYFUNCTION("""COMPUTED_VALUE"""),32805.666666666664)</f>
        <v>32805.66667</v>
      </c>
      <c r="B976" s="1">
        <f>IFERROR(__xludf.DUMMYFUNCTION("""COMPUTED_VALUE"""),344.83)</f>
        <v>344.83</v>
      </c>
      <c r="C976" s="1">
        <f>IFERROR(__xludf.DUMMYFUNCTION("""COMPUTED_VALUE"""),344.83)</f>
        <v>344.83</v>
      </c>
      <c r="D976" s="1">
        <f>IFERROR(__xludf.DUMMYFUNCTION("""COMPUTED_VALUE"""),335.13)</f>
        <v>335.13</v>
      </c>
      <c r="E976" s="1">
        <f>IFERROR(__xludf.DUMMYFUNCTION("""COMPUTED_VALUE"""),343.7)</f>
        <v>343.7</v>
      </c>
      <c r="F976" s="1">
        <f>IFERROR(__xludf.DUMMYFUNCTION("""COMPUTED_VALUE"""),3.7181248E7)</f>
        <v>37181248</v>
      </c>
    </row>
    <row r="977">
      <c r="A977" s="2">
        <f>IFERROR(__xludf.DUMMYFUNCTION("""COMPUTED_VALUE"""),32806.666666666664)</f>
        <v>32806.66667</v>
      </c>
      <c r="B977" s="1">
        <f>IFERROR(__xludf.DUMMYFUNCTION("""COMPUTED_VALUE"""),343.7)</f>
        <v>343.7</v>
      </c>
      <c r="C977" s="1">
        <f>IFERROR(__xludf.DUMMYFUNCTION("""COMPUTED_VALUE"""),344.51)</f>
        <v>344.51</v>
      </c>
      <c r="D977" s="1">
        <f>IFERROR(__xludf.DUMMYFUNCTION("""COMPUTED_VALUE"""),341.96)</f>
        <v>341.96</v>
      </c>
      <c r="E977" s="1">
        <f>IFERROR(__xludf.DUMMYFUNCTION("""COMPUTED_VALUE"""),342.5)</f>
        <v>342.5</v>
      </c>
      <c r="F977" s="1">
        <f>IFERROR(__xludf.DUMMYFUNCTION("""COMPUTED_VALUE"""),2.4320312E7)</f>
        <v>24320312</v>
      </c>
    </row>
    <row r="978">
      <c r="A978" s="2">
        <f>IFERROR(__xludf.DUMMYFUNCTION("""COMPUTED_VALUE"""),32807.666666666664)</f>
        <v>32807.66667</v>
      </c>
      <c r="B978" s="1">
        <f>IFERROR(__xludf.DUMMYFUNCTION("""COMPUTED_VALUE"""),342.5)</f>
        <v>342.5</v>
      </c>
      <c r="C978" s="1">
        <f>IFERROR(__xludf.DUMMYFUNCTION("""COMPUTED_VALUE"""),342.5)</f>
        <v>342.5</v>
      </c>
      <c r="D978" s="1">
        <f>IFERROR(__xludf.DUMMYFUNCTION("""COMPUTED_VALUE"""),337.2)</f>
        <v>337.2</v>
      </c>
      <c r="E978" s="1">
        <f>IFERROR(__xludf.DUMMYFUNCTION("""COMPUTED_VALUE"""),337.93)</f>
        <v>337.93</v>
      </c>
      <c r="F978" s="1">
        <f>IFERROR(__xludf.DUMMYFUNCTION("""COMPUTED_VALUE"""),2.738125E7)</f>
        <v>27381250</v>
      </c>
    </row>
    <row r="979">
      <c r="A979" s="2">
        <f>IFERROR(__xludf.DUMMYFUNCTION("""COMPUTED_VALUE"""),32808.666666666664)</f>
        <v>32808.66667</v>
      </c>
      <c r="B979" s="1">
        <f>IFERROR(__xludf.DUMMYFUNCTION("""COMPUTED_VALUE"""),337.93)</f>
        <v>337.93</v>
      </c>
      <c r="C979" s="1">
        <f>IFERROR(__xludf.DUMMYFUNCTION("""COMPUTED_VALUE"""),337.97)</f>
        <v>337.97</v>
      </c>
      <c r="D979" s="1">
        <f>IFERROR(__xludf.DUMMYFUNCTION("""COMPUTED_VALUE"""),333.26)</f>
        <v>333.26</v>
      </c>
      <c r="E979" s="1">
        <f>IFERROR(__xludf.DUMMYFUNCTION("""COMPUTED_VALUE"""),335.06)</f>
        <v>335.06</v>
      </c>
      <c r="F979" s="1">
        <f>IFERROR(__xludf.DUMMYFUNCTION("""COMPUTED_VALUE"""),2.6614062E7)</f>
        <v>26614062</v>
      </c>
    </row>
    <row r="980">
      <c r="A980" s="2">
        <f>IFERROR(__xludf.DUMMYFUNCTION("""COMPUTED_VALUE"""),32811.666666666664)</f>
        <v>32811.66667</v>
      </c>
      <c r="B980" s="1">
        <f>IFERROR(__xludf.DUMMYFUNCTION("""COMPUTED_VALUE"""),335.06)</f>
        <v>335.06</v>
      </c>
      <c r="C980" s="1">
        <f>IFERROR(__xludf.DUMMYFUNCTION("""COMPUTED_VALUE"""),337.04)</f>
        <v>337.04</v>
      </c>
      <c r="D980" s="1">
        <f>IFERROR(__xludf.DUMMYFUNCTION("""COMPUTED_VALUE"""),334.48)</f>
        <v>334.48</v>
      </c>
      <c r="E980" s="1">
        <f>IFERROR(__xludf.DUMMYFUNCTION("""COMPUTED_VALUE"""),335.07)</f>
        <v>335.07</v>
      </c>
      <c r="F980" s="1">
        <f>IFERROR(__xludf.DUMMYFUNCTION("""COMPUTED_VALUE"""),1.9785938E7)</f>
        <v>19785938</v>
      </c>
    </row>
    <row r="981">
      <c r="A981" s="2">
        <f>IFERROR(__xludf.DUMMYFUNCTION("""COMPUTED_VALUE"""),32812.666666666664)</f>
        <v>32812.66667</v>
      </c>
      <c r="B981" s="1">
        <f>IFERROR(__xludf.DUMMYFUNCTION("""COMPUTED_VALUE"""),335.08)</f>
        <v>335.08</v>
      </c>
      <c r="C981" s="1">
        <f>IFERROR(__xludf.DUMMYFUNCTION("""COMPUTED_VALUE"""),340.86)</f>
        <v>340.86</v>
      </c>
      <c r="D981" s="1">
        <f>IFERROR(__xludf.DUMMYFUNCTION("""COMPUTED_VALUE"""),335.07)</f>
        <v>335.07</v>
      </c>
      <c r="E981" s="1">
        <f>IFERROR(__xludf.DUMMYFUNCTION("""COMPUTED_VALUE"""),340.36)</f>
        <v>340.36</v>
      </c>
      <c r="F981" s="1">
        <f>IFERROR(__xludf.DUMMYFUNCTION("""COMPUTED_VALUE"""),2.7515624E7)</f>
        <v>27515624</v>
      </c>
    </row>
    <row r="982">
      <c r="A982" s="2">
        <f>IFERROR(__xludf.DUMMYFUNCTION("""COMPUTED_VALUE"""),32813.666666666664)</f>
        <v>32813.66667</v>
      </c>
      <c r="B982" s="1">
        <f>IFERROR(__xludf.DUMMYFUNCTION("""COMPUTED_VALUE"""),340.36)</f>
        <v>340.36</v>
      </c>
      <c r="C982" s="1">
        <f>IFERROR(__xludf.DUMMYFUNCTION("""COMPUTED_VALUE"""),341.74)</f>
        <v>341.74</v>
      </c>
      <c r="D982" s="1">
        <f>IFERROR(__xludf.DUMMYFUNCTION("""COMPUTED_VALUE"""),339.79)</f>
        <v>339.79</v>
      </c>
      <c r="E982" s="1">
        <f>IFERROR(__xludf.DUMMYFUNCTION("""COMPUTED_VALUE"""),341.2)</f>
        <v>341.2</v>
      </c>
      <c r="F982" s="1">
        <f>IFERROR(__xludf.DUMMYFUNCTION("""COMPUTED_VALUE"""),2.41E7)</f>
        <v>24100000</v>
      </c>
    </row>
    <row r="983">
      <c r="A983" s="2">
        <f>IFERROR(__xludf.DUMMYFUNCTION("""COMPUTED_VALUE"""),32814.666666666664)</f>
        <v>32814.66667</v>
      </c>
      <c r="B983" s="1">
        <f>IFERROR(__xludf.DUMMYFUNCTION("""COMPUTED_VALUE"""),341.2)</f>
        <v>341.2</v>
      </c>
      <c r="C983" s="1">
        <f>IFERROR(__xludf.DUMMYFUNCTION("""COMPUTED_VALUE"""),341.2)</f>
        <v>341.2</v>
      </c>
      <c r="D983" s="1">
        <f>IFERROR(__xludf.DUMMYFUNCTION("""COMPUTED_VALUE"""),336.61)</f>
        <v>336.61</v>
      </c>
      <c r="E983" s="1">
        <f>IFERROR(__xludf.DUMMYFUNCTION("""COMPUTED_VALUE"""),338.48)</f>
        <v>338.48</v>
      </c>
      <c r="F983" s="1">
        <f>IFERROR(__xludf.DUMMYFUNCTION("""COMPUTED_VALUE"""),2.381875E7)</f>
        <v>23818750</v>
      </c>
    </row>
    <row r="984">
      <c r="A984" s="2">
        <f>IFERROR(__xludf.DUMMYFUNCTION("""COMPUTED_VALUE"""),32815.666666666664)</f>
        <v>32815.66667</v>
      </c>
      <c r="B984" s="1">
        <f>IFERROR(__xludf.DUMMYFUNCTION("""COMPUTED_VALUE"""),338.48)</f>
        <v>338.48</v>
      </c>
      <c r="C984" s="1">
        <f>IFERROR(__xludf.DUMMYFUNCTION("""COMPUTED_VALUE"""),339.67)</f>
        <v>339.67</v>
      </c>
      <c r="D984" s="1">
        <f>IFERROR(__xludf.DUMMYFUNCTION("""COMPUTED_VALUE"""),337.37)</f>
        <v>337.37</v>
      </c>
      <c r="E984" s="1">
        <f>IFERROR(__xludf.DUMMYFUNCTION("""COMPUTED_VALUE"""),337.62)</f>
        <v>337.62</v>
      </c>
      <c r="F984" s="1">
        <f>IFERROR(__xludf.DUMMYFUNCTION("""COMPUTED_VALUE"""),2.0546876E7)</f>
        <v>20546876</v>
      </c>
    </row>
    <row r="985">
      <c r="A985" s="2">
        <f>IFERROR(__xludf.DUMMYFUNCTION("""COMPUTED_VALUE"""),32818.666666666664)</f>
        <v>32818.66667</v>
      </c>
      <c r="B985" s="1">
        <f>IFERROR(__xludf.DUMMYFUNCTION("""COMPUTED_VALUE"""),337.61)</f>
        <v>337.61</v>
      </c>
      <c r="C985" s="1">
        <f>IFERROR(__xludf.DUMMYFUNCTION("""COMPUTED_VALUE"""),337.62)</f>
        <v>337.62</v>
      </c>
      <c r="D985" s="1">
        <f>IFERROR(__xludf.DUMMYFUNCTION("""COMPUTED_VALUE"""),332.33)</f>
        <v>332.33</v>
      </c>
      <c r="E985" s="1">
        <f>IFERROR(__xludf.DUMMYFUNCTION("""COMPUTED_VALUE"""),332.61)</f>
        <v>332.61</v>
      </c>
      <c r="F985" s="1">
        <f>IFERROR(__xludf.DUMMYFUNCTION("""COMPUTED_VALUE"""),2.116875E7)</f>
        <v>21168750</v>
      </c>
    </row>
    <row r="986">
      <c r="A986" s="2">
        <f>IFERROR(__xludf.DUMMYFUNCTION("""COMPUTED_VALUE"""),32819.666666666664)</f>
        <v>32819.66667</v>
      </c>
      <c r="B986" s="1">
        <f>IFERROR(__xludf.DUMMYFUNCTION("""COMPUTED_VALUE"""),332.61)</f>
        <v>332.61</v>
      </c>
      <c r="C986" s="1">
        <f>IFERROR(__xludf.DUMMYFUNCTION("""COMPUTED_VALUE"""),334.82)</f>
        <v>334.82</v>
      </c>
      <c r="D986" s="1">
        <f>IFERROR(__xludf.DUMMYFUNCTION("""COMPUTED_VALUE"""),330.91)</f>
        <v>330.91</v>
      </c>
      <c r="E986" s="1">
        <f>IFERROR(__xludf.DUMMYFUNCTION("""COMPUTED_VALUE"""),334.81)</f>
        <v>334.81</v>
      </c>
      <c r="F986" s="1">
        <f>IFERROR(__xludf.DUMMYFUNCTION("""COMPUTED_VALUE"""),2.546875E7)</f>
        <v>25468750</v>
      </c>
    </row>
    <row r="987">
      <c r="A987" s="2">
        <f>IFERROR(__xludf.DUMMYFUNCTION("""COMPUTED_VALUE"""),32820.666666666664)</f>
        <v>32820.66667</v>
      </c>
      <c r="B987" s="1">
        <f>IFERROR(__xludf.DUMMYFUNCTION("""COMPUTED_VALUE"""),334.81)</f>
        <v>334.81</v>
      </c>
      <c r="C987" s="1">
        <f>IFERROR(__xludf.DUMMYFUNCTION("""COMPUTED_VALUE"""),339.41)</f>
        <v>339.41</v>
      </c>
      <c r="D987" s="1">
        <f>IFERROR(__xludf.DUMMYFUNCTION("""COMPUTED_VALUE"""),334.81)</f>
        <v>334.81</v>
      </c>
      <c r="E987" s="1">
        <f>IFERROR(__xludf.DUMMYFUNCTION("""COMPUTED_VALUE"""),338.15)</f>
        <v>338.15</v>
      </c>
      <c r="F987" s="1">
        <f>IFERROR(__xludf.DUMMYFUNCTION("""COMPUTED_VALUE"""),2.6585938E7)</f>
        <v>26585938</v>
      </c>
    </row>
    <row r="988">
      <c r="A988" s="2">
        <f>IFERROR(__xludf.DUMMYFUNCTION("""COMPUTED_VALUE"""),32821.666666666664)</f>
        <v>32821.66667</v>
      </c>
      <c r="B988" s="1">
        <f>IFERROR(__xludf.DUMMYFUNCTION("""COMPUTED_VALUE"""),338.15)</f>
        <v>338.15</v>
      </c>
      <c r="C988" s="1">
        <f>IFERROR(__xludf.DUMMYFUNCTION("""COMPUTED_VALUE"""),338.73)</f>
        <v>338.73</v>
      </c>
      <c r="D988" s="1">
        <f>IFERROR(__xludf.DUMMYFUNCTION("""COMPUTED_VALUE"""),336.21)</f>
        <v>336.21</v>
      </c>
      <c r="E988" s="1">
        <f>IFERROR(__xludf.DUMMYFUNCTION("""COMPUTED_VALUE"""),336.57)</f>
        <v>336.57</v>
      </c>
      <c r="F988" s="1">
        <f>IFERROR(__xludf.DUMMYFUNCTION("""COMPUTED_VALUE"""),2.2404688E7)</f>
        <v>22404688</v>
      </c>
    </row>
    <row r="989">
      <c r="A989" s="2">
        <f>IFERROR(__xludf.DUMMYFUNCTION("""COMPUTED_VALUE"""),32822.666666666664)</f>
        <v>32822.66667</v>
      </c>
      <c r="B989" s="1">
        <f>IFERROR(__xludf.DUMMYFUNCTION("""COMPUTED_VALUE"""),336.57)</f>
        <v>336.57</v>
      </c>
      <c r="C989" s="1">
        <f>IFERROR(__xludf.DUMMYFUNCTION("""COMPUTED_VALUE"""),339.1)</f>
        <v>339.1</v>
      </c>
      <c r="D989" s="1">
        <f>IFERROR(__xludf.DUMMYFUNCTION("""COMPUTED_VALUE"""),336.57)</f>
        <v>336.57</v>
      </c>
      <c r="E989" s="1">
        <f>IFERROR(__xludf.DUMMYFUNCTION("""COMPUTED_VALUE"""),339.1)</f>
        <v>339.1</v>
      </c>
      <c r="F989" s="1">
        <f>IFERROR(__xludf.DUMMYFUNCTION("""COMPUTED_VALUE"""),2.059375E7)</f>
        <v>20593750</v>
      </c>
    </row>
    <row r="990">
      <c r="A990" s="2">
        <f>IFERROR(__xludf.DUMMYFUNCTION("""COMPUTED_VALUE"""),32825.666666666664)</f>
        <v>32825.66667</v>
      </c>
      <c r="B990" s="1">
        <f>IFERROR(__xludf.DUMMYFUNCTION("""COMPUTED_VALUE"""),339.08)</f>
        <v>339.08</v>
      </c>
      <c r="C990" s="1">
        <f>IFERROR(__xludf.DUMMYFUNCTION("""COMPUTED_VALUE"""),340.51)</f>
        <v>340.51</v>
      </c>
      <c r="D990" s="1">
        <f>IFERROR(__xludf.DUMMYFUNCTION("""COMPUTED_VALUE"""),337.93)</f>
        <v>337.93</v>
      </c>
      <c r="E990" s="1">
        <f>IFERROR(__xludf.DUMMYFUNCTION("""COMPUTED_VALUE"""),339.55)</f>
        <v>339.55</v>
      </c>
      <c r="F990" s="1">
        <f>IFERROR(__xludf.DUMMYFUNCTION("""COMPUTED_VALUE"""),2.1992188E7)</f>
        <v>21992188</v>
      </c>
    </row>
    <row r="991">
      <c r="A991" s="2">
        <f>IFERROR(__xludf.DUMMYFUNCTION("""COMPUTED_VALUE"""),32826.666666666664)</f>
        <v>32826.66667</v>
      </c>
      <c r="B991" s="1">
        <f>IFERROR(__xludf.DUMMYFUNCTION("""COMPUTED_VALUE"""),339.55)</f>
        <v>339.55</v>
      </c>
      <c r="C991" s="1">
        <f>IFERROR(__xludf.DUMMYFUNCTION("""COMPUTED_VALUE"""),340.41)</f>
        <v>340.41</v>
      </c>
      <c r="D991" s="1">
        <f>IFERROR(__xludf.DUMMYFUNCTION("""COMPUTED_VALUE"""),337.06)</f>
        <v>337.06</v>
      </c>
      <c r="E991" s="1">
        <f>IFERROR(__xludf.DUMMYFUNCTION("""COMPUTED_VALUE"""),337.99)</f>
        <v>337.99</v>
      </c>
      <c r="F991" s="1">
        <f>IFERROR(__xludf.DUMMYFUNCTION("""COMPUTED_VALUE"""),2.2370312E7)</f>
        <v>22370312</v>
      </c>
    </row>
    <row r="992">
      <c r="A992" s="2">
        <f>IFERROR(__xludf.DUMMYFUNCTION("""COMPUTED_VALUE"""),32827.666666666664)</f>
        <v>32827.66667</v>
      </c>
      <c r="B992" s="1">
        <f>IFERROR(__xludf.DUMMYFUNCTION("""COMPUTED_VALUE"""),338.0)</f>
        <v>338</v>
      </c>
      <c r="C992" s="1">
        <f>IFERROR(__xludf.DUMMYFUNCTION("""COMPUTED_VALUE"""),340.54)</f>
        <v>340.54</v>
      </c>
      <c r="D992" s="1">
        <f>IFERROR(__xludf.DUMMYFUNCTION("""COMPUTED_VALUE"""),337.14)</f>
        <v>337.14</v>
      </c>
      <c r="E992" s="1">
        <f>IFERROR(__xludf.DUMMYFUNCTION("""COMPUTED_VALUE"""),340.54)</f>
        <v>340.54</v>
      </c>
      <c r="F992" s="1">
        <f>IFERROR(__xludf.DUMMYFUNCTION("""COMPUTED_VALUE"""),2.4239062E7)</f>
        <v>24239062</v>
      </c>
    </row>
    <row r="993">
      <c r="A993" s="2">
        <f>IFERROR(__xludf.DUMMYFUNCTION("""COMPUTED_VALUE"""),32828.666666666664)</f>
        <v>32828.66667</v>
      </c>
      <c r="B993" s="1">
        <f>IFERROR(__xludf.DUMMYFUNCTION("""COMPUTED_VALUE"""),340.54)</f>
        <v>340.54</v>
      </c>
      <c r="C993" s="1">
        <f>IFERROR(__xludf.DUMMYFUNCTION("""COMPUTED_VALUE"""),341.02)</f>
        <v>341.02</v>
      </c>
      <c r="D993" s="1">
        <f>IFERROR(__xludf.DUMMYFUNCTION("""COMPUTED_VALUE"""),338.93)</f>
        <v>338.93</v>
      </c>
      <c r="E993" s="1">
        <f>IFERROR(__xludf.DUMMYFUNCTION("""COMPUTED_VALUE"""),340.58)</f>
        <v>340.58</v>
      </c>
      <c r="F993" s="1">
        <f>IFERROR(__xludf.DUMMYFUNCTION("""COMPUTED_VALUE"""),2.3182812E7)</f>
        <v>23182812</v>
      </c>
    </row>
    <row r="994">
      <c r="A994" s="2">
        <f>IFERROR(__xludf.DUMMYFUNCTION("""COMPUTED_VALUE"""),32829.666666666664)</f>
        <v>32829.66667</v>
      </c>
      <c r="B994" s="1">
        <f>IFERROR(__xludf.DUMMYFUNCTION("""COMPUTED_VALUE"""),340.58)</f>
        <v>340.58</v>
      </c>
      <c r="C994" s="1">
        <f>IFERROR(__xludf.DUMMYFUNCTION("""COMPUTED_VALUE"""),342.24)</f>
        <v>342.24</v>
      </c>
      <c r="D994" s="1">
        <f>IFERROR(__xludf.DUMMYFUNCTION("""COMPUTED_VALUE"""),339.85)</f>
        <v>339.85</v>
      </c>
      <c r="E994" s="1">
        <f>IFERROR(__xludf.DUMMYFUNCTION("""COMPUTED_VALUE"""),341.61)</f>
        <v>341.61</v>
      </c>
      <c r="F994" s="1">
        <f>IFERROR(__xludf.DUMMYFUNCTION("""COMPUTED_VALUE"""),2.3596876E7)</f>
        <v>23596876</v>
      </c>
    </row>
    <row r="995">
      <c r="A995" s="2">
        <f>IFERROR(__xludf.DUMMYFUNCTION("""COMPUTED_VALUE"""),32832.666666666664)</f>
        <v>32832.66667</v>
      </c>
      <c r="B995" s="1">
        <f>IFERROR(__xludf.DUMMYFUNCTION("""COMPUTED_VALUE"""),341.61)</f>
        <v>341.61</v>
      </c>
      <c r="C995" s="1">
        <f>IFERROR(__xludf.DUMMYFUNCTION("""COMPUTED_VALUE"""),341.9)</f>
        <v>341.9</v>
      </c>
      <c r="D995" s="1">
        <f>IFERROR(__xludf.DUMMYFUNCTION("""COMPUTED_VALUE"""),338.29)</f>
        <v>338.29</v>
      </c>
      <c r="E995" s="1">
        <f>IFERROR(__xludf.DUMMYFUNCTION("""COMPUTED_VALUE"""),339.35)</f>
        <v>339.35</v>
      </c>
      <c r="F995" s="1">
        <f>IFERROR(__xludf.DUMMYFUNCTION("""COMPUTED_VALUE"""),2.0026562E7)</f>
        <v>20026562</v>
      </c>
    </row>
    <row r="996">
      <c r="A996" s="2">
        <f>IFERROR(__xludf.DUMMYFUNCTION("""COMPUTED_VALUE"""),32833.666666666664)</f>
        <v>32833.66667</v>
      </c>
      <c r="B996" s="1">
        <f>IFERROR(__xludf.DUMMYFUNCTION("""COMPUTED_VALUE"""),339.35)</f>
        <v>339.35</v>
      </c>
      <c r="C996" s="1">
        <f>IFERROR(__xludf.DUMMYFUNCTION("""COMPUTED_VALUE"""),340.21)</f>
        <v>340.21</v>
      </c>
      <c r="D996" s="1">
        <f>IFERROR(__xludf.DUMMYFUNCTION("""COMPUTED_VALUE"""),337.53)</f>
        <v>337.53</v>
      </c>
      <c r="E996" s="1">
        <f>IFERROR(__xludf.DUMMYFUNCTION("""COMPUTED_VALUE"""),339.59)</f>
        <v>339.59</v>
      </c>
      <c r="F996" s="1">
        <f>IFERROR(__xludf.DUMMYFUNCTION("""COMPUTED_VALUE"""),2.3109376E7)</f>
        <v>23109376</v>
      </c>
    </row>
    <row r="997">
      <c r="A997" s="2">
        <f>IFERROR(__xludf.DUMMYFUNCTION("""COMPUTED_VALUE"""),32834.666666666664)</f>
        <v>32834.66667</v>
      </c>
      <c r="B997" s="1">
        <f>IFERROR(__xludf.DUMMYFUNCTION("""COMPUTED_VALUE"""),339.59)</f>
        <v>339.59</v>
      </c>
      <c r="C997" s="1">
        <f>IFERROR(__xludf.DUMMYFUNCTION("""COMPUTED_VALUE"""),341.92)</f>
        <v>341.92</v>
      </c>
      <c r="D997" s="1">
        <f>IFERROR(__xludf.DUMMYFUNCTION("""COMPUTED_VALUE"""),339.59)</f>
        <v>339.59</v>
      </c>
      <c r="E997" s="1">
        <f>IFERROR(__xludf.DUMMYFUNCTION("""COMPUTED_VALUE"""),341.91)</f>
        <v>341.91</v>
      </c>
      <c r="F997" s="1">
        <f>IFERROR(__xludf.DUMMYFUNCTION("""COMPUTED_VALUE"""),2.2770312E7)</f>
        <v>22770312</v>
      </c>
    </row>
    <row r="998">
      <c r="A998" s="2">
        <f>IFERROR(__xludf.DUMMYFUNCTION("""COMPUTED_VALUE"""),32836.666666666664)</f>
        <v>32836.66667</v>
      </c>
      <c r="B998" s="1">
        <f>IFERROR(__xludf.DUMMYFUNCTION("""COMPUTED_VALUE"""),341.92)</f>
        <v>341.92</v>
      </c>
      <c r="C998" s="1">
        <f>IFERROR(__xludf.DUMMYFUNCTION("""COMPUTED_VALUE"""),344.24)</f>
        <v>344.24</v>
      </c>
      <c r="D998" s="1">
        <f>IFERROR(__xludf.DUMMYFUNCTION("""COMPUTED_VALUE"""),341.91)</f>
        <v>341.91</v>
      </c>
      <c r="E998" s="1">
        <f>IFERROR(__xludf.DUMMYFUNCTION("""COMPUTED_VALUE"""),343.97)</f>
        <v>343.97</v>
      </c>
      <c r="F998" s="1">
        <f>IFERROR(__xludf.DUMMYFUNCTION("""COMPUTED_VALUE"""),1.3482812E7)</f>
        <v>13482812</v>
      </c>
    </row>
    <row r="999">
      <c r="A999" s="2">
        <f>IFERROR(__xludf.DUMMYFUNCTION("""COMPUTED_VALUE"""),32839.666666666664)</f>
        <v>32839.66667</v>
      </c>
      <c r="B999" s="1">
        <f>IFERROR(__xludf.DUMMYFUNCTION("""COMPUTED_VALUE"""),343.98)</f>
        <v>343.98</v>
      </c>
      <c r="C999" s="1">
        <f>IFERROR(__xludf.DUMMYFUNCTION("""COMPUTED_VALUE"""),346.24)</f>
        <v>346.24</v>
      </c>
      <c r="D999" s="1">
        <f>IFERROR(__xludf.DUMMYFUNCTION("""COMPUTED_VALUE"""),343.97)</f>
        <v>343.97</v>
      </c>
      <c r="E999" s="1">
        <f>IFERROR(__xludf.DUMMYFUNCTION("""COMPUTED_VALUE"""),345.61)</f>
        <v>345.61</v>
      </c>
      <c r="F999" s="1">
        <f>IFERROR(__xludf.DUMMYFUNCTION("""COMPUTED_VALUE"""),2.3342188E7)</f>
        <v>23342188</v>
      </c>
    </row>
    <row r="1000">
      <c r="A1000" s="2">
        <f>IFERROR(__xludf.DUMMYFUNCTION("""COMPUTED_VALUE"""),32840.666666666664)</f>
        <v>32840.66667</v>
      </c>
      <c r="B1000" s="1">
        <f>IFERROR(__xludf.DUMMYFUNCTION("""COMPUTED_VALUE"""),345.61)</f>
        <v>345.61</v>
      </c>
      <c r="C1000" s="1">
        <f>IFERROR(__xludf.DUMMYFUNCTION("""COMPUTED_VALUE"""),346.33)</f>
        <v>346.33</v>
      </c>
      <c r="D1000" s="1">
        <f>IFERROR(__xludf.DUMMYFUNCTION("""COMPUTED_VALUE"""),344.41)</f>
        <v>344.41</v>
      </c>
      <c r="E1000" s="1">
        <f>IFERROR(__xludf.DUMMYFUNCTION("""COMPUTED_VALUE"""),345.77)</f>
        <v>345.77</v>
      </c>
      <c r="F1000" s="1">
        <f>IFERROR(__xludf.DUMMYFUNCTION("""COMPUTED_VALUE"""),2.4026562E7)</f>
        <v>24026562</v>
      </c>
    </row>
    <row r="1001">
      <c r="A1001" s="2">
        <f>IFERROR(__xludf.DUMMYFUNCTION("""COMPUTED_VALUE"""),32841.666666666664)</f>
        <v>32841.66667</v>
      </c>
      <c r="B1001" s="1">
        <f>IFERROR(__xludf.DUMMYFUNCTION("""COMPUTED_VALUE"""),345.77)</f>
        <v>345.77</v>
      </c>
      <c r="C1001" s="1">
        <f>IFERROR(__xludf.DUMMYFUNCTION("""COMPUTED_VALUE"""),345.77)</f>
        <v>345.77</v>
      </c>
      <c r="D1001" s="1">
        <f>IFERROR(__xludf.DUMMYFUNCTION("""COMPUTED_VALUE"""),343.36)</f>
        <v>343.36</v>
      </c>
      <c r="E1001" s="1">
        <f>IFERROR(__xludf.DUMMYFUNCTION("""COMPUTED_VALUE"""),343.6)</f>
        <v>343.6</v>
      </c>
      <c r="F1001" s="1">
        <f>IFERROR(__xludf.DUMMYFUNCTION("""COMPUTED_VALUE"""),2.3010938E7)</f>
        <v>23010938</v>
      </c>
    </row>
    <row r="1002">
      <c r="A1002" s="2">
        <f>IFERROR(__xludf.DUMMYFUNCTION("""COMPUTED_VALUE"""),32842.666666666664)</f>
        <v>32842.66667</v>
      </c>
      <c r="B1002" s="1">
        <f>IFERROR(__xludf.DUMMYFUNCTION("""COMPUTED_VALUE"""),343.6)</f>
        <v>343.6</v>
      </c>
      <c r="C1002" s="1">
        <f>IFERROR(__xludf.DUMMYFUNCTION("""COMPUTED_VALUE"""),346.5)</f>
        <v>346.5</v>
      </c>
      <c r="D1002" s="1">
        <f>IFERROR(__xludf.DUMMYFUNCTION("""COMPUTED_VALUE"""),343.57)</f>
        <v>343.57</v>
      </c>
      <c r="E1002" s="1">
        <f>IFERROR(__xludf.DUMMYFUNCTION("""COMPUTED_VALUE"""),345.99)</f>
        <v>345.99</v>
      </c>
      <c r="F1002" s="1">
        <f>IFERROR(__xludf.DUMMYFUNCTION("""COMPUTED_VALUE"""),2.39375E7)</f>
        <v>23937500</v>
      </c>
    </row>
    <row r="1003">
      <c r="A1003" s="2">
        <f>IFERROR(__xludf.DUMMYFUNCTION("""COMPUTED_VALUE"""),32843.666666666664)</f>
        <v>32843.66667</v>
      </c>
      <c r="B1003" s="1">
        <f>IFERROR(__xludf.DUMMYFUNCTION("""COMPUTED_VALUE"""),346.01)</f>
        <v>346.01</v>
      </c>
      <c r="C1003" s="1">
        <f>IFERROR(__xludf.DUMMYFUNCTION("""COMPUTED_VALUE"""),351.88)</f>
        <v>351.88</v>
      </c>
      <c r="D1003" s="1">
        <f>IFERROR(__xludf.DUMMYFUNCTION("""COMPUTED_VALUE"""),345.99)</f>
        <v>345.99</v>
      </c>
      <c r="E1003" s="1">
        <f>IFERROR(__xludf.DUMMYFUNCTION("""COMPUTED_VALUE"""),350.63)</f>
        <v>350.63</v>
      </c>
      <c r="F1003" s="1">
        <f>IFERROR(__xludf.DUMMYFUNCTION("""COMPUTED_VALUE"""),3.1125E7)</f>
        <v>31125000</v>
      </c>
    </row>
    <row r="1004">
      <c r="A1004" s="2">
        <f>IFERROR(__xludf.DUMMYFUNCTION("""COMPUTED_VALUE"""),32846.666666666664)</f>
        <v>32846.66667</v>
      </c>
      <c r="B1004" s="1">
        <f>IFERROR(__xludf.DUMMYFUNCTION("""COMPUTED_VALUE"""),350.63)</f>
        <v>350.63</v>
      </c>
      <c r="C1004" s="1">
        <f>IFERROR(__xludf.DUMMYFUNCTION("""COMPUTED_VALUE"""),351.51)</f>
        <v>351.51</v>
      </c>
      <c r="D1004" s="1">
        <f>IFERROR(__xludf.DUMMYFUNCTION("""COMPUTED_VALUE"""),350.32)</f>
        <v>350.32</v>
      </c>
      <c r="E1004" s="1">
        <f>IFERROR(__xludf.DUMMYFUNCTION("""COMPUTED_VALUE"""),351.41)</f>
        <v>351.41</v>
      </c>
      <c r="F1004" s="1">
        <f>IFERROR(__xludf.DUMMYFUNCTION("""COMPUTED_VALUE"""),2.349375E7)</f>
        <v>23493750</v>
      </c>
    </row>
    <row r="1005">
      <c r="A1005" s="2">
        <f>IFERROR(__xludf.DUMMYFUNCTION("""COMPUTED_VALUE"""),32847.666666666664)</f>
        <v>32847.66667</v>
      </c>
      <c r="B1005" s="1">
        <f>IFERROR(__xludf.DUMMYFUNCTION("""COMPUTED_VALUE"""),351.41)</f>
        <v>351.41</v>
      </c>
      <c r="C1005" s="1">
        <f>IFERROR(__xludf.DUMMYFUNCTION("""COMPUTED_VALUE"""),352.24)</f>
        <v>352.24</v>
      </c>
      <c r="D1005" s="1">
        <f>IFERROR(__xludf.DUMMYFUNCTION("""COMPUTED_VALUE"""),349.58)</f>
        <v>349.58</v>
      </c>
      <c r="E1005" s="1">
        <f>IFERROR(__xludf.DUMMYFUNCTION("""COMPUTED_VALUE"""),349.58)</f>
        <v>349.58</v>
      </c>
      <c r="F1005" s="1">
        <f>IFERROR(__xludf.DUMMYFUNCTION("""COMPUTED_VALUE"""),2.41625E7)</f>
        <v>24162500</v>
      </c>
    </row>
    <row r="1006">
      <c r="A1006" s="2">
        <f>IFERROR(__xludf.DUMMYFUNCTION("""COMPUTED_VALUE"""),32848.666666666664)</f>
        <v>32848.66667</v>
      </c>
      <c r="B1006" s="1">
        <f>IFERROR(__xludf.DUMMYFUNCTION("""COMPUTED_VALUE"""),349.58)</f>
        <v>349.58</v>
      </c>
      <c r="C1006" s="1">
        <f>IFERROR(__xludf.DUMMYFUNCTION("""COMPUTED_VALUE"""),349.94)</f>
        <v>349.94</v>
      </c>
      <c r="D1006" s="1">
        <f>IFERROR(__xludf.DUMMYFUNCTION("""COMPUTED_VALUE"""),347.91)</f>
        <v>347.91</v>
      </c>
      <c r="E1006" s="1">
        <f>IFERROR(__xludf.DUMMYFUNCTION("""COMPUTED_VALUE"""),348.55)</f>
        <v>348.55</v>
      </c>
      <c r="F1006" s="1">
        <f>IFERROR(__xludf.DUMMYFUNCTION("""COMPUTED_VALUE"""),2.2789062E7)</f>
        <v>22789062</v>
      </c>
    </row>
    <row r="1007">
      <c r="A1007" s="2">
        <f>IFERROR(__xludf.DUMMYFUNCTION("""COMPUTED_VALUE"""),32849.666666666664)</f>
        <v>32849.66667</v>
      </c>
      <c r="B1007" s="1">
        <f>IFERROR(__xludf.DUMMYFUNCTION("""COMPUTED_VALUE"""),348.55)</f>
        <v>348.55</v>
      </c>
      <c r="C1007" s="1">
        <f>IFERROR(__xludf.DUMMYFUNCTION("""COMPUTED_VALUE"""),349.84)</f>
        <v>349.84</v>
      </c>
      <c r="D1007" s="1">
        <f>IFERROR(__xludf.DUMMYFUNCTION("""COMPUTED_VALUE"""),346.0)</f>
        <v>346</v>
      </c>
      <c r="E1007" s="1">
        <f>IFERROR(__xludf.DUMMYFUNCTION("""COMPUTED_VALUE"""),347.59)</f>
        <v>347.59</v>
      </c>
      <c r="F1007" s="1">
        <f>IFERROR(__xludf.DUMMYFUNCTION("""COMPUTED_VALUE"""),2.5309376E7)</f>
        <v>25309376</v>
      </c>
    </row>
    <row r="1008">
      <c r="A1008" s="2">
        <f>IFERROR(__xludf.DUMMYFUNCTION("""COMPUTED_VALUE"""),32850.666666666664)</f>
        <v>32850.66667</v>
      </c>
      <c r="B1008" s="1">
        <f>IFERROR(__xludf.DUMMYFUNCTION("""COMPUTED_VALUE"""),347.6)</f>
        <v>347.6</v>
      </c>
      <c r="C1008" s="1">
        <f>IFERROR(__xludf.DUMMYFUNCTION("""COMPUTED_VALUE"""),349.6)</f>
        <v>349.6</v>
      </c>
      <c r="D1008" s="1">
        <f>IFERROR(__xludf.DUMMYFUNCTION("""COMPUTED_VALUE"""),347.59)</f>
        <v>347.59</v>
      </c>
      <c r="E1008" s="1">
        <f>IFERROR(__xludf.DUMMYFUNCTION("""COMPUTED_VALUE"""),348.69)</f>
        <v>348.69</v>
      </c>
      <c r="F1008" s="1">
        <f>IFERROR(__xludf.DUMMYFUNCTION("""COMPUTED_VALUE"""),2.2642188E7)</f>
        <v>22642188</v>
      </c>
    </row>
    <row r="1009">
      <c r="A1009" s="2">
        <f>IFERROR(__xludf.DUMMYFUNCTION("""COMPUTED_VALUE"""),32853.666666666664)</f>
        <v>32853.66667</v>
      </c>
      <c r="B1009" s="1">
        <f>IFERROR(__xludf.DUMMYFUNCTION("""COMPUTED_VALUE"""),348.68)</f>
        <v>348.68</v>
      </c>
      <c r="C1009" s="1">
        <f>IFERROR(__xludf.DUMMYFUNCTION("""COMPUTED_VALUE"""),348.74)</f>
        <v>348.74</v>
      </c>
      <c r="D1009" s="1">
        <f>IFERROR(__xludf.DUMMYFUNCTION("""COMPUTED_VALUE"""),346.39)</f>
        <v>346.39</v>
      </c>
      <c r="E1009" s="1">
        <f>IFERROR(__xludf.DUMMYFUNCTION("""COMPUTED_VALUE"""),348.56)</f>
        <v>348.56</v>
      </c>
      <c r="F1009" s="1">
        <f>IFERROR(__xludf.DUMMYFUNCTION("""COMPUTED_VALUE"""),2.2989062E7)</f>
        <v>22989062</v>
      </c>
    </row>
    <row r="1010">
      <c r="A1010" s="2">
        <f>IFERROR(__xludf.DUMMYFUNCTION("""COMPUTED_VALUE"""),32854.666666666664)</f>
        <v>32854.66667</v>
      </c>
      <c r="B1010" s="1">
        <f>IFERROR(__xludf.DUMMYFUNCTION("""COMPUTED_VALUE"""),348.56)</f>
        <v>348.56</v>
      </c>
      <c r="C1010" s="1">
        <f>IFERROR(__xludf.DUMMYFUNCTION("""COMPUTED_VALUE"""),352.21)</f>
        <v>352.21</v>
      </c>
      <c r="D1010" s="1">
        <f>IFERROR(__xludf.DUMMYFUNCTION("""COMPUTED_VALUE"""),348.41)</f>
        <v>348.41</v>
      </c>
      <c r="E1010" s="1">
        <f>IFERROR(__xludf.DUMMYFUNCTION("""COMPUTED_VALUE"""),351.73)</f>
        <v>351.73</v>
      </c>
      <c r="F1010" s="1">
        <f>IFERROR(__xludf.DUMMYFUNCTION("""COMPUTED_VALUE"""),2.7628124E7)</f>
        <v>27628124</v>
      </c>
    </row>
    <row r="1011">
      <c r="A1011" s="2">
        <f>IFERROR(__xludf.DUMMYFUNCTION("""COMPUTED_VALUE"""),32855.666666666664)</f>
        <v>32855.66667</v>
      </c>
      <c r="B1011" s="1">
        <f>IFERROR(__xludf.DUMMYFUNCTION("""COMPUTED_VALUE"""),351.7)</f>
        <v>351.7</v>
      </c>
      <c r="C1011" s="1">
        <f>IFERROR(__xludf.DUMMYFUNCTION("""COMPUTED_VALUE"""),354.1)</f>
        <v>354.1</v>
      </c>
      <c r="D1011" s="1">
        <f>IFERROR(__xludf.DUMMYFUNCTION("""COMPUTED_VALUE"""),351.65)</f>
        <v>351.65</v>
      </c>
      <c r="E1011" s="1">
        <f>IFERROR(__xludf.DUMMYFUNCTION("""COMPUTED_VALUE"""),352.75)</f>
        <v>352.75</v>
      </c>
      <c r="F1011" s="1">
        <f>IFERROR(__xludf.DUMMYFUNCTION("""COMPUTED_VALUE"""),2.8853124E7)</f>
        <v>28853124</v>
      </c>
    </row>
    <row r="1012">
      <c r="A1012" s="2">
        <f>IFERROR(__xludf.DUMMYFUNCTION("""COMPUTED_VALUE"""),32856.666666666664)</f>
        <v>32856.66667</v>
      </c>
      <c r="B1012" s="1">
        <f>IFERROR(__xludf.DUMMYFUNCTION("""COMPUTED_VALUE"""),352.74)</f>
        <v>352.74</v>
      </c>
      <c r="C1012" s="1">
        <f>IFERROR(__xludf.DUMMYFUNCTION("""COMPUTED_VALUE"""),352.75)</f>
        <v>352.75</v>
      </c>
      <c r="D1012" s="1">
        <f>IFERROR(__xludf.DUMMYFUNCTION("""COMPUTED_VALUE"""),350.08)</f>
        <v>350.08</v>
      </c>
      <c r="E1012" s="1">
        <f>IFERROR(__xludf.DUMMYFUNCTION("""COMPUTED_VALUE"""),350.93)</f>
        <v>350.93</v>
      </c>
      <c r="F1012" s="1">
        <f>IFERROR(__xludf.DUMMYFUNCTION("""COMPUTED_VALUE"""),2.7921876E7)</f>
        <v>27921876</v>
      </c>
    </row>
    <row r="1013">
      <c r="A1013" s="2">
        <f>IFERROR(__xludf.DUMMYFUNCTION("""COMPUTED_VALUE"""),32857.666666666664)</f>
        <v>32857.66667</v>
      </c>
      <c r="B1013" s="1">
        <f>IFERROR(__xludf.DUMMYFUNCTION("""COMPUTED_VALUE"""),350.97)</f>
        <v>350.97</v>
      </c>
      <c r="C1013" s="1">
        <f>IFERROR(__xludf.DUMMYFUNCTION("""COMPUTED_VALUE"""),351.86)</f>
        <v>351.86</v>
      </c>
      <c r="D1013" s="1">
        <f>IFERROR(__xludf.DUMMYFUNCTION("""COMPUTED_VALUE"""),346.08)</f>
        <v>346.08</v>
      </c>
      <c r="E1013" s="1">
        <f>IFERROR(__xludf.DUMMYFUNCTION("""COMPUTED_VALUE"""),350.14)</f>
        <v>350.14</v>
      </c>
      <c r="F1013" s="1">
        <f>IFERROR(__xludf.DUMMYFUNCTION("""COMPUTED_VALUE"""),3.7560936E7)</f>
        <v>37560936</v>
      </c>
    </row>
    <row r="1014">
      <c r="A1014" s="2">
        <f>IFERROR(__xludf.DUMMYFUNCTION("""COMPUTED_VALUE"""),32860.666666666664)</f>
        <v>32860.66667</v>
      </c>
      <c r="B1014" s="1">
        <f>IFERROR(__xludf.DUMMYFUNCTION("""COMPUTED_VALUE"""),350.14)</f>
        <v>350.14</v>
      </c>
      <c r="C1014" s="1">
        <f>IFERROR(__xludf.DUMMYFUNCTION("""COMPUTED_VALUE"""),350.88)</f>
        <v>350.88</v>
      </c>
      <c r="D1014" s="1">
        <f>IFERROR(__xludf.DUMMYFUNCTION("""COMPUTED_VALUE"""),342.19)</f>
        <v>342.19</v>
      </c>
      <c r="E1014" s="1">
        <f>IFERROR(__xludf.DUMMYFUNCTION("""COMPUTED_VALUE"""),343.69)</f>
        <v>343.69</v>
      </c>
      <c r="F1014" s="1">
        <f>IFERROR(__xludf.DUMMYFUNCTION("""COMPUTED_VALUE"""),2.8867188E7)</f>
        <v>28867188</v>
      </c>
    </row>
    <row r="1015">
      <c r="A1015" s="2">
        <f>IFERROR(__xludf.DUMMYFUNCTION("""COMPUTED_VALUE"""),32861.666666666664)</f>
        <v>32861.66667</v>
      </c>
      <c r="B1015" s="1">
        <f>IFERROR(__xludf.DUMMYFUNCTION("""COMPUTED_VALUE"""),343.69)</f>
        <v>343.69</v>
      </c>
      <c r="C1015" s="1">
        <f>IFERROR(__xludf.DUMMYFUNCTION("""COMPUTED_VALUE"""),343.74)</f>
        <v>343.74</v>
      </c>
      <c r="D1015" s="1">
        <f>IFERROR(__xludf.DUMMYFUNCTION("""COMPUTED_VALUE"""),339.63)</f>
        <v>339.63</v>
      </c>
      <c r="E1015" s="1">
        <f>IFERROR(__xludf.DUMMYFUNCTION("""COMPUTED_VALUE"""),342.46)</f>
        <v>342.46</v>
      </c>
      <c r="F1015" s="1">
        <f>IFERROR(__xludf.DUMMYFUNCTION("""COMPUTED_VALUE"""),2.9071876E7)</f>
        <v>29071876</v>
      </c>
    </row>
    <row r="1016">
      <c r="A1016" s="2">
        <f>IFERROR(__xludf.DUMMYFUNCTION("""COMPUTED_VALUE"""),32862.666666666664)</f>
        <v>32862.66667</v>
      </c>
      <c r="B1016" s="1">
        <f>IFERROR(__xludf.DUMMYFUNCTION("""COMPUTED_VALUE"""),342.5)</f>
        <v>342.5</v>
      </c>
      <c r="C1016" s="1">
        <f>IFERROR(__xludf.DUMMYFUNCTION("""COMPUTED_VALUE"""),343.7)</f>
        <v>343.7</v>
      </c>
      <c r="D1016" s="1">
        <f>IFERROR(__xludf.DUMMYFUNCTION("""COMPUTED_VALUE"""),341.79)</f>
        <v>341.79</v>
      </c>
      <c r="E1016" s="1">
        <f>IFERROR(__xludf.DUMMYFUNCTION("""COMPUTED_VALUE"""),342.84)</f>
        <v>342.84</v>
      </c>
      <c r="F1016" s="1">
        <f>IFERROR(__xludf.DUMMYFUNCTION("""COMPUTED_VALUE"""),2.758125E7)</f>
        <v>27581250</v>
      </c>
    </row>
    <row r="1017">
      <c r="A1017" s="2">
        <f>IFERROR(__xludf.DUMMYFUNCTION("""COMPUTED_VALUE"""),32863.666666666664)</f>
        <v>32863.66667</v>
      </c>
      <c r="B1017" s="1">
        <f>IFERROR(__xludf.DUMMYFUNCTION("""COMPUTED_VALUE"""),342.84)</f>
        <v>342.84</v>
      </c>
      <c r="C1017" s="1">
        <f>IFERROR(__xludf.DUMMYFUNCTION("""COMPUTED_VALUE"""),345.03)</f>
        <v>345.03</v>
      </c>
      <c r="D1017" s="1">
        <f>IFERROR(__xludf.DUMMYFUNCTION("""COMPUTED_VALUE"""),342.84)</f>
        <v>342.84</v>
      </c>
      <c r="E1017" s="1">
        <f>IFERROR(__xludf.DUMMYFUNCTION("""COMPUTED_VALUE"""),344.78)</f>
        <v>344.78</v>
      </c>
      <c r="F1017" s="1">
        <f>IFERROR(__xludf.DUMMYFUNCTION("""COMPUTED_VALUE"""),2.7367188E7)</f>
        <v>27367188</v>
      </c>
    </row>
    <row r="1018">
      <c r="A1018" s="2">
        <f>IFERROR(__xludf.DUMMYFUNCTION("""COMPUTED_VALUE"""),32864.666666666664)</f>
        <v>32864.66667</v>
      </c>
      <c r="B1018" s="1">
        <f>IFERROR(__xludf.DUMMYFUNCTION("""COMPUTED_VALUE"""),344.78)</f>
        <v>344.78</v>
      </c>
      <c r="C1018" s="1">
        <f>IFERROR(__xludf.DUMMYFUNCTION("""COMPUTED_VALUE"""),347.53)</f>
        <v>347.53</v>
      </c>
      <c r="D1018" s="1">
        <f>IFERROR(__xludf.DUMMYFUNCTION("""COMPUTED_VALUE"""),344.76)</f>
        <v>344.76</v>
      </c>
      <c r="E1018" s="1">
        <f>IFERROR(__xludf.DUMMYFUNCTION("""COMPUTED_VALUE"""),347.42)</f>
        <v>347.42</v>
      </c>
      <c r="F1018" s="1">
        <f>IFERROR(__xludf.DUMMYFUNCTION("""COMPUTED_VALUE"""),1.8903124E7)</f>
        <v>18903124</v>
      </c>
    </row>
    <row r="1019">
      <c r="A1019" s="2">
        <f>IFERROR(__xludf.DUMMYFUNCTION("""COMPUTED_VALUE"""),32868.666666666664)</f>
        <v>32868.66667</v>
      </c>
      <c r="B1019" s="1">
        <f>IFERROR(__xludf.DUMMYFUNCTION("""COMPUTED_VALUE"""),347.42)</f>
        <v>347.42</v>
      </c>
      <c r="C1019" s="1">
        <f>IFERROR(__xludf.DUMMYFUNCTION("""COMPUTED_VALUE"""),347.87)</f>
        <v>347.87</v>
      </c>
      <c r="D1019" s="1">
        <f>IFERROR(__xludf.DUMMYFUNCTION("""COMPUTED_VALUE"""),346.53)</f>
        <v>346.53</v>
      </c>
      <c r="E1019" s="1">
        <f>IFERROR(__xludf.DUMMYFUNCTION("""COMPUTED_VALUE"""),346.81)</f>
        <v>346.81</v>
      </c>
      <c r="F1019" s="1">
        <f>IFERROR(__xludf.DUMMYFUNCTION("""COMPUTED_VALUE"""),1.2126562E7)</f>
        <v>12126562</v>
      </c>
    </row>
    <row r="1020">
      <c r="A1020" s="2">
        <f>IFERROR(__xludf.DUMMYFUNCTION("""COMPUTED_VALUE"""),32869.666666666664)</f>
        <v>32869.66667</v>
      </c>
      <c r="B1020" s="1">
        <f>IFERROR(__xludf.DUMMYFUNCTION("""COMPUTED_VALUE"""),346.84)</f>
        <v>346.84</v>
      </c>
      <c r="C1020" s="1">
        <f>IFERROR(__xludf.DUMMYFUNCTION("""COMPUTED_VALUE"""),349.12)</f>
        <v>349.12</v>
      </c>
      <c r="D1020" s="1">
        <f>IFERROR(__xludf.DUMMYFUNCTION("""COMPUTED_VALUE"""),346.81)</f>
        <v>346.81</v>
      </c>
      <c r="E1020" s="1">
        <f>IFERROR(__xludf.DUMMYFUNCTION("""COMPUTED_VALUE"""),348.81)</f>
        <v>348.81</v>
      </c>
      <c r="F1020" s="1">
        <f>IFERROR(__xludf.DUMMYFUNCTION("""COMPUTED_VALUE"""),2.0896876E7)</f>
        <v>20896876</v>
      </c>
    </row>
    <row r="1021">
      <c r="A1021" s="2">
        <f>IFERROR(__xludf.DUMMYFUNCTION("""COMPUTED_VALUE"""),32870.666666666664)</f>
        <v>32870.66667</v>
      </c>
      <c r="B1021" s="1">
        <f>IFERROR(__xludf.DUMMYFUNCTION("""COMPUTED_VALUE"""),348.8)</f>
        <v>348.8</v>
      </c>
      <c r="C1021" s="1">
        <f>IFERROR(__xludf.DUMMYFUNCTION("""COMPUTED_VALUE"""),350.68)</f>
        <v>350.68</v>
      </c>
      <c r="D1021" s="1">
        <f>IFERROR(__xludf.DUMMYFUNCTION("""COMPUTED_VALUE"""),348.76)</f>
        <v>348.76</v>
      </c>
      <c r="E1021" s="1">
        <f>IFERROR(__xludf.DUMMYFUNCTION("""COMPUTED_VALUE"""),350.67)</f>
        <v>350.67</v>
      </c>
      <c r="F1021" s="1">
        <f>IFERROR(__xludf.DUMMYFUNCTION("""COMPUTED_VALUE"""),2.0004688E7)</f>
        <v>20004688</v>
      </c>
    </row>
    <row r="1022">
      <c r="A1022" s="2">
        <f>IFERROR(__xludf.DUMMYFUNCTION("""COMPUTED_VALUE"""),32871.666666666664)</f>
        <v>32871.66667</v>
      </c>
      <c r="B1022" s="1">
        <f>IFERROR(__xludf.DUMMYFUNCTION("""COMPUTED_VALUE"""),350.68)</f>
        <v>350.68</v>
      </c>
      <c r="C1022" s="1">
        <f>IFERROR(__xludf.DUMMYFUNCTION("""COMPUTED_VALUE"""),353.41)</f>
        <v>353.41</v>
      </c>
      <c r="D1022" s="1">
        <f>IFERROR(__xludf.DUMMYFUNCTION("""COMPUTED_VALUE"""),350.67)</f>
        <v>350.67</v>
      </c>
      <c r="E1022" s="1">
        <f>IFERROR(__xludf.DUMMYFUNCTION("""COMPUTED_VALUE"""),353.4)</f>
        <v>353.4</v>
      </c>
      <c r="F1022" s="1">
        <f>IFERROR(__xludf.DUMMYFUNCTION("""COMPUTED_VALUE"""),2.2803124E7)</f>
        <v>22803124</v>
      </c>
    </row>
    <row r="1023">
      <c r="A1023" s="2">
        <f>IFERROR(__xludf.DUMMYFUNCTION("""COMPUTED_VALUE"""),32875.666666666664)</f>
        <v>32875.66667</v>
      </c>
      <c r="B1023" s="1">
        <f>IFERROR(__xludf.DUMMYFUNCTION("""COMPUTED_VALUE"""),353.4)</f>
        <v>353.4</v>
      </c>
      <c r="C1023" s="1">
        <f>IFERROR(__xludf.DUMMYFUNCTION("""COMPUTED_VALUE"""),359.69)</f>
        <v>359.69</v>
      </c>
      <c r="D1023" s="1">
        <f>IFERROR(__xludf.DUMMYFUNCTION("""COMPUTED_VALUE"""),351.98)</f>
        <v>351.98</v>
      </c>
      <c r="E1023" s="1">
        <f>IFERROR(__xludf.DUMMYFUNCTION("""COMPUTED_VALUE"""),359.69)</f>
        <v>359.69</v>
      </c>
      <c r="F1023" s="1">
        <f>IFERROR(__xludf.DUMMYFUNCTION("""COMPUTED_VALUE"""),2.5323438E7)</f>
        <v>25323438</v>
      </c>
    </row>
    <row r="1024">
      <c r="A1024" s="2">
        <f>IFERROR(__xludf.DUMMYFUNCTION("""COMPUTED_VALUE"""),32876.666666666664)</f>
        <v>32876.66667</v>
      </c>
      <c r="B1024" s="1">
        <f>IFERROR(__xludf.DUMMYFUNCTION("""COMPUTED_VALUE"""),359.69)</f>
        <v>359.69</v>
      </c>
      <c r="C1024" s="1">
        <f>IFERROR(__xludf.DUMMYFUNCTION("""COMPUTED_VALUE"""),360.59)</f>
        <v>360.59</v>
      </c>
      <c r="D1024" s="1">
        <f>IFERROR(__xludf.DUMMYFUNCTION("""COMPUTED_VALUE"""),357.89)</f>
        <v>357.89</v>
      </c>
      <c r="E1024" s="1">
        <f>IFERROR(__xludf.DUMMYFUNCTION("""COMPUTED_VALUE"""),358.76)</f>
        <v>358.76</v>
      </c>
      <c r="F1024" s="1">
        <f>IFERROR(__xludf.DUMMYFUNCTION("""COMPUTED_VALUE"""),3.0051562E7)</f>
        <v>30051562</v>
      </c>
    </row>
    <row r="1025">
      <c r="A1025" s="2">
        <f>IFERROR(__xludf.DUMMYFUNCTION("""COMPUTED_VALUE"""),32877.666666666664)</f>
        <v>32877.66667</v>
      </c>
      <c r="B1025" s="1">
        <f>IFERROR(__xludf.DUMMYFUNCTION("""COMPUTED_VALUE"""),358.76)</f>
        <v>358.76</v>
      </c>
      <c r="C1025" s="1">
        <f>IFERROR(__xludf.DUMMYFUNCTION("""COMPUTED_VALUE"""),358.76)</f>
        <v>358.76</v>
      </c>
      <c r="D1025" s="1">
        <f>IFERROR(__xludf.DUMMYFUNCTION("""COMPUTED_VALUE"""),352.89)</f>
        <v>352.89</v>
      </c>
      <c r="E1025" s="1">
        <f>IFERROR(__xludf.DUMMYFUNCTION("""COMPUTED_VALUE"""),355.67)</f>
        <v>355.67</v>
      </c>
      <c r="F1025" s="1">
        <f>IFERROR(__xludf.DUMMYFUNCTION("""COMPUTED_VALUE"""),2.765625E7)</f>
        <v>27656250</v>
      </c>
    </row>
    <row r="1026">
      <c r="A1026" s="2">
        <f>IFERROR(__xludf.DUMMYFUNCTION("""COMPUTED_VALUE"""),32878.666666666664)</f>
        <v>32878.66667</v>
      </c>
      <c r="B1026" s="1">
        <f>IFERROR(__xludf.DUMMYFUNCTION("""COMPUTED_VALUE"""),355.67)</f>
        <v>355.67</v>
      </c>
      <c r="C1026" s="1">
        <f>IFERROR(__xludf.DUMMYFUNCTION("""COMPUTED_VALUE"""),355.67)</f>
        <v>355.67</v>
      </c>
      <c r="D1026" s="1">
        <f>IFERROR(__xludf.DUMMYFUNCTION("""COMPUTED_VALUE"""),351.35)</f>
        <v>351.35</v>
      </c>
      <c r="E1026" s="1">
        <f>IFERROR(__xludf.DUMMYFUNCTION("""COMPUTED_VALUE"""),352.2)</f>
        <v>352.2</v>
      </c>
      <c r="F1026" s="1">
        <f>IFERROR(__xludf.DUMMYFUNCTION("""COMPUTED_VALUE"""),2.4770312E7)</f>
        <v>24770312</v>
      </c>
    </row>
    <row r="1027">
      <c r="A1027" s="2">
        <f>IFERROR(__xludf.DUMMYFUNCTION("""COMPUTED_VALUE"""),32881.666666666664)</f>
        <v>32881.66667</v>
      </c>
      <c r="B1027" s="1">
        <f>IFERROR(__xludf.DUMMYFUNCTION("""COMPUTED_VALUE"""),352.2)</f>
        <v>352.2</v>
      </c>
      <c r="C1027" s="1">
        <f>IFERROR(__xludf.DUMMYFUNCTION("""COMPUTED_VALUE"""),354.24)</f>
        <v>354.24</v>
      </c>
      <c r="D1027" s="1">
        <f>IFERROR(__xludf.DUMMYFUNCTION("""COMPUTED_VALUE"""),350.54)</f>
        <v>350.54</v>
      </c>
      <c r="E1027" s="1">
        <f>IFERROR(__xludf.DUMMYFUNCTION("""COMPUTED_VALUE"""),353.79)</f>
        <v>353.79</v>
      </c>
      <c r="F1027" s="1">
        <f>IFERROR(__xludf.DUMMYFUNCTION("""COMPUTED_VALUE"""),2.1892188E7)</f>
        <v>21892188</v>
      </c>
    </row>
    <row r="1028">
      <c r="A1028" s="2">
        <f>IFERROR(__xludf.DUMMYFUNCTION("""COMPUTED_VALUE"""),32882.666666666664)</f>
        <v>32882.66667</v>
      </c>
      <c r="B1028" s="1">
        <f>IFERROR(__xludf.DUMMYFUNCTION("""COMPUTED_VALUE"""),353.83)</f>
        <v>353.83</v>
      </c>
      <c r="C1028" s="1">
        <f>IFERROR(__xludf.DUMMYFUNCTION("""COMPUTED_VALUE"""),354.17)</f>
        <v>354.17</v>
      </c>
      <c r="D1028" s="1">
        <f>IFERROR(__xludf.DUMMYFUNCTION("""COMPUTED_VALUE"""),349.61)</f>
        <v>349.61</v>
      </c>
      <c r="E1028" s="1">
        <f>IFERROR(__xludf.DUMMYFUNCTION("""COMPUTED_VALUE"""),349.62)</f>
        <v>349.62</v>
      </c>
      <c r="F1028" s="1">
        <f>IFERROR(__xludf.DUMMYFUNCTION("""COMPUTED_VALUE"""),2.4251562E7)</f>
        <v>24251562</v>
      </c>
    </row>
    <row r="1029">
      <c r="A1029" s="2">
        <f>IFERROR(__xludf.DUMMYFUNCTION("""COMPUTED_VALUE"""),32883.666666666664)</f>
        <v>32883.66667</v>
      </c>
      <c r="B1029" s="1">
        <f>IFERROR(__xludf.DUMMYFUNCTION("""COMPUTED_VALUE"""),349.62)</f>
        <v>349.62</v>
      </c>
      <c r="C1029" s="1">
        <f>IFERROR(__xludf.DUMMYFUNCTION("""COMPUTED_VALUE"""),349.62)</f>
        <v>349.62</v>
      </c>
      <c r="D1029" s="1">
        <f>IFERROR(__xludf.DUMMYFUNCTION("""COMPUTED_VALUE"""),344.32)</f>
        <v>344.32</v>
      </c>
      <c r="E1029" s="1">
        <f>IFERROR(__xludf.DUMMYFUNCTION("""COMPUTED_VALUE"""),347.31)</f>
        <v>347.31</v>
      </c>
      <c r="F1029" s="1">
        <f>IFERROR(__xludf.DUMMYFUNCTION("""COMPUTED_VALUE"""),2.7498438E7)</f>
        <v>27498438</v>
      </c>
    </row>
    <row r="1030">
      <c r="A1030" s="2">
        <f>IFERROR(__xludf.DUMMYFUNCTION("""COMPUTED_VALUE"""),32884.666666666664)</f>
        <v>32884.66667</v>
      </c>
      <c r="B1030" s="1">
        <f>IFERROR(__xludf.DUMMYFUNCTION("""COMPUTED_VALUE"""),347.31)</f>
        <v>347.31</v>
      </c>
      <c r="C1030" s="1">
        <f>IFERROR(__xludf.DUMMYFUNCTION("""COMPUTED_VALUE"""),350.14)</f>
        <v>350.14</v>
      </c>
      <c r="D1030" s="1">
        <f>IFERROR(__xludf.DUMMYFUNCTION("""COMPUTED_VALUE"""),347.31)</f>
        <v>347.31</v>
      </c>
      <c r="E1030" s="1">
        <f>IFERROR(__xludf.DUMMYFUNCTION("""COMPUTED_VALUE"""),348.53)</f>
        <v>348.53</v>
      </c>
      <c r="F1030" s="1">
        <f>IFERROR(__xludf.DUMMYFUNCTION("""COMPUTED_VALUE"""),2.4123438E7)</f>
        <v>24123438</v>
      </c>
    </row>
    <row r="1031">
      <c r="A1031" s="2">
        <f>IFERROR(__xludf.DUMMYFUNCTION("""COMPUTED_VALUE"""),32885.666666666664)</f>
        <v>32885.66667</v>
      </c>
      <c r="B1031" s="1">
        <f>IFERROR(__xludf.DUMMYFUNCTION("""COMPUTED_VALUE"""),348.53)</f>
        <v>348.53</v>
      </c>
      <c r="C1031" s="1">
        <f>IFERROR(__xludf.DUMMYFUNCTION("""COMPUTED_VALUE"""),348.53)</f>
        <v>348.53</v>
      </c>
      <c r="D1031" s="1">
        <f>IFERROR(__xludf.DUMMYFUNCTION("""COMPUTED_VALUE"""),339.49)</f>
        <v>339.49</v>
      </c>
      <c r="E1031" s="1">
        <f>IFERROR(__xludf.DUMMYFUNCTION("""COMPUTED_VALUE"""),339.93)</f>
        <v>339.93</v>
      </c>
      <c r="F1031" s="1">
        <f>IFERROR(__xludf.DUMMYFUNCTION("""COMPUTED_VALUE"""),2.873125E7)</f>
        <v>28731250</v>
      </c>
    </row>
    <row r="1032">
      <c r="A1032" s="2">
        <f>IFERROR(__xludf.DUMMYFUNCTION("""COMPUTED_VALUE"""),32888.666666666664)</f>
        <v>32888.66667</v>
      </c>
      <c r="B1032" s="1">
        <f>IFERROR(__xludf.DUMMYFUNCTION("""COMPUTED_VALUE"""),339.93)</f>
        <v>339.93</v>
      </c>
      <c r="C1032" s="1">
        <f>IFERROR(__xludf.DUMMYFUNCTION("""COMPUTED_VALUE"""),339.94)</f>
        <v>339.94</v>
      </c>
      <c r="D1032" s="1">
        <f>IFERROR(__xludf.DUMMYFUNCTION("""COMPUTED_VALUE"""),336.57)</f>
        <v>336.57</v>
      </c>
      <c r="E1032" s="1">
        <f>IFERROR(__xludf.DUMMYFUNCTION("""COMPUTED_VALUE"""),337.0)</f>
        <v>337</v>
      </c>
      <c r="F1032" s="1">
        <f>IFERROR(__xludf.DUMMYFUNCTION("""COMPUTED_VALUE"""),2.1967188E7)</f>
        <v>21967188</v>
      </c>
    </row>
    <row r="1033">
      <c r="A1033" s="2">
        <f>IFERROR(__xludf.DUMMYFUNCTION("""COMPUTED_VALUE"""),32889.666666666664)</f>
        <v>32889.66667</v>
      </c>
      <c r="B1033" s="1">
        <f>IFERROR(__xludf.DUMMYFUNCTION("""COMPUTED_VALUE"""),337.0)</f>
        <v>337</v>
      </c>
      <c r="C1033" s="1">
        <f>IFERROR(__xludf.DUMMYFUNCTION("""COMPUTED_VALUE"""),340.75)</f>
        <v>340.75</v>
      </c>
      <c r="D1033" s="1">
        <f>IFERROR(__xludf.DUMMYFUNCTION("""COMPUTED_VALUE"""),333.37)</f>
        <v>333.37</v>
      </c>
      <c r="E1033" s="1">
        <f>IFERROR(__xludf.DUMMYFUNCTION("""COMPUTED_VALUE"""),340.75)</f>
        <v>340.75</v>
      </c>
      <c r="F1033" s="1">
        <f>IFERROR(__xludf.DUMMYFUNCTION("""COMPUTED_VALUE"""),2.9073438E7)</f>
        <v>29073438</v>
      </c>
    </row>
    <row r="1034">
      <c r="A1034" s="2">
        <f>IFERROR(__xludf.DUMMYFUNCTION("""COMPUTED_VALUE"""),32890.666666666664)</f>
        <v>32890.66667</v>
      </c>
      <c r="B1034" s="1">
        <f>IFERROR(__xludf.DUMMYFUNCTION("""COMPUTED_VALUE"""),340.77)</f>
        <v>340.77</v>
      </c>
      <c r="C1034" s="1">
        <f>IFERROR(__xludf.DUMMYFUNCTION("""COMPUTED_VALUE"""),342.01)</f>
        <v>342.01</v>
      </c>
      <c r="D1034" s="1">
        <f>IFERROR(__xludf.DUMMYFUNCTION("""COMPUTED_VALUE"""),336.26)</f>
        <v>336.26</v>
      </c>
      <c r="E1034" s="1">
        <f>IFERROR(__xludf.DUMMYFUNCTION("""COMPUTED_VALUE"""),337.4)</f>
        <v>337.4</v>
      </c>
      <c r="F1034" s="1">
        <f>IFERROR(__xludf.DUMMYFUNCTION("""COMPUTED_VALUE"""),2.6635938E7)</f>
        <v>26635938</v>
      </c>
    </row>
    <row r="1035">
      <c r="A1035" s="2">
        <f>IFERROR(__xludf.DUMMYFUNCTION("""COMPUTED_VALUE"""),32891.666666666664)</f>
        <v>32891.66667</v>
      </c>
      <c r="B1035" s="1">
        <f>IFERROR(__xludf.DUMMYFUNCTION("""COMPUTED_VALUE"""),337.4)</f>
        <v>337.4</v>
      </c>
      <c r="C1035" s="1">
        <f>IFERROR(__xludf.DUMMYFUNCTION("""COMPUTED_VALUE"""),338.38)</f>
        <v>338.38</v>
      </c>
      <c r="D1035" s="1">
        <f>IFERROR(__xludf.DUMMYFUNCTION("""COMPUTED_VALUE"""),333.98)</f>
        <v>333.98</v>
      </c>
      <c r="E1035" s="1">
        <f>IFERROR(__xludf.DUMMYFUNCTION("""COMPUTED_VALUE"""),338.19)</f>
        <v>338.19</v>
      </c>
      <c r="F1035" s="1">
        <f>IFERROR(__xludf.DUMMYFUNCTION("""COMPUTED_VALUE"""),2.7904688E7)</f>
        <v>27904688</v>
      </c>
    </row>
    <row r="1036">
      <c r="A1036" s="2">
        <f>IFERROR(__xludf.DUMMYFUNCTION("""COMPUTED_VALUE"""),32892.666666666664)</f>
        <v>32892.66667</v>
      </c>
      <c r="B1036" s="1">
        <f>IFERROR(__xludf.DUMMYFUNCTION("""COMPUTED_VALUE"""),338.19)</f>
        <v>338.19</v>
      </c>
      <c r="C1036" s="1">
        <f>IFERROR(__xludf.DUMMYFUNCTION("""COMPUTED_VALUE"""),340.48)</f>
        <v>340.48</v>
      </c>
      <c r="D1036" s="1">
        <f>IFERROR(__xludf.DUMMYFUNCTION("""COMPUTED_VALUE"""),338.19)</f>
        <v>338.19</v>
      </c>
      <c r="E1036" s="1">
        <f>IFERROR(__xludf.DUMMYFUNCTION("""COMPUTED_VALUE"""),339.15)</f>
        <v>339.15</v>
      </c>
      <c r="F1036" s="1">
        <f>IFERROR(__xludf.DUMMYFUNCTION("""COMPUTED_VALUE"""),2.8998438E7)</f>
        <v>28998438</v>
      </c>
    </row>
    <row r="1037">
      <c r="A1037" s="2">
        <f>IFERROR(__xludf.DUMMYFUNCTION("""COMPUTED_VALUE"""),32895.666666666664)</f>
        <v>32895.66667</v>
      </c>
      <c r="B1037" s="1">
        <f>IFERROR(__xludf.DUMMYFUNCTION("""COMPUTED_VALUE"""),339.14)</f>
        <v>339.14</v>
      </c>
      <c r="C1037" s="1">
        <f>IFERROR(__xludf.DUMMYFUNCTION("""COMPUTED_VALUE"""),339.96)</f>
        <v>339.96</v>
      </c>
      <c r="D1037" s="1">
        <f>IFERROR(__xludf.DUMMYFUNCTION("""COMPUTED_VALUE"""),330.28)</f>
        <v>330.28</v>
      </c>
      <c r="E1037" s="1">
        <f>IFERROR(__xludf.DUMMYFUNCTION("""COMPUTED_VALUE"""),330.38)</f>
        <v>330.38</v>
      </c>
      <c r="F1037" s="1">
        <f>IFERROR(__xludf.DUMMYFUNCTION("""COMPUTED_VALUE"""),2.3184376E7)</f>
        <v>23184376</v>
      </c>
    </row>
    <row r="1038">
      <c r="A1038" s="2">
        <f>IFERROR(__xludf.DUMMYFUNCTION("""COMPUTED_VALUE"""),32896.666666666664)</f>
        <v>32896.66667</v>
      </c>
      <c r="B1038" s="1">
        <f>IFERROR(__xludf.DUMMYFUNCTION("""COMPUTED_VALUE"""),330.38)</f>
        <v>330.38</v>
      </c>
      <c r="C1038" s="1">
        <f>IFERROR(__xludf.DUMMYFUNCTION("""COMPUTED_VALUE"""),332.76)</f>
        <v>332.76</v>
      </c>
      <c r="D1038" s="1">
        <f>IFERROR(__xludf.DUMMYFUNCTION("""COMPUTED_VALUE"""),328.67)</f>
        <v>328.67</v>
      </c>
      <c r="E1038" s="1">
        <f>IFERROR(__xludf.DUMMYFUNCTION("""COMPUTED_VALUE"""),331.61)</f>
        <v>331.61</v>
      </c>
      <c r="F1038" s="1">
        <f>IFERROR(__xludf.DUMMYFUNCTION("""COMPUTED_VALUE"""),2.8015624E7)</f>
        <v>28015624</v>
      </c>
    </row>
    <row r="1039">
      <c r="A1039" s="2">
        <f>IFERROR(__xludf.DUMMYFUNCTION("""COMPUTED_VALUE"""),32897.666666666664)</f>
        <v>32897.66667</v>
      </c>
      <c r="B1039" s="1">
        <f>IFERROR(__xludf.DUMMYFUNCTION("""COMPUTED_VALUE"""),331.61)</f>
        <v>331.61</v>
      </c>
      <c r="C1039" s="1">
        <f>IFERROR(__xludf.DUMMYFUNCTION("""COMPUTED_VALUE"""),331.71)</f>
        <v>331.71</v>
      </c>
      <c r="D1039" s="1">
        <f>IFERROR(__xludf.DUMMYFUNCTION("""COMPUTED_VALUE"""),324.17)</f>
        <v>324.17</v>
      </c>
      <c r="E1039" s="1">
        <f>IFERROR(__xludf.DUMMYFUNCTION("""COMPUTED_VALUE"""),330.26)</f>
        <v>330.26</v>
      </c>
      <c r="F1039" s="1">
        <f>IFERROR(__xludf.DUMMYFUNCTION("""COMPUTED_VALUE"""),3.2473438E7)</f>
        <v>32473438</v>
      </c>
    </row>
    <row r="1040">
      <c r="A1040" s="2">
        <f>IFERROR(__xludf.DUMMYFUNCTION("""COMPUTED_VALUE"""),32898.666666666664)</f>
        <v>32898.66667</v>
      </c>
      <c r="B1040" s="1">
        <f>IFERROR(__xludf.DUMMYFUNCTION("""COMPUTED_VALUE"""),330.26)</f>
        <v>330.26</v>
      </c>
      <c r="C1040" s="1">
        <f>IFERROR(__xludf.DUMMYFUNCTION("""COMPUTED_VALUE"""),332.33)</f>
        <v>332.33</v>
      </c>
      <c r="D1040" s="1">
        <f>IFERROR(__xludf.DUMMYFUNCTION("""COMPUTED_VALUE"""),325.33)</f>
        <v>325.33</v>
      </c>
      <c r="E1040" s="1">
        <f>IFERROR(__xludf.DUMMYFUNCTION("""COMPUTED_VALUE"""),326.08)</f>
        <v>326.08</v>
      </c>
      <c r="F1040" s="1">
        <f>IFERROR(__xludf.DUMMYFUNCTION("""COMPUTED_VALUE"""),2.6917188E7)</f>
        <v>26917188</v>
      </c>
    </row>
    <row r="1041">
      <c r="A1041" s="2">
        <f>IFERROR(__xludf.DUMMYFUNCTION("""COMPUTED_VALUE"""),32899.666666666664)</f>
        <v>32899.66667</v>
      </c>
      <c r="B1041" s="1">
        <f>IFERROR(__xludf.DUMMYFUNCTION("""COMPUTED_VALUE"""),326.09)</f>
        <v>326.09</v>
      </c>
      <c r="C1041" s="1">
        <f>IFERROR(__xludf.DUMMYFUNCTION("""COMPUTED_VALUE"""),328.58)</f>
        <v>328.58</v>
      </c>
      <c r="D1041" s="1">
        <f>IFERROR(__xludf.DUMMYFUNCTION("""COMPUTED_VALUE"""),321.44)</f>
        <v>321.44</v>
      </c>
      <c r="E1041" s="1">
        <f>IFERROR(__xludf.DUMMYFUNCTION("""COMPUTED_VALUE"""),325.8)</f>
        <v>325.8</v>
      </c>
      <c r="F1041" s="1">
        <f>IFERROR(__xludf.DUMMYFUNCTION("""COMPUTED_VALUE"""),3.0967188E7)</f>
        <v>30967188</v>
      </c>
    </row>
    <row r="1042">
      <c r="A1042" s="2">
        <f>IFERROR(__xludf.DUMMYFUNCTION("""COMPUTED_VALUE"""),32902.666666666664)</f>
        <v>32902.66667</v>
      </c>
      <c r="B1042" s="1">
        <f>IFERROR(__xludf.DUMMYFUNCTION("""COMPUTED_VALUE"""),325.8)</f>
        <v>325.8</v>
      </c>
      <c r="C1042" s="1">
        <f>IFERROR(__xludf.DUMMYFUNCTION("""COMPUTED_VALUE"""),327.31)</f>
        <v>327.31</v>
      </c>
      <c r="D1042" s="1">
        <f>IFERROR(__xludf.DUMMYFUNCTION("""COMPUTED_VALUE"""),321.79)</f>
        <v>321.79</v>
      </c>
      <c r="E1042" s="1">
        <f>IFERROR(__xludf.DUMMYFUNCTION("""COMPUTED_VALUE"""),325.2)</f>
        <v>325.2</v>
      </c>
      <c r="F1042" s="1">
        <f>IFERROR(__xludf.DUMMYFUNCTION("""COMPUTED_VALUE"""),2.3557812E7)</f>
        <v>23557812</v>
      </c>
    </row>
    <row r="1043">
      <c r="A1043" s="2">
        <f>IFERROR(__xludf.DUMMYFUNCTION("""COMPUTED_VALUE"""),32903.666666666664)</f>
        <v>32903.66667</v>
      </c>
      <c r="B1043" s="1">
        <f>IFERROR(__xludf.DUMMYFUNCTION("""COMPUTED_VALUE"""),325.2)</f>
        <v>325.2</v>
      </c>
      <c r="C1043" s="1">
        <f>IFERROR(__xludf.DUMMYFUNCTION("""COMPUTED_VALUE"""),325.73)</f>
        <v>325.73</v>
      </c>
      <c r="D1043" s="1">
        <f>IFERROR(__xludf.DUMMYFUNCTION("""COMPUTED_VALUE"""),319.83)</f>
        <v>319.83</v>
      </c>
      <c r="E1043" s="1">
        <f>IFERROR(__xludf.DUMMYFUNCTION("""COMPUTED_VALUE"""),322.98)</f>
        <v>322.98</v>
      </c>
      <c r="F1043" s="1">
        <f>IFERROR(__xludf.DUMMYFUNCTION("""COMPUTED_VALUE"""),2.9067188E7)</f>
        <v>29067188</v>
      </c>
    </row>
    <row r="1044">
      <c r="A1044" s="2">
        <f>IFERROR(__xludf.DUMMYFUNCTION("""COMPUTED_VALUE"""),32904.666666666664)</f>
        <v>32904.66667</v>
      </c>
      <c r="B1044" s="1">
        <f>IFERROR(__xludf.DUMMYFUNCTION("""COMPUTED_VALUE"""),322.98)</f>
        <v>322.98</v>
      </c>
      <c r="C1044" s="1">
        <f>IFERROR(__xludf.DUMMYFUNCTION("""COMPUTED_VALUE"""),329.08)</f>
        <v>329.08</v>
      </c>
      <c r="D1044" s="1">
        <f>IFERROR(__xludf.DUMMYFUNCTION("""COMPUTED_VALUE"""),322.98)</f>
        <v>322.98</v>
      </c>
      <c r="E1044" s="1">
        <f>IFERROR(__xludf.DUMMYFUNCTION("""COMPUTED_VALUE"""),329.08)</f>
        <v>329.08</v>
      </c>
      <c r="F1044" s="1">
        <f>IFERROR(__xludf.DUMMYFUNCTION("""COMPUTED_VALUE"""),2.9634376E7)</f>
        <v>29634376</v>
      </c>
    </row>
    <row r="1045">
      <c r="A1045" s="2">
        <f>IFERROR(__xludf.DUMMYFUNCTION("""COMPUTED_VALUE"""),32905.666666666664)</f>
        <v>32905.66667</v>
      </c>
      <c r="B1045" s="1">
        <f>IFERROR(__xludf.DUMMYFUNCTION("""COMPUTED_VALUE"""),329.08)</f>
        <v>329.08</v>
      </c>
      <c r="C1045" s="1">
        <f>IFERROR(__xludf.DUMMYFUNCTION("""COMPUTED_VALUE"""),329.86)</f>
        <v>329.86</v>
      </c>
      <c r="D1045" s="1">
        <f>IFERROR(__xludf.DUMMYFUNCTION("""COMPUTED_VALUE"""),327.76)</f>
        <v>327.76</v>
      </c>
      <c r="E1045" s="1">
        <f>IFERROR(__xludf.DUMMYFUNCTION("""COMPUTED_VALUE"""),328.79)</f>
        <v>328.79</v>
      </c>
      <c r="F1045" s="1">
        <f>IFERROR(__xludf.DUMMYFUNCTION("""COMPUTED_VALUE"""),2.4153124E7)</f>
        <v>24153124</v>
      </c>
    </row>
    <row r="1046">
      <c r="A1046" s="2">
        <f>IFERROR(__xludf.DUMMYFUNCTION("""COMPUTED_VALUE"""),32906.666666666664)</f>
        <v>32906.66667</v>
      </c>
      <c r="B1046" s="1">
        <f>IFERROR(__xludf.DUMMYFUNCTION("""COMPUTED_VALUE"""),328.79)</f>
        <v>328.79</v>
      </c>
      <c r="C1046" s="1">
        <f>IFERROR(__xludf.DUMMYFUNCTION("""COMPUTED_VALUE"""),332.1)</f>
        <v>332.1</v>
      </c>
      <c r="D1046" s="1">
        <f>IFERROR(__xludf.DUMMYFUNCTION("""COMPUTED_VALUE"""),328.09)</f>
        <v>328.09</v>
      </c>
      <c r="E1046" s="1">
        <f>IFERROR(__xludf.DUMMYFUNCTION("""COMPUTED_VALUE"""),330.92)</f>
        <v>330.92</v>
      </c>
      <c r="F1046" s="1">
        <f>IFERROR(__xludf.DUMMYFUNCTION("""COMPUTED_VALUE"""),2.56875E7)</f>
        <v>25687500</v>
      </c>
    </row>
    <row r="1047">
      <c r="A1047" s="2">
        <f>IFERROR(__xludf.DUMMYFUNCTION("""COMPUTED_VALUE"""),32909.666666666664)</f>
        <v>32909.66667</v>
      </c>
      <c r="B1047" s="1">
        <f>IFERROR(__xludf.DUMMYFUNCTION("""COMPUTED_VALUE"""),330.92)</f>
        <v>330.92</v>
      </c>
      <c r="C1047" s="1">
        <f>IFERROR(__xludf.DUMMYFUNCTION("""COMPUTED_VALUE"""),332.16)</f>
        <v>332.16</v>
      </c>
      <c r="D1047" s="1">
        <f>IFERROR(__xludf.DUMMYFUNCTION("""COMPUTED_VALUE"""),330.45)</f>
        <v>330.45</v>
      </c>
      <c r="E1047" s="1">
        <f>IFERROR(__xludf.DUMMYFUNCTION("""COMPUTED_VALUE"""),331.85)</f>
        <v>331.85</v>
      </c>
      <c r="F1047" s="1">
        <f>IFERROR(__xludf.DUMMYFUNCTION("""COMPUTED_VALUE"""),2.0460938E7)</f>
        <v>20460938</v>
      </c>
    </row>
    <row r="1048">
      <c r="A1048" s="2">
        <f>IFERROR(__xludf.DUMMYFUNCTION("""COMPUTED_VALUE"""),32910.666666666664)</f>
        <v>32910.66667</v>
      </c>
      <c r="B1048" s="1">
        <f>IFERROR(__xludf.DUMMYFUNCTION("""COMPUTED_VALUE"""),331.85)</f>
        <v>331.85</v>
      </c>
      <c r="C1048" s="1">
        <f>IFERROR(__xludf.DUMMYFUNCTION("""COMPUTED_VALUE"""),331.86)</f>
        <v>331.86</v>
      </c>
      <c r="D1048" s="1">
        <f>IFERROR(__xludf.DUMMYFUNCTION("""COMPUTED_VALUE"""),328.2)</f>
        <v>328.2</v>
      </c>
      <c r="E1048" s="1">
        <f>IFERROR(__xludf.DUMMYFUNCTION("""COMPUTED_VALUE"""),329.66)</f>
        <v>329.66</v>
      </c>
      <c r="F1048" s="1">
        <f>IFERROR(__xludf.DUMMYFUNCTION("""COMPUTED_VALUE"""),2.0948438E7)</f>
        <v>20948438</v>
      </c>
    </row>
    <row r="1049">
      <c r="A1049" s="2">
        <f>IFERROR(__xludf.DUMMYFUNCTION("""COMPUTED_VALUE"""),32911.666666666664)</f>
        <v>32911.66667</v>
      </c>
      <c r="B1049" s="1">
        <f>IFERROR(__xludf.DUMMYFUNCTION("""COMPUTED_VALUE"""),329.66)</f>
        <v>329.66</v>
      </c>
      <c r="C1049" s="1">
        <f>IFERROR(__xludf.DUMMYFUNCTION("""COMPUTED_VALUE"""),333.76)</f>
        <v>333.76</v>
      </c>
      <c r="D1049" s="1">
        <f>IFERROR(__xludf.DUMMYFUNCTION("""COMPUTED_VALUE"""),326.55)</f>
        <v>326.55</v>
      </c>
      <c r="E1049" s="1">
        <f>IFERROR(__xludf.DUMMYFUNCTION("""COMPUTED_VALUE"""),333.75)</f>
        <v>333.75</v>
      </c>
      <c r="F1049" s="1">
        <f>IFERROR(__xludf.DUMMYFUNCTION("""COMPUTED_VALUE"""),2.9173438E7)</f>
        <v>29173438</v>
      </c>
    </row>
    <row r="1050">
      <c r="A1050" s="2">
        <f>IFERROR(__xludf.DUMMYFUNCTION("""COMPUTED_VALUE"""),32912.666666666664)</f>
        <v>32912.66667</v>
      </c>
      <c r="B1050" s="1">
        <f>IFERROR(__xludf.DUMMYFUNCTION("""COMPUTED_VALUE"""),333.75)</f>
        <v>333.75</v>
      </c>
      <c r="C1050" s="1">
        <f>IFERROR(__xludf.DUMMYFUNCTION("""COMPUTED_VALUE"""),336.09)</f>
        <v>336.09</v>
      </c>
      <c r="D1050" s="1">
        <f>IFERROR(__xludf.DUMMYFUNCTION("""COMPUTED_VALUE"""),332.0)</f>
        <v>332</v>
      </c>
      <c r="E1050" s="1">
        <f>IFERROR(__xludf.DUMMYFUNCTION("""COMPUTED_VALUE"""),332.96)</f>
        <v>332.96</v>
      </c>
      <c r="F1050" s="1">
        <f>IFERROR(__xludf.DUMMYFUNCTION("""COMPUTED_VALUE"""),2.75375E7)</f>
        <v>27537500</v>
      </c>
    </row>
    <row r="1051">
      <c r="A1051" s="2">
        <f>IFERROR(__xludf.DUMMYFUNCTION("""COMPUTED_VALUE"""),32913.666666666664)</f>
        <v>32913.66667</v>
      </c>
      <c r="B1051" s="1">
        <f>IFERROR(__xludf.DUMMYFUNCTION("""COMPUTED_VALUE"""),333.02)</f>
        <v>333.02</v>
      </c>
      <c r="C1051" s="1">
        <f>IFERROR(__xludf.DUMMYFUNCTION("""COMPUTED_VALUE"""),334.6)</f>
        <v>334.6</v>
      </c>
      <c r="D1051" s="1">
        <f>IFERROR(__xludf.DUMMYFUNCTION("""COMPUTED_VALUE"""),332.41)</f>
        <v>332.41</v>
      </c>
      <c r="E1051" s="1">
        <f>IFERROR(__xludf.DUMMYFUNCTION("""COMPUTED_VALUE"""),333.62)</f>
        <v>333.62</v>
      </c>
      <c r="F1051" s="1">
        <f>IFERROR(__xludf.DUMMYFUNCTION("""COMPUTED_VALUE"""),2.2954688E7)</f>
        <v>22954688</v>
      </c>
    </row>
    <row r="1052">
      <c r="A1052" s="2">
        <f>IFERROR(__xludf.DUMMYFUNCTION("""COMPUTED_VALUE"""),32916.666666666664)</f>
        <v>32916.66667</v>
      </c>
      <c r="B1052" s="1">
        <f>IFERROR(__xludf.DUMMYFUNCTION("""COMPUTED_VALUE"""),333.62)</f>
        <v>333.62</v>
      </c>
      <c r="C1052" s="1">
        <f>IFERROR(__xludf.DUMMYFUNCTION("""COMPUTED_VALUE"""),333.62)</f>
        <v>333.62</v>
      </c>
      <c r="D1052" s="1">
        <f>IFERROR(__xludf.DUMMYFUNCTION("""COMPUTED_VALUE"""),329.97)</f>
        <v>329.97</v>
      </c>
      <c r="E1052" s="1">
        <f>IFERROR(__xludf.DUMMYFUNCTION("""COMPUTED_VALUE"""),330.08)</f>
        <v>330.08</v>
      </c>
      <c r="F1052" s="1">
        <f>IFERROR(__xludf.DUMMYFUNCTION("""COMPUTED_VALUE"""),1.8498438E7)</f>
        <v>18498438</v>
      </c>
    </row>
    <row r="1053">
      <c r="A1053" s="2">
        <f>IFERROR(__xludf.DUMMYFUNCTION("""COMPUTED_VALUE"""),32917.666666666664)</f>
        <v>32917.66667</v>
      </c>
      <c r="B1053" s="1">
        <f>IFERROR(__xludf.DUMMYFUNCTION("""COMPUTED_VALUE"""),330.08)</f>
        <v>330.08</v>
      </c>
      <c r="C1053" s="1">
        <f>IFERROR(__xludf.DUMMYFUNCTION("""COMPUTED_VALUE"""),331.61)</f>
        <v>331.61</v>
      </c>
      <c r="D1053" s="1">
        <f>IFERROR(__xludf.DUMMYFUNCTION("""COMPUTED_VALUE"""),327.92)</f>
        <v>327.92</v>
      </c>
      <c r="E1053" s="1">
        <f>IFERROR(__xludf.DUMMYFUNCTION("""COMPUTED_VALUE"""),331.02)</f>
        <v>331.02</v>
      </c>
      <c r="F1053" s="1">
        <f>IFERROR(__xludf.DUMMYFUNCTION("""COMPUTED_VALUE"""),2.2576562E7)</f>
        <v>22576562</v>
      </c>
    </row>
    <row r="1054">
      <c r="A1054" s="2">
        <f>IFERROR(__xludf.DUMMYFUNCTION("""COMPUTED_VALUE"""),32918.666666666664)</f>
        <v>32918.66667</v>
      </c>
      <c r="B1054" s="1">
        <f>IFERROR(__xludf.DUMMYFUNCTION("""COMPUTED_VALUE"""),331.02)</f>
        <v>331.02</v>
      </c>
      <c r="C1054" s="1">
        <f>IFERROR(__xludf.DUMMYFUNCTION("""COMPUTED_VALUE"""),333.2)</f>
        <v>333.2</v>
      </c>
      <c r="D1054" s="1">
        <f>IFERROR(__xludf.DUMMYFUNCTION("""COMPUTED_VALUE"""),330.64)</f>
        <v>330.64</v>
      </c>
      <c r="E1054" s="1">
        <f>IFERROR(__xludf.DUMMYFUNCTION("""COMPUTED_VALUE"""),332.01)</f>
        <v>332.01</v>
      </c>
      <c r="F1054" s="1">
        <f>IFERROR(__xludf.DUMMYFUNCTION("""COMPUTED_VALUE"""),2.1645312E7)</f>
        <v>21645312</v>
      </c>
    </row>
    <row r="1055">
      <c r="A1055" s="2">
        <f>IFERROR(__xludf.DUMMYFUNCTION("""COMPUTED_VALUE"""),32919.666666666664)</f>
        <v>32919.66667</v>
      </c>
      <c r="B1055" s="1">
        <f>IFERROR(__xludf.DUMMYFUNCTION("""COMPUTED_VALUE"""),332.01)</f>
        <v>332.01</v>
      </c>
      <c r="C1055" s="1">
        <f>IFERROR(__xludf.DUMMYFUNCTION("""COMPUTED_VALUE"""),335.21)</f>
        <v>335.21</v>
      </c>
      <c r="D1055" s="1">
        <f>IFERROR(__xludf.DUMMYFUNCTION("""COMPUTED_VALUE"""),331.61)</f>
        <v>331.61</v>
      </c>
      <c r="E1055" s="1">
        <f>IFERROR(__xludf.DUMMYFUNCTION("""COMPUTED_VALUE"""),334.89)</f>
        <v>334.89</v>
      </c>
      <c r="F1055" s="1">
        <f>IFERROR(__xludf.DUMMYFUNCTION("""COMPUTED_VALUE"""),2.7284376E7)</f>
        <v>27284376</v>
      </c>
    </row>
    <row r="1056">
      <c r="A1056" s="2">
        <f>IFERROR(__xludf.DUMMYFUNCTION("""COMPUTED_VALUE"""),32920.666666666664)</f>
        <v>32920.66667</v>
      </c>
      <c r="B1056" s="1">
        <f>IFERROR(__xludf.DUMMYFUNCTION("""COMPUTED_VALUE"""),334.89)</f>
        <v>334.89</v>
      </c>
      <c r="C1056" s="1">
        <f>IFERROR(__xludf.DUMMYFUNCTION("""COMPUTED_VALUE"""),335.64)</f>
        <v>335.64</v>
      </c>
      <c r="D1056" s="1">
        <f>IFERROR(__xludf.DUMMYFUNCTION("""COMPUTED_VALUE"""),332.42)</f>
        <v>332.42</v>
      </c>
      <c r="E1056" s="1">
        <f>IFERROR(__xludf.DUMMYFUNCTION("""COMPUTED_VALUE"""),332.72)</f>
        <v>332.72</v>
      </c>
      <c r="F1056" s="1">
        <f>IFERROR(__xludf.DUMMYFUNCTION("""COMPUTED_VALUE"""),2.606875E7)</f>
        <v>26068750</v>
      </c>
    </row>
    <row r="1057">
      <c r="A1057" s="2">
        <f>IFERROR(__xludf.DUMMYFUNCTION("""COMPUTED_VALUE"""),32924.666666666664)</f>
        <v>32924.66667</v>
      </c>
      <c r="B1057" s="1">
        <f>IFERROR(__xludf.DUMMYFUNCTION("""COMPUTED_VALUE"""),332.72)</f>
        <v>332.72</v>
      </c>
      <c r="C1057" s="1">
        <f>IFERROR(__xludf.DUMMYFUNCTION("""COMPUTED_VALUE"""),332.72)</f>
        <v>332.72</v>
      </c>
      <c r="D1057" s="1">
        <f>IFERROR(__xludf.DUMMYFUNCTION("""COMPUTED_VALUE"""),326.26)</f>
        <v>326.26</v>
      </c>
      <c r="E1057" s="1">
        <f>IFERROR(__xludf.DUMMYFUNCTION("""COMPUTED_VALUE"""),327.99)</f>
        <v>327.99</v>
      </c>
      <c r="F1057" s="1">
        <f>IFERROR(__xludf.DUMMYFUNCTION("""COMPUTED_VALUE"""),2.3015624E7)</f>
        <v>23015624</v>
      </c>
    </row>
    <row r="1058">
      <c r="A1058" s="2">
        <f>IFERROR(__xludf.DUMMYFUNCTION("""COMPUTED_VALUE"""),32925.666666666664)</f>
        <v>32925.66667</v>
      </c>
      <c r="B1058" s="1">
        <f>IFERROR(__xludf.DUMMYFUNCTION("""COMPUTED_VALUE"""),327.91)</f>
        <v>327.91</v>
      </c>
      <c r="C1058" s="1">
        <f>IFERROR(__xludf.DUMMYFUNCTION("""COMPUTED_VALUE"""),328.17)</f>
        <v>328.17</v>
      </c>
      <c r="D1058" s="1">
        <f>IFERROR(__xludf.DUMMYFUNCTION("""COMPUTED_VALUE"""),324.47)</f>
        <v>324.47</v>
      </c>
      <c r="E1058" s="1">
        <f>IFERROR(__xludf.DUMMYFUNCTION("""COMPUTED_VALUE"""),327.67)</f>
        <v>327.67</v>
      </c>
      <c r="F1058" s="1">
        <f>IFERROR(__xludf.DUMMYFUNCTION("""COMPUTED_VALUE"""),2.488125E7)</f>
        <v>24881250</v>
      </c>
    </row>
    <row r="1059">
      <c r="A1059" s="2">
        <f>IFERROR(__xludf.DUMMYFUNCTION("""COMPUTED_VALUE"""),32926.666666666664)</f>
        <v>32926.66667</v>
      </c>
      <c r="B1059" s="1">
        <f>IFERROR(__xludf.DUMMYFUNCTION("""COMPUTED_VALUE"""),327.67)</f>
        <v>327.67</v>
      </c>
      <c r="C1059" s="1">
        <f>IFERROR(__xludf.DUMMYFUNCTION("""COMPUTED_VALUE"""),330.98)</f>
        <v>330.98</v>
      </c>
      <c r="D1059" s="1">
        <f>IFERROR(__xludf.DUMMYFUNCTION("""COMPUTED_VALUE"""),325.7)</f>
        <v>325.7</v>
      </c>
      <c r="E1059" s="1">
        <f>IFERROR(__xludf.DUMMYFUNCTION("""COMPUTED_VALUE"""),325.7)</f>
        <v>325.7</v>
      </c>
      <c r="F1059" s="1">
        <f>IFERROR(__xludf.DUMMYFUNCTION("""COMPUTED_VALUE"""),2.88E7)</f>
        <v>28800000</v>
      </c>
    </row>
    <row r="1060">
      <c r="A1060" s="2">
        <f>IFERROR(__xludf.DUMMYFUNCTION("""COMPUTED_VALUE"""),32927.666666666664)</f>
        <v>32927.66667</v>
      </c>
      <c r="B1060" s="1">
        <f>IFERROR(__xludf.DUMMYFUNCTION("""COMPUTED_VALUE"""),325.7)</f>
        <v>325.7</v>
      </c>
      <c r="C1060" s="1">
        <f>IFERROR(__xludf.DUMMYFUNCTION("""COMPUTED_VALUE"""),326.15)</f>
        <v>326.15</v>
      </c>
      <c r="D1060" s="1">
        <f>IFERROR(__xludf.DUMMYFUNCTION("""COMPUTED_VALUE"""),322.1)</f>
        <v>322.1</v>
      </c>
      <c r="E1060" s="1">
        <f>IFERROR(__xludf.DUMMYFUNCTION("""COMPUTED_VALUE"""),324.15)</f>
        <v>324.15</v>
      </c>
      <c r="F1060" s="1">
        <f>IFERROR(__xludf.DUMMYFUNCTION("""COMPUTED_VALUE"""),2.3201562E7)</f>
        <v>23201562</v>
      </c>
    </row>
    <row r="1061">
      <c r="A1061" s="2">
        <f>IFERROR(__xludf.DUMMYFUNCTION("""COMPUTED_VALUE"""),32930.666666666664)</f>
        <v>32930.66667</v>
      </c>
      <c r="B1061" s="1">
        <f>IFERROR(__xludf.DUMMYFUNCTION("""COMPUTED_VALUE"""),324.16)</f>
        <v>324.16</v>
      </c>
      <c r="C1061" s="1">
        <f>IFERROR(__xludf.DUMMYFUNCTION("""COMPUTED_VALUE"""),328.67)</f>
        <v>328.67</v>
      </c>
      <c r="D1061" s="1">
        <f>IFERROR(__xludf.DUMMYFUNCTION("""COMPUTED_VALUE"""),323.98)</f>
        <v>323.98</v>
      </c>
      <c r="E1061" s="1">
        <f>IFERROR(__xludf.DUMMYFUNCTION("""COMPUTED_VALUE"""),328.67)</f>
        <v>328.67</v>
      </c>
      <c r="F1061" s="1">
        <f>IFERROR(__xludf.DUMMYFUNCTION("""COMPUTED_VALUE"""),2.3265624E7)</f>
        <v>23265624</v>
      </c>
    </row>
    <row r="1062">
      <c r="A1062" s="2">
        <f>IFERROR(__xludf.DUMMYFUNCTION("""COMPUTED_VALUE"""),32931.666666666664)</f>
        <v>32931.66667</v>
      </c>
      <c r="B1062" s="1">
        <f>IFERROR(__xludf.DUMMYFUNCTION("""COMPUTED_VALUE"""),328.68)</f>
        <v>328.68</v>
      </c>
      <c r="C1062" s="1">
        <f>IFERROR(__xludf.DUMMYFUNCTION("""COMPUTED_VALUE"""),331.94)</f>
        <v>331.94</v>
      </c>
      <c r="D1062" s="1">
        <f>IFERROR(__xludf.DUMMYFUNCTION("""COMPUTED_VALUE"""),328.47)</f>
        <v>328.47</v>
      </c>
      <c r="E1062" s="1">
        <f>IFERROR(__xludf.DUMMYFUNCTION("""COMPUTED_VALUE"""),330.26)</f>
        <v>330.26</v>
      </c>
      <c r="F1062" s="1">
        <f>IFERROR(__xludf.DUMMYFUNCTION("""COMPUTED_VALUE"""),2.3842188E7)</f>
        <v>23842188</v>
      </c>
    </row>
    <row r="1063">
      <c r="A1063" s="2">
        <f>IFERROR(__xludf.DUMMYFUNCTION("""COMPUTED_VALUE"""),32932.666666666664)</f>
        <v>32932.66667</v>
      </c>
      <c r="B1063" s="1">
        <f>IFERROR(__xludf.DUMMYFUNCTION("""COMPUTED_VALUE"""),330.26)</f>
        <v>330.26</v>
      </c>
      <c r="C1063" s="1">
        <f>IFERROR(__xludf.DUMMYFUNCTION("""COMPUTED_VALUE"""),333.48)</f>
        <v>333.48</v>
      </c>
      <c r="D1063" s="1">
        <f>IFERROR(__xludf.DUMMYFUNCTION("""COMPUTED_VALUE"""),330.16)</f>
        <v>330.16</v>
      </c>
      <c r="E1063" s="1">
        <f>IFERROR(__xludf.DUMMYFUNCTION("""COMPUTED_VALUE"""),331.89)</f>
        <v>331.89</v>
      </c>
      <c r="F1063" s="1">
        <f>IFERROR(__xludf.DUMMYFUNCTION("""COMPUTED_VALUE"""),2.88125E7)</f>
        <v>28812500</v>
      </c>
    </row>
    <row r="1064">
      <c r="A1064" s="2">
        <f>IFERROR(__xludf.DUMMYFUNCTION("""COMPUTED_VALUE"""),32933.666666666664)</f>
        <v>32933.66667</v>
      </c>
      <c r="B1064" s="1">
        <f>IFERROR(__xludf.DUMMYFUNCTION("""COMPUTED_VALUE"""),331.89)</f>
        <v>331.89</v>
      </c>
      <c r="C1064" s="1">
        <f>IFERROR(__xludf.DUMMYFUNCTION("""COMPUTED_VALUE"""),334.4)</f>
        <v>334.4</v>
      </c>
      <c r="D1064" s="1">
        <f>IFERROR(__xludf.DUMMYFUNCTION("""COMPUTED_VALUE"""),331.08)</f>
        <v>331.08</v>
      </c>
      <c r="E1064" s="1">
        <f>IFERROR(__xludf.DUMMYFUNCTION("""COMPUTED_VALUE"""),332.74)</f>
        <v>332.74</v>
      </c>
      <c r="F1064" s="1">
        <f>IFERROR(__xludf.DUMMYFUNCTION("""COMPUTED_VALUE"""),2.4676562E7)</f>
        <v>24676562</v>
      </c>
    </row>
    <row r="1065">
      <c r="A1065" s="2">
        <f>IFERROR(__xludf.DUMMYFUNCTION("""COMPUTED_VALUE"""),32934.666666666664)</f>
        <v>32934.66667</v>
      </c>
      <c r="B1065" s="1">
        <f>IFERROR(__xludf.DUMMYFUNCTION("""COMPUTED_VALUE"""),332.74)</f>
        <v>332.74</v>
      </c>
      <c r="C1065" s="1">
        <f>IFERROR(__xludf.DUMMYFUNCTION("""COMPUTED_VALUE"""),335.54)</f>
        <v>335.54</v>
      </c>
      <c r="D1065" s="1">
        <f>IFERROR(__xludf.DUMMYFUNCTION("""COMPUTED_VALUE"""),332.72)</f>
        <v>332.72</v>
      </c>
      <c r="E1065" s="1">
        <f>IFERROR(__xludf.DUMMYFUNCTION("""COMPUTED_VALUE"""),335.54)</f>
        <v>335.54</v>
      </c>
      <c r="F1065" s="1">
        <f>IFERROR(__xludf.DUMMYFUNCTION("""COMPUTED_VALUE"""),2.5676562E7)</f>
        <v>25676562</v>
      </c>
    </row>
    <row r="1066">
      <c r="A1066" s="2">
        <f>IFERROR(__xludf.DUMMYFUNCTION("""COMPUTED_VALUE"""),32937.666666666664)</f>
        <v>32937.66667</v>
      </c>
      <c r="B1066" s="1">
        <f>IFERROR(__xludf.DUMMYFUNCTION("""COMPUTED_VALUE"""),335.54)</f>
        <v>335.54</v>
      </c>
      <c r="C1066" s="1">
        <f>IFERROR(__xludf.DUMMYFUNCTION("""COMPUTED_VALUE"""),336.38)</f>
        <v>336.38</v>
      </c>
      <c r="D1066" s="1">
        <f>IFERROR(__xludf.DUMMYFUNCTION("""COMPUTED_VALUE"""),333.49)</f>
        <v>333.49</v>
      </c>
      <c r="E1066" s="1">
        <f>IFERROR(__xludf.DUMMYFUNCTION("""COMPUTED_VALUE"""),333.74)</f>
        <v>333.74</v>
      </c>
      <c r="F1066" s="1">
        <f>IFERROR(__xludf.DUMMYFUNCTION("""COMPUTED_VALUE"""),2.1892188E7)</f>
        <v>21892188</v>
      </c>
    </row>
    <row r="1067">
      <c r="A1067" s="2">
        <f>IFERROR(__xludf.DUMMYFUNCTION("""COMPUTED_VALUE"""),32938.666666666664)</f>
        <v>32938.66667</v>
      </c>
      <c r="B1067" s="1">
        <f>IFERROR(__xludf.DUMMYFUNCTION("""COMPUTED_VALUE"""),333.74)</f>
        <v>333.74</v>
      </c>
      <c r="C1067" s="1">
        <f>IFERROR(__xludf.DUMMYFUNCTION("""COMPUTED_VALUE"""),337.93)</f>
        <v>337.93</v>
      </c>
      <c r="D1067" s="1">
        <f>IFERROR(__xludf.DUMMYFUNCTION("""COMPUTED_VALUE"""),333.57)</f>
        <v>333.57</v>
      </c>
      <c r="E1067" s="1">
        <f>IFERROR(__xludf.DUMMYFUNCTION("""COMPUTED_VALUE"""),337.93)</f>
        <v>337.93</v>
      </c>
      <c r="F1067" s="1">
        <f>IFERROR(__xludf.DUMMYFUNCTION("""COMPUTED_VALUE"""),2.244375E7)</f>
        <v>22443750</v>
      </c>
    </row>
    <row r="1068">
      <c r="A1068" s="2">
        <f>IFERROR(__xludf.DUMMYFUNCTION("""COMPUTED_VALUE"""),32939.666666666664)</f>
        <v>32939.66667</v>
      </c>
      <c r="B1068" s="1">
        <f>IFERROR(__xludf.DUMMYFUNCTION("""COMPUTED_VALUE"""),337.93)</f>
        <v>337.93</v>
      </c>
      <c r="C1068" s="1">
        <f>IFERROR(__xludf.DUMMYFUNCTION("""COMPUTED_VALUE"""),338.84)</f>
        <v>338.84</v>
      </c>
      <c r="D1068" s="1">
        <f>IFERROR(__xludf.DUMMYFUNCTION("""COMPUTED_VALUE"""),336.33)</f>
        <v>336.33</v>
      </c>
      <c r="E1068" s="1">
        <f>IFERROR(__xludf.DUMMYFUNCTION("""COMPUTED_VALUE"""),336.95)</f>
        <v>336.95</v>
      </c>
      <c r="F1068" s="1">
        <f>IFERROR(__xludf.DUMMYFUNCTION("""COMPUTED_VALUE"""),2.5559376E7)</f>
        <v>25559376</v>
      </c>
    </row>
    <row r="1069">
      <c r="A1069" s="2">
        <f>IFERROR(__xludf.DUMMYFUNCTION("""COMPUTED_VALUE"""),32940.666666666664)</f>
        <v>32940.66667</v>
      </c>
      <c r="B1069" s="1">
        <f>IFERROR(__xludf.DUMMYFUNCTION("""COMPUTED_VALUE"""),336.95)</f>
        <v>336.95</v>
      </c>
      <c r="C1069" s="1">
        <f>IFERROR(__xludf.DUMMYFUNCTION("""COMPUTED_VALUE"""),340.66)</f>
        <v>340.66</v>
      </c>
      <c r="D1069" s="1">
        <f>IFERROR(__xludf.DUMMYFUNCTION("""COMPUTED_VALUE"""),336.95)</f>
        <v>336.95</v>
      </c>
      <c r="E1069" s="1">
        <f>IFERROR(__xludf.DUMMYFUNCTION("""COMPUTED_VALUE"""),340.27)</f>
        <v>340.27</v>
      </c>
      <c r="F1069" s="1">
        <f>IFERROR(__xludf.DUMMYFUNCTION("""COMPUTED_VALUE"""),2.6703124E7)</f>
        <v>26703124</v>
      </c>
    </row>
    <row r="1070">
      <c r="A1070" s="2">
        <f>IFERROR(__xludf.DUMMYFUNCTION("""COMPUTED_VALUE"""),32941.666666666664)</f>
        <v>32941.66667</v>
      </c>
      <c r="B1070" s="1">
        <f>IFERROR(__xludf.DUMMYFUNCTION("""COMPUTED_VALUE"""),340.12)</f>
        <v>340.12</v>
      </c>
      <c r="C1070" s="1">
        <f>IFERROR(__xludf.DUMMYFUNCTION("""COMPUTED_VALUE"""),340.27)</f>
        <v>340.27</v>
      </c>
      <c r="D1070" s="1">
        <f>IFERROR(__xludf.DUMMYFUNCTION("""COMPUTED_VALUE"""),336.84)</f>
        <v>336.84</v>
      </c>
      <c r="E1070" s="1">
        <f>IFERROR(__xludf.DUMMYFUNCTION("""COMPUTED_VALUE"""),337.93)</f>
        <v>337.93</v>
      </c>
      <c r="F1070" s="1">
        <f>IFERROR(__xludf.DUMMYFUNCTION("""COMPUTED_VALUE"""),2.3501562E7)</f>
        <v>23501562</v>
      </c>
    </row>
    <row r="1071">
      <c r="A1071" s="2">
        <f>IFERROR(__xludf.DUMMYFUNCTION("""COMPUTED_VALUE"""),32944.666666666664)</f>
        <v>32944.66667</v>
      </c>
      <c r="B1071" s="1">
        <f>IFERROR(__xludf.DUMMYFUNCTION("""COMPUTED_VALUE"""),337.93)</f>
        <v>337.93</v>
      </c>
      <c r="C1071" s="1">
        <f>IFERROR(__xludf.DUMMYFUNCTION("""COMPUTED_VALUE"""),339.08)</f>
        <v>339.08</v>
      </c>
      <c r="D1071" s="1">
        <f>IFERROR(__xludf.DUMMYFUNCTION("""COMPUTED_VALUE"""),336.14)</f>
        <v>336.14</v>
      </c>
      <c r="E1071" s="1">
        <f>IFERROR(__xludf.DUMMYFUNCTION("""COMPUTED_VALUE"""),338.67)</f>
        <v>338.67</v>
      </c>
      <c r="F1071" s="1">
        <f>IFERROR(__xludf.DUMMYFUNCTION("""COMPUTED_VALUE"""),1.7935938E7)</f>
        <v>17935938</v>
      </c>
    </row>
    <row r="1072">
      <c r="A1072" s="2">
        <f>IFERROR(__xludf.DUMMYFUNCTION("""COMPUTED_VALUE"""),32945.666666666664)</f>
        <v>32945.66667</v>
      </c>
      <c r="B1072" s="1">
        <f>IFERROR(__xludf.DUMMYFUNCTION("""COMPUTED_VALUE"""),338.67)</f>
        <v>338.67</v>
      </c>
      <c r="C1072" s="1">
        <f>IFERROR(__xludf.DUMMYFUNCTION("""COMPUTED_VALUE"""),338.67)</f>
        <v>338.67</v>
      </c>
      <c r="D1072" s="1">
        <f>IFERROR(__xludf.DUMMYFUNCTION("""COMPUTED_VALUE"""),335.36)</f>
        <v>335.36</v>
      </c>
      <c r="E1072" s="1">
        <f>IFERROR(__xludf.DUMMYFUNCTION("""COMPUTED_VALUE"""),336.0)</f>
        <v>336</v>
      </c>
      <c r="F1072" s="1">
        <f>IFERROR(__xludf.DUMMYFUNCTION("""COMPUTED_VALUE"""),2.2725E7)</f>
        <v>22725000</v>
      </c>
    </row>
    <row r="1073">
      <c r="A1073" s="2">
        <f>IFERROR(__xludf.DUMMYFUNCTION("""COMPUTED_VALUE"""),32946.666666666664)</f>
        <v>32946.66667</v>
      </c>
      <c r="B1073" s="1">
        <f>IFERROR(__xludf.DUMMYFUNCTION("""COMPUTED_VALUE"""),336.0)</f>
        <v>336</v>
      </c>
      <c r="C1073" s="1">
        <f>IFERROR(__xludf.DUMMYFUNCTION("""COMPUTED_VALUE"""),337.63)</f>
        <v>337.63</v>
      </c>
      <c r="D1073" s="1">
        <f>IFERROR(__xludf.DUMMYFUNCTION("""COMPUTED_VALUE"""),334.93)</f>
        <v>334.93</v>
      </c>
      <c r="E1073" s="1">
        <f>IFERROR(__xludf.DUMMYFUNCTION("""COMPUTED_VALUE"""),336.87)</f>
        <v>336.87</v>
      </c>
      <c r="F1073" s="1">
        <f>IFERROR(__xludf.DUMMYFUNCTION("""COMPUTED_VALUE"""),2.2665624E7)</f>
        <v>22665624</v>
      </c>
    </row>
    <row r="1074">
      <c r="A1074" s="2">
        <f>IFERROR(__xludf.DUMMYFUNCTION("""COMPUTED_VALUE"""),32947.666666666664)</f>
        <v>32947.66667</v>
      </c>
      <c r="B1074" s="1">
        <f>IFERROR(__xludf.DUMMYFUNCTION("""COMPUTED_VALUE"""),336.87)</f>
        <v>336.87</v>
      </c>
      <c r="C1074" s="1">
        <f>IFERROR(__xludf.DUMMYFUNCTION("""COMPUTED_VALUE"""),338.91)</f>
        <v>338.91</v>
      </c>
      <c r="D1074" s="1">
        <f>IFERROR(__xludf.DUMMYFUNCTION("""COMPUTED_VALUE"""),336.87)</f>
        <v>336.87</v>
      </c>
      <c r="E1074" s="1">
        <f>IFERROR(__xludf.DUMMYFUNCTION("""COMPUTED_VALUE"""),338.07)</f>
        <v>338.07</v>
      </c>
      <c r="F1074" s="1">
        <f>IFERROR(__xludf.DUMMYFUNCTION("""COMPUTED_VALUE"""),2.2564062E7)</f>
        <v>22564062</v>
      </c>
    </row>
    <row r="1075">
      <c r="A1075" s="2">
        <f>IFERROR(__xludf.DUMMYFUNCTION("""COMPUTED_VALUE"""),32948.666666666664)</f>
        <v>32948.66667</v>
      </c>
      <c r="B1075" s="1">
        <f>IFERROR(__xludf.DUMMYFUNCTION("""COMPUTED_VALUE"""),338.07)</f>
        <v>338.07</v>
      </c>
      <c r="C1075" s="1">
        <f>IFERROR(__xludf.DUMMYFUNCTION("""COMPUTED_VALUE"""),341.91)</f>
        <v>341.91</v>
      </c>
      <c r="D1075" s="1">
        <f>IFERROR(__xludf.DUMMYFUNCTION("""COMPUTED_VALUE"""),338.07)</f>
        <v>338.07</v>
      </c>
      <c r="E1075" s="1">
        <f>IFERROR(__xludf.DUMMYFUNCTION("""COMPUTED_VALUE"""),341.91)</f>
        <v>341.91</v>
      </c>
      <c r="F1075" s="1">
        <f>IFERROR(__xludf.DUMMYFUNCTION("""COMPUTED_VALUE"""),3.4768752E7)</f>
        <v>34768752</v>
      </c>
    </row>
    <row r="1076">
      <c r="A1076" s="2">
        <f>IFERROR(__xludf.DUMMYFUNCTION("""COMPUTED_VALUE"""),32951.666666666664)</f>
        <v>32951.66667</v>
      </c>
      <c r="B1076" s="1">
        <f>IFERROR(__xludf.DUMMYFUNCTION("""COMPUTED_VALUE"""),341.91)</f>
        <v>341.91</v>
      </c>
      <c r="C1076" s="1">
        <f>IFERROR(__xludf.DUMMYFUNCTION("""COMPUTED_VALUE"""),343.76)</f>
        <v>343.76</v>
      </c>
      <c r="D1076" s="1">
        <f>IFERROR(__xludf.DUMMYFUNCTION("""COMPUTED_VALUE"""),339.12)</f>
        <v>339.12</v>
      </c>
      <c r="E1076" s="1">
        <f>IFERROR(__xludf.DUMMYFUNCTION("""COMPUTED_VALUE"""),343.53)</f>
        <v>343.53</v>
      </c>
      <c r="F1076" s="1">
        <f>IFERROR(__xludf.DUMMYFUNCTION("""COMPUTED_VALUE"""),2.2234376E7)</f>
        <v>22234376</v>
      </c>
    </row>
    <row r="1077">
      <c r="A1077" s="2">
        <f>IFERROR(__xludf.DUMMYFUNCTION("""COMPUTED_VALUE"""),32952.666666666664)</f>
        <v>32952.66667</v>
      </c>
      <c r="B1077" s="1">
        <f>IFERROR(__xludf.DUMMYFUNCTION("""COMPUTED_VALUE"""),343.53)</f>
        <v>343.53</v>
      </c>
      <c r="C1077" s="1">
        <f>IFERROR(__xludf.DUMMYFUNCTION("""COMPUTED_VALUE"""),344.49)</f>
        <v>344.49</v>
      </c>
      <c r="D1077" s="1">
        <f>IFERROR(__xludf.DUMMYFUNCTION("""COMPUTED_VALUE"""),340.87)</f>
        <v>340.87</v>
      </c>
      <c r="E1077" s="1">
        <f>IFERROR(__xludf.DUMMYFUNCTION("""COMPUTED_VALUE"""),341.57)</f>
        <v>341.57</v>
      </c>
      <c r="F1077" s="1">
        <f>IFERROR(__xludf.DUMMYFUNCTION("""COMPUTED_VALUE"""),2.770625E7)</f>
        <v>27706250</v>
      </c>
    </row>
    <row r="1078">
      <c r="A1078" s="2">
        <f>IFERROR(__xludf.DUMMYFUNCTION("""COMPUTED_VALUE"""),32953.666666666664)</f>
        <v>32953.66667</v>
      </c>
      <c r="B1078" s="1">
        <f>IFERROR(__xludf.DUMMYFUNCTION("""COMPUTED_VALUE"""),341.57)</f>
        <v>341.57</v>
      </c>
      <c r="C1078" s="1">
        <f>IFERROR(__xludf.DUMMYFUNCTION("""COMPUTED_VALUE"""),342.34)</f>
        <v>342.34</v>
      </c>
      <c r="D1078" s="1">
        <f>IFERROR(__xludf.DUMMYFUNCTION("""COMPUTED_VALUE"""),339.56)</f>
        <v>339.56</v>
      </c>
      <c r="E1078" s="1">
        <f>IFERROR(__xludf.DUMMYFUNCTION("""COMPUTED_VALUE"""),339.74)</f>
        <v>339.74</v>
      </c>
      <c r="F1078" s="1">
        <f>IFERROR(__xludf.DUMMYFUNCTION("""COMPUTED_VALUE"""),2.0467188E7)</f>
        <v>20467188</v>
      </c>
    </row>
    <row r="1079">
      <c r="A1079" s="2">
        <f>IFERROR(__xludf.DUMMYFUNCTION("""COMPUTED_VALUE"""),32954.666666666664)</f>
        <v>32954.66667</v>
      </c>
      <c r="B1079" s="1">
        <f>IFERROR(__xludf.DUMMYFUNCTION("""COMPUTED_VALUE"""),339.74)</f>
        <v>339.74</v>
      </c>
      <c r="C1079" s="1">
        <f>IFERROR(__xludf.DUMMYFUNCTION("""COMPUTED_VALUE"""),339.77)</f>
        <v>339.77</v>
      </c>
      <c r="D1079" s="1">
        <f>IFERROR(__xludf.DUMMYFUNCTION("""COMPUTED_VALUE"""),333.62)</f>
        <v>333.62</v>
      </c>
      <c r="E1079" s="1">
        <f>IFERROR(__xludf.DUMMYFUNCTION("""COMPUTED_VALUE"""),335.69)</f>
        <v>335.69</v>
      </c>
      <c r="F1079" s="1">
        <f>IFERROR(__xludf.DUMMYFUNCTION("""COMPUTED_VALUE"""),2.7489062E7)</f>
        <v>27489062</v>
      </c>
    </row>
    <row r="1080">
      <c r="A1080" s="2">
        <f>IFERROR(__xludf.DUMMYFUNCTION("""COMPUTED_VALUE"""),32955.666666666664)</f>
        <v>32955.66667</v>
      </c>
      <c r="B1080" s="1">
        <f>IFERROR(__xludf.DUMMYFUNCTION("""COMPUTED_VALUE"""),335.69)</f>
        <v>335.69</v>
      </c>
      <c r="C1080" s="1">
        <f>IFERROR(__xludf.DUMMYFUNCTION("""COMPUTED_VALUE"""),337.58)</f>
        <v>337.58</v>
      </c>
      <c r="D1080" s="1">
        <f>IFERROR(__xludf.DUMMYFUNCTION("""COMPUTED_VALUE"""),335.69)</f>
        <v>335.69</v>
      </c>
      <c r="E1080" s="1">
        <f>IFERROR(__xludf.DUMMYFUNCTION("""COMPUTED_VALUE"""),337.22)</f>
        <v>337.22</v>
      </c>
      <c r="F1080" s="1">
        <f>IFERROR(__xludf.DUMMYFUNCTION("""COMPUTED_VALUE"""),2.0635938E7)</f>
        <v>20635938</v>
      </c>
    </row>
    <row r="1081">
      <c r="A1081" s="2">
        <f>IFERROR(__xludf.DUMMYFUNCTION("""COMPUTED_VALUE"""),32958.666666666664)</f>
        <v>32958.66667</v>
      </c>
      <c r="B1081" s="1">
        <f>IFERROR(__xludf.DUMMYFUNCTION("""COMPUTED_VALUE"""),337.22)</f>
        <v>337.22</v>
      </c>
      <c r="C1081" s="1">
        <f>IFERROR(__xludf.DUMMYFUNCTION("""COMPUTED_VALUE"""),339.74)</f>
        <v>339.74</v>
      </c>
      <c r="D1081" s="1">
        <f>IFERROR(__xludf.DUMMYFUNCTION("""COMPUTED_VALUE"""),337.22)</f>
        <v>337.22</v>
      </c>
      <c r="E1081" s="1">
        <f>IFERROR(__xludf.DUMMYFUNCTION("""COMPUTED_VALUE"""),337.63)</f>
        <v>337.63</v>
      </c>
      <c r="F1081" s="1">
        <f>IFERROR(__xludf.DUMMYFUNCTION("""COMPUTED_VALUE"""),1.8142188E7)</f>
        <v>18142188</v>
      </c>
    </row>
    <row r="1082">
      <c r="A1082" s="2">
        <f>IFERROR(__xludf.DUMMYFUNCTION("""COMPUTED_VALUE"""),32959.666666666664)</f>
        <v>32959.66667</v>
      </c>
      <c r="B1082" s="1">
        <f>IFERROR(__xludf.DUMMYFUNCTION("""COMPUTED_VALUE"""),337.63)</f>
        <v>337.63</v>
      </c>
      <c r="C1082" s="1">
        <f>IFERROR(__xludf.DUMMYFUNCTION("""COMPUTED_VALUE"""),341.5)</f>
        <v>341.5</v>
      </c>
      <c r="D1082" s="1">
        <f>IFERROR(__xludf.DUMMYFUNCTION("""COMPUTED_VALUE"""),337.03)</f>
        <v>337.03</v>
      </c>
      <c r="E1082" s="1">
        <f>IFERROR(__xludf.DUMMYFUNCTION("""COMPUTED_VALUE"""),341.5)</f>
        <v>341.5</v>
      </c>
      <c r="F1082" s="1">
        <f>IFERROR(__xludf.DUMMYFUNCTION("""COMPUTED_VALUE"""),2.0564062E7)</f>
        <v>20564062</v>
      </c>
    </row>
    <row r="1083">
      <c r="A1083" s="2">
        <f>IFERROR(__xludf.DUMMYFUNCTION("""COMPUTED_VALUE"""),32960.666666666664)</f>
        <v>32960.66667</v>
      </c>
      <c r="B1083" s="1">
        <f>IFERROR(__xludf.DUMMYFUNCTION("""COMPUTED_VALUE"""),341.5)</f>
        <v>341.5</v>
      </c>
      <c r="C1083" s="1">
        <f>IFERROR(__xludf.DUMMYFUNCTION("""COMPUTED_VALUE"""),342.58)</f>
        <v>342.58</v>
      </c>
      <c r="D1083" s="1">
        <f>IFERROR(__xludf.DUMMYFUNCTION("""COMPUTED_VALUE"""),340.6)</f>
        <v>340.6</v>
      </c>
      <c r="E1083" s="1">
        <f>IFERROR(__xludf.DUMMYFUNCTION("""COMPUTED_VALUE"""),342.0)</f>
        <v>342</v>
      </c>
      <c r="F1083" s="1">
        <f>IFERROR(__xludf.DUMMYFUNCTION("""COMPUTED_VALUE"""),2.2234376E7)</f>
        <v>22234376</v>
      </c>
    </row>
    <row r="1084">
      <c r="A1084" s="2">
        <f>IFERROR(__xludf.DUMMYFUNCTION("""COMPUTED_VALUE"""),32961.666666666664)</f>
        <v>32961.66667</v>
      </c>
      <c r="B1084" s="1">
        <f>IFERROR(__xludf.DUMMYFUNCTION("""COMPUTED_VALUE"""),342.0)</f>
        <v>342</v>
      </c>
      <c r="C1084" s="1">
        <f>IFERROR(__xludf.DUMMYFUNCTION("""COMPUTED_VALUE"""),342.07)</f>
        <v>342.07</v>
      </c>
      <c r="D1084" s="1">
        <f>IFERROR(__xludf.DUMMYFUNCTION("""COMPUTED_VALUE"""),339.77)</f>
        <v>339.77</v>
      </c>
      <c r="E1084" s="1">
        <f>IFERROR(__xludf.DUMMYFUNCTION("""COMPUTED_VALUE"""),340.79)</f>
        <v>340.79</v>
      </c>
      <c r="F1084" s="1">
        <f>IFERROR(__xludf.DUMMYFUNCTION("""COMPUTED_VALUE"""),2.0654688E7)</f>
        <v>20654688</v>
      </c>
    </row>
    <row r="1085">
      <c r="A1085" s="2">
        <f>IFERROR(__xludf.DUMMYFUNCTION("""COMPUTED_VALUE"""),32962.666666666664)</f>
        <v>32962.66667</v>
      </c>
      <c r="B1085" s="1">
        <f>IFERROR(__xludf.DUMMYFUNCTION("""COMPUTED_VALUE"""),340.79)</f>
        <v>340.79</v>
      </c>
      <c r="C1085" s="1">
        <f>IFERROR(__xludf.DUMMYFUNCTION("""COMPUTED_VALUE"""),341.41)</f>
        <v>341.41</v>
      </c>
      <c r="D1085" s="1">
        <f>IFERROR(__xludf.DUMMYFUNCTION("""COMPUTED_VALUE"""),338.21)</f>
        <v>338.21</v>
      </c>
      <c r="E1085" s="1">
        <f>IFERROR(__xludf.DUMMYFUNCTION("""COMPUTED_VALUE"""),339.94)</f>
        <v>339.94</v>
      </c>
      <c r="F1085" s="1">
        <f>IFERROR(__xludf.DUMMYFUNCTION("""COMPUTED_VALUE"""),2.1771876E7)</f>
        <v>21771876</v>
      </c>
    </row>
    <row r="1086">
      <c r="A1086" s="2">
        <f>IFERROR(__xludf.DUMMYFUNCTION("""COMPUTED_VALUE"""),32965.666666666664)</f>
        <v>32965.66667</v>
      </c>
      <c r="B1086" s="1">
        <f>IFERROR(__xludf.DUMMYFUNCTION("""COMPUTED_VALUE"""),339.94)</f>
        <v>339.94</v>
      </c>
      <c r="C1086" s="1">
        <f>IFERROR(__xludf.DUMMYFUNCTION("""COMPUTED_VALUE"""),339.94)</f>
        <v>339.94</v>
      </c>
      <c r="D1086" s="1">
        <f>IFERROR(__xludf.DUMMYFUNCTION("""COMPUTED_VALUE"""),336.33)</f>
        <v>336.33</v>
      </c>
      <c r="E1086" s="1">
        <f>IFERROR(__xludf.DUMMYFUNCTION("""COMPUTED_VALUE"""),338.7)</f>
        <v>338.7</v>
      </c>
      <c r="F1086" s="1">
        <f>IFERROR(__xludf.DUMMYFUNCTION("""COMPUTED_VALUE"""),1.943125E7)</f>
        <v>19431250</v>
      </c>
    </row>
    <row r="1087">
      <c r="A1087" s="2">
        <f>IFERROR(__xludf.DUMMYFUNCTION("""COMPUTED_VALUE"""),32966.666666666664)</f>
        <v>32966.66667</v>
      </c>
      <c r="B1087" s="1">
        <f>IFERROR(__xludf.DUMMYFUNCTION("""COMPUTED_VALUE"""),338.7)</f>
        <v>338.7</v>
      </c>
      <c r="C1087" s="1">
        <f>IFERROR(__xludf.DUMMYFUNCTION("""COMPUTED_VALUE"""),343.76)</f>
        <v>343.76</v>
      </c>
      <c r="D1087" s="1">
        <f>IFERROR(__xludf.DUMMYFUNCTION("""COMPUTED_VALUE"""),338.7)</f>
        <v>338.7</v>
      </c>
      <c r="E1087" s="1">
        <f>IFERROR(__xludf.DUMMYFUNCTION("""COMPUTED_VALUE"""),343.64)</f>
        <v>343.64</v>
      </c>
      <c r="F1087" s="1">
        <f>IFERROR(__xludf.DUMMYFUNCTION("""COMPUTED_VALUE"""),2.4110938E7)</f>
        <v>24110938</v>
      </c>
    </row>
    <row r="1088">
      <c r="A1088" s="2">
        <f>IFERROR(__xludf.DUMMYFUNCTION("""COMPUTED_VALUE"""),32967.666666666664)</f>
        <v>32967.66667</v>
      </c>
      <c r="B1088" s="1">
        <f>IFERROR(__xludf.DUMMYFUNCTION("""COMPUTED_VALUE"""),343.64)</f>
        <v>343.64</v>
      </c>
      <c r="C1088" s="1">
        <f>IFERROR(__xludf.DUMMYFUNCTION("""COMPUTED_VALUE"""),344.12)</f>
        <v>344.12</v>
      </c>
      <c r="D1088" s="1">
        <f>IFERROR(__xludf.DUMMYFUNCTION("""COMPUTED_VALUE"""),340.4)</f>
        <v>340.4</v>
      </c>
      <c r="E1088" s="1">
        <f>IFERROR(__xludf.DUMMYFUNCTION("""COMPUTED_VALUE"""),341.09)</f>
        <v>341.09</v>
      </c>
      <c r="F1088" s="1">
        <f>IFERROR(__xludf.DUMMYFUNCTION("""COMPUTED_VALUE"""),2.4926562E7)</f>
        <v>24926562</v>
      </c>
    </row>
    <row r="1089">
      <c r="A1089" s="2">
        <f>IFERROR(__xludf.DUMMYFUNCTION("""COMPUTED_VALUE"""),32968.666666666664)</f>
        <v>32968.66667</v>
      </c>
      <c r="B1089" s="1">
        <f>IFERROR(__xludf.DUMMYFUNCTION("""COMPUTED_VALUE"""),341.09)</f>
        <v>341.09</v>
      </c>
      <c r="C1089" s="1">
        <f>IFERROR(__xludf.DUMMYFUNCTION("""COMPUTED_VALUE"""),342.85)</f>
        <v>342.85</v>
      </c>
      <c r="D1089" s="1">
        <f>IFERROR(__xludf.DUMMYFUNCTION("""COMPUTED_VALUE"""),340.63)</f>
        <v>340.63</v>
      </c>
      <c r="E1089" s="1">
        <f>IFERROR(__xludf.DUMMYFUNCTION("""COMPUTED_VALUE"""),340.73)</f>
        <v>340.73</v>
      </c>
      <c r="F1089" s="1">
        <f>IFERROR(__xludf.DUMMYFUNCTION("""COMPUTED_VALUE"""),2.2526562E7)</f>
        <v>22526562</v>
      </c>
    </row>
    <row r="1090">
      <c r="A1090" s="2">
        <f>IFERROR(__xludf.DUMMYFUNCTION("""COMPUTED_VALUE"""),32969.666666666664)</f>
        <v>32969.66667</v>
      </c>
      <c r="B1090" s="1">
        <f>IFERROR(__xludf.DUMMYFUNCTION("""COMPUTED_VALUE"""),340.73)</f>
        <v>340.73</v>
      </c>
      <c r="C1090" s="1">
        <f>IFERROR(__xludf.DUMMYFUNCTION("""COMPUTED_VALUE"""),341.73)</f>
        <v>341.73</v>
      </c>
      <c r="D1090" s="1">
        <f>IFERROR(__xludf.DUMMYFUNCTION("""COMPUTED_VALUE"""),338.94)</f>
        <v>338.94</v>
      </c>
      <c r="E1090" s="1">
        <f>IFERROR(__xludf.DUMMYFUNCTION("""COMPUTED_VALUE"""),340.08)</f>
        <v>340.08</v>
      </c>
      <c r="F1090" s="1">
        <f>IFERROR(__xludf.DUMMYFUNCTION("""COMPUTED_VALUE"""),2.1482812E7)</f>
        <v>21482812</v>
      </c>
    </row>
    <row r="1091">
      <c r="A1091" s="2">
        <f>IFERROR(__xludf.DUMMYFUNCTION("""COMPUTED_VALUE"""),32972.666666666664)</f>
        <v>32972.66667</v>
      </c>
      <c r="B1091" s="1">
        <f>IFERROR(__xludf.DUMMYFUNCTION("""COMPUTED_VALUE"""),340.08)</f>
        <v>340.08</v>
      </c>
      <c r="C1091" s="1">
        <f>IFERROR(__xludf.DUMMYFUNCTION("""COMPUTED_VALUE"""),341.83)</f>
        <v>341.83</v>
      </c>
      <c r="D1091" s="1">
        <f>IFERROR(__xludf.DUMMYFUNCTION("""COMPUTED_VALUE"""),339.88)</f>
        <v>339.88</v>
      </c>
      <c r="E1091" s="1">
        <f>IFERROR(__xludf.DUMMYFUNCTION("""COMPUTED_VALUE"""),341.37)</f>
        <v>341.37</v>
      </c>
      <c r="F1091" s="1">
        <f>IFERROR(__xludf.DUMMYFUNCTION("""COMPUTED_VALUE"""),1.7964062E7)</f>
        <v>17964062</v>
      </c>
    </row>
    <row r="1092">
      <c r="A1092" s="2">
        <f>IFERROR(__xludf.DUMMYFUNCTION("""COMPUTED_VALUE"""),32973.666666666664)</f>
        <v>32973.66667</v>
      </c>
      <c r="B1092" s="1">
        <f>IFERROR(__xludf.DUMMYFUNCTION("""COMPUTED_VALUE"""),341.37)</f>
        <v>341.37</v>
      </c>
      <c r="C1092" s="1">
        <f>IFERROR(__xludf.DUMMYFUNCTION("""COMPUTED_VALUE"""),342.41)</f>
        <v>342.41</v>
      </c>
      <c r="D1092" s="1">
        <f>IFERROR(__xludf.DUMMYFUNCTION("""COMPUTED_VALUE"""),340.62)</f>
        <v>340.62</v>
      </c>
      <c r="E1092" s="1">
        <f>IFERROR(__xludf.DUMMYFUNCTION("""COMPUTED_VALUE"""),342.07)</f>
        <v>342.07</v>
      </c>
      <c r="F1092" s="1">
        <f>IFERROR(__xludf.DUMMYFUNCTION("""COMPUTED_VALUE"""),2.1253124E7)</f>
        <v>21253124</v>
      </c>
    </row>
    <row r="1093">
      <c r="A1093" s="2">
        <f>IFERROR(__xludf.DUMMYFUNCTION("""COMPUTED_VALUE"""),32974.666666666664)</f>
        <v>32974.66667</v>
      </c>
      <c r="B1093" s="1">
        <f>IFERROR(__xludf.DUMMYFUNCTION("""COMPUTED_VALUE"""),342.07)</f>
        <v>342.07</v>
      </c>
      <c r="C1093" s="1">
        <f>IFERROR(__xludf.DUMMYFUNCTION("""COMPUTED_VALUE"""),343.0)</f>
        <v>343</v>
      </c>
      <c r="D1093" s="1">
        <f>IFERROR(__xludf.DUMMYFUNCTION("""COMPUTED_VALUE"""),341.26)</f>
        <v>341.26</v>
      </c>
      <c r="E1093" s="1">
        <f>IFERROR(__xludf.DUMMYFUNCTION("""COMPUTED_VALUE"""),341.92)</f>
        <v>341.92</v>
      </c>
      <c r="F1093" s="1">
        <f>IFERROR(__xludf.DUMMYFUNCTION("""COMPUTED_VALUE"""),2.204375E7)</f>
        <v>22043750</v>
      </c>
    </row>
    <row r="1094">
      <c r="A1094" s="2">
        <f>IFERROR(__xludf.DUMMYFUNCTION("""COMPUTED_VALUE"""),32975.666666666664)</f>
        <v>32975.66667</v>
      </c>
      <c r="B1094" s="1">
        <f>IFERROR(__xludf.DUMMYFUNCTION("""COMPUTED_VALUE"""),341.92)</f>
        <v>341.92</v>
      </c>
      <c r="C1094" s="1">
        <f>IFERROR(__xludf.DUMMYFUNCTION("""COMPUTED_VALUE"""),344.79)</f>
        <v>344.79</v>
      </c>
      <c r="D1094" s="1">
        <f>IFERROR(__xludf.DUMMYFUNCTION("""COMPUTED_VALUE"""),341.91)</f>
        <v>341.91</v>
      </c>
      <c r="E1094" s="1">
        <f>IFERROR(__xludf.DUMMYFUNCTION("""COMPUTED_VALUE"""),344.34)</f>
        <v>344.34</v>
      </c>
      <c r="F1094" s="1">
        <f>IFERROR(__xludf.DUMMYFUNCTION("""COMPUTED_VALUE"""),2.2260938E7)</f>
        <v>22260938</v>
      </c>
    </row>
    <row r="1095">
      <c r="A1095" s="2">
        <f>IFERROR(__xludf.DUMMYFUNCTION("""COMPUTED_VALUE"""),32979.666666666664)</f>
        <v>32979.66667</v>
      </c>
      <c r="B1095" s="1">
        <f>IFERROR(__xludf.DUMMYFUNCTION("""COMPUTED_VALUE"""),344.34)</f>
        <v>344.34</v>
      </c>
      <c r="C1095" s="1">
        <f>IFERROR(__xludf.DUMMYFUNCTION("""COMPUTED_VALUE"""),347.3)</f>
        <v>347.3</v>
      </c>
      <c r="D1095" s="1">
        <f>IFERROR(__xludf.DUMMYFUNCTION("""COMPUTED_VALUE"""),344.1)</f>
        <v>344.1</v>
      </c>
      <c r="E1095" s="1">
        <f>IFERROR(__xludf.DUMMYFUNCTION("""COMPUTED_VALUE"""),344.74)</f>
        <v>344.74</v>
      </c>
      <c r="F1095" s="1">
        <f>IFERROR(__xludf.DUMMYFUNCTION("""COMPUTED_VALUE"""),2.2314062E7)</f>
        <v>22314062</v>
      </c>
    </row>
    <row r="1096">
      <c r="A1096" s="2">
        <f>IFERROR(__xludf.DUMMYFUNCTION("""COMPUTED_VALUE"""),32980.666666666664)</f>
        <v>32980.66667</v>
      </c>
      <c r="B1096" s="1">
        <f>IFERROR(__xludf.DUMMYFUNCTION("""COMPUTED_VALUE"""),344.74)</f>
        <v>344.74</v>
      </c>
      <c r="C1096" s="1">
        <f>IFERROR(__xludf.DUMMYFUNCTION("""COMPUTED_VALUE"""),345.19)</f>
        <v>345.19</v>
      </c>
      <c r="D1096" s="1">
        <f>IFERROR(__xludf.DUMMYFUNCTION("""COMPUTED_VALUE"""),342.06)</f>
        <v>342.06</v>
      </c>
      <c r="E1096" s="1">
        <f>IFERROR(__xludf.DUMMYFUNCTION("""COMPUTED_VALUE"""),344.68)</f>
        <v>344.68</v>
      </c>
      <c r="F1096" s="1">
        <f>IFERROR(__xludf.DUMMYFUNCTION("""COMPUTED_VALUE"""),1.9998438E7)</f>
        <v>19998438</v>
      </c>
    </row>
    <row r="1097">
      <c r="A1097" s="2">
        <f>IFERROR(__xludf.DUMMYFUNCTION("""COMPUTED_VALUE"""),32981.666666666664)</f>
        <v>32981.66667</v>
      </c>
      <c r="B1097" s="1">
        <f>IFERROR(__xludf.DUMMYFUNCTION("""COMPUTED_VALUE"""),344.68)</f>
        <v>344.68</v>
      </c>
      <c r="C1097" s="1">
        <f>IFERROR(__xludf.DUMMYFUNCTION("""COMPUTED_VALUE"""),345.33)</f>
        <v>345.33</v>
      </c>
      <c r="D1097" s="1">
        <f>IFERROR(__xludf.DUMMYFUNCTION("""COMPUTED_VALUE"""),340.11)</f>
        <v>340.11</v>
      </c>
      <c r="E1097" s="1">
        <f>IFERROR(__xludf.DUMMYFUNCTION("""COMPUTED_VALUE"""),340.72)</f>
        <v>340.72</v>
      </c>
      <c r="F1097" s="1">
        <f>IFERROR(__xludf.DUMMYFUNCTION("""COMPUTED_VALUE"""),2.2989062E7)</f>
        <v>22989062</v>
      </c>
    </row>
    <row r="1098">
      <c r="A1098" s="2">
        <f>IFERROR(__xludf.DUMMYFUNCTION("""COMPUTED_VALUE"""),32982.666666666664)</f>
        <v>32982.66667</v>
      </c>
      <c r="B1098" s="1">
        <f>IFERROR(__xludf.DUMMYFUNCTION("""COMPUTED_VALUE"""),340.72)</f>
        <v>340.72</v>
      </c>
      <c r="C1098" s="1">
        <f>IFERROR(__xludf.DUMMYFUNCTION("""COMPUTED_VALUE"""),340.72)</f>
        <v>340.72</v>
      </c>
      <c r="D1098" s="1">
        <f>IFERROR(__xludf.DUMMYFUNCTION("""COMPUTED_VALUE"""),337.59)</f>
        <v>337.59</v>
      </c>
      <c r="E1098" s="1">
        <f>IFERROR(__xludf.DUMMYFUNCTION("""COMPUTED_VALUE"""),338.09)</f>
        <v>338.09</v>
      </c>
      <c r="F1098" s="1">
        <f>IFERROR(__xludf.DUMMYFUNCTION("""COMPUTED_VALUE"""),2.3895312E7)</f>
        <v>23895312</v>
      </c>
    </row>
    <row r="1099">
      <c r="A1099" s="2">
        <f>IFERROR(__xludf.DUMMYFUNCTION("""COMPUTED_VALUE"""),32983.666666666664)</f>
        <v>32983.66667</v>
      </c>
      <c r="B1099" s="1">
        <f>IFERROR(__xludf.DUMMYFUNCTION("""COMPUTED_VALUE"""),338.09)</f>
        <v>338.09</v>
      </c>
      <c r="C1099" s="1">
        <f>IFERROR(__xludf.DUMMYFUNCTION("""COMPUTED_VALUE"""),338.52)</f>
        <v>338.52</v>
      </c>
      <c r="D1099" s="1">
        <f>IFERROR(__xludf.DUMMYFUNCTION("""COMPUTED_VALUE"""),333.41)</f>
        <v>333.41</v>
      </c>
      <c r="E1099" s="1">
        <f>IFERROR(__xludf.DUMMYFUNCTION("""COMPUTED_VALUE"""),335.12)</f>
        <v>335.12</v>
      </c>
      <c r="F1099" s="1">
        <f>IFERROR(__xludf.DUMMYFUNCTION("""COMPUTED_VALUE"""),2.7228124E7)</f>
        <v>27228124</v>
      </c>
    </row>
    <row r="1100">
      <c r="A1100" s="2">
        <f>IFERROR(__xludf.DUMMYFUNCTION("""COMPUTED_VALUE"""),32986.666666666664)</f>
        <v>32986.66667</v>
      </c>
      <c r="B1100" s="1">
        <f>IFERROR(__xludf.DUMMYFUNCTION("""COMPUTED_VALUE"""),335.12)</f>
        <v>335.12</v>
      </c>
      <c r="C1100" s="1">
        <f>IFERROR(__xludf.DUMMYFUNCTION("""COMPUTED_VALUE"""),335.12)</f>
        <v>335.12</v>
      </c>
      <c r="D1100" s="1">
        <f>IFERROR(__xludf.DUMMYFUNCTION("""COMPUTED_VALUE"""),330.09)</f>
        <v>330.09</v>
      </c>
      <c r="E1100" s="1">
        <f>IFERROR(__xludf.DUMMYFUNCTION("""COMPUTED_VALUE"""),331.05)</f>
        <v>331.05</v>
      </c>
      <c r="F1100" s="1">
        <f>IFERROR(__xludf.DUMMYFUNCTION("""COMPUTED_VALUE"""),2.1273438E7)</f>
        <v>21273438</v>
      </c>
    </row>
    <row r="1101">
      <c r="A1101" s="2">
        <f>IFERROR(__xludf.DUMMYFUNCTION("""COMPUTED_VALUE"""),32987.666666666664)</f>
        <v>32987.66667</v>
      </c>
      <c r="B1101" s="1">
        <f>IFERROR(__xludf.DUMMYFUNCTION("""COMPUTED_VALUE"""),331.05)</f>
        <v>331.05</v>
      </c>
      <c r="C1101" s="1">
        <f>IFERROR(__xludf.DUMMYFUNCTION("""COMPUTED_VALUE"""),332.97)</f>
        <v>332.97</v>
      </c>
      <c r="D1101" s="1">
        <f>IFERROR(__xludf.DUMMYFUNCTION("""COMPUTED_VALUE"""),329.71)</f>
        <v>329.71</v>
      </c>
      <c r="E1101" s="1">
        <f>IFERROR(__xludf.DUMMYFUNCTION("""COMPUTED_VALUE"""),330.36)</f>
        <v>330.36</v>
      </c>
      <c r="F1101" s="1">
        <f>IFERROR(__xludf.DUMMYFUNCTION("""COMPUTED_VALUE"""),2.14625E7)</f>
        <v>21462500</v>
      </c>
    </row>
    <row r="1102">
      <c r="A1102" s="2">
        <f>IFERROR(__xludf.DUMMYFUNCTION("""COMPUTED_VALUE"""),32988.666666666664)</f>
        <v>32988.66667</v>
      </c>
      <c r="B1102" s="1">
        <f>IFERROR(__xludf.DUMMYFUNCTION("""COMPUTED_VALUE"""),330.36)</f>
        <v>330.36</v>
      </c>
      <c r="C1102" s="1">
        <f>IFERROR(__xludf.DUMMYFUNCTION("""COMPUTED_VALUE"""),332.74)</f>
        <v>332.74</v>
      </c>
      <c r="D1102" s="1">
        <f>IFERROR(__xludf.DUMMYFUNCTION("""COMPUTED_VALUE"""),330.36)</f>
        <v>330.36</v>
      </c>
      <c r="E1102" s="1">
        <f>IFERROR(__xludf.DUMMYFUNCTION("""COMPUTED_VALUE"""),332.03)</f>
        <v>332.03</v>
      </c>
      <c r="F1102" s="1">
        <f>IFERROR(__xludf.DUMMYFUNCTION("""COMPUTED_VALUE"""),2.085625E7)</f>
        <v>20856250</v>
      </c>
    </row>
    <row r="1103">
      <c r="A1103" s="2">
        <f>IFERROR(__xludf.DUMMYFUNCTION("""COMPUTED_VALUE"""),32989.666666666664)</f>
        <v>32989.66667</v>
      </c>
      <c r="B1103" s="1">
        <f>IFERROR(__xludf.DUMMYFUNCTION("""COMPUTED_VALUE"""),332.03)</f>
        <v>332.03</v>
      </c>
      <c r="C1103" s="1">
        <f>IFERROR(__xludf.DUMMYFUNCTION("""COMPUTED_VALUE"""),333.76)</f>
        <v>333.76</v>
      </c>
      <c r="D1103" s="1">
        <f>IFERROR(__xludf.DUMMYFUNCTION("""COMPUTED_VALUE"""),330.67)</f>
        <v>330.67</v>
      </c>
      <c r="E1103" s="1">
        <f>IFERROR(__xludf.DUMMYFUNCTION("""COMPUTED_VALUE"""),332.92)</f>
        <v>332.92</v>
      </c>
      <c r="F1103" s="1">
        <f>IFERROR(__xludf.DUMMYFUNCTION("""COMPUTED_VALUE"""),2.2082812E7)</f>
        <v>22082812</v>
      </c>
    </row>
    <row r="1104">
      <c r="A1104" s="2">
        <f>IFERROR(__xludf.DUMMYFUNCTION("""COMPUTED_VALUE"""),32990.666666666664)</f>
        <v>32990.66667</v>
      </c>
      <c r="B1104" s="1">
        <f>IFERROR(__xludf.DUMMYFUNCTION("""COMPUTED_VALUE"""),332.92)</f>
        <v>332.92</v>
      </c>
      <c r="C1104" s="1">
        <f>IFERROR(__xludf.DUMMYFUNCTION("""COMPUTED_VALUE"""),333.57)</f>
        <v>333.57</v>
      </c>
      <c r="D1104" s="1">
        <f>IFERROR(__xludf.DUMMYFUNCTION("""COMPUTED_VALUE"""),328.71)</f>
        <v>328.71</v>
      </c>
      <c r="E1104" s="1">
        <f>IFERROR(__xludf.DUMMYFUNCTION("""COMPUTED_VALUE"""),329.11)</f>
        <v>329.11</v>
      </c>
      <c r="F1104" s="1">
        <f>IFERROR(__xludf.DUMMYFUNCTION("""COMPUTED_VALUE"""),2.0410938E7)</f>
        <v>20410938</v>
      </c>
    </row>
    <row r="1105">
      <c r="A1105" s="2">
        <f>IFERROR(__xludf.DUMMYFUNCTION("""COMPUTED_VALUE"""),32993.666666666664)</f>
        <v>32993.66667</v>
      </c>
      <c r="B1105" s="1">
        <f>IFERROR(__xludf.DUMMYFUNCTION("""COMPUTED_VALUE"""),329.11)</f>
        <v>329.11</v>
      </c>
      <c r="C1105" s="1">
        <f>IFERROR(__xludf.DUMMYFUNCTION("""COMPUTED_VALUE"""),331.31)</f>
        <v>331.31</v>
      </c>
      <c r="D1105" s="1">
        <f>IFERROR(__xludf.DUMMYFUNCTION("""COMPUTED_VALUE"""),327.76)</f>
        <v>327.76</v>
      </c>
      <c r="E1105" s="1">
        <f>IFERROR(__xludf.DUMMYFUNCTION("""COMPUTED_VALUE"""),330.8)</f>
        <v>330.8</v>
      </c>
      <c r="F1105" s="1">
        <f>IFERROR(__xludf.DUMMYFUNCTION("""COMPUTED_VALUE"""),1.9179688E7)</f>
        <v>19179688</v>
      </c>
    </row>
    <row r="1106">
      <c r="A1106" s="2">
        <f>IFERROR(__xludf.DUMMYFUNCTION("""COMPUTED_VALUE"""),32994.666666666664)</f>
        <v>32994.66667</v>
      </c>
      <c r="B1106" s="1">
        <f>IFERROR(__xludf.DUMMYFUNCTION("""COMPUTED_VALUE"""),330.8)</f>
        <v>330.8</v>
      </c>
      <c r="C1106" s="1">
        <f>IFERROR(__xludf.DUMMYFUNCTION("""COMPUTED_VALUE"""),332.83)</f>
        <v>332.83</v>
      </c>
      <c r="D1106" s="1">
        <f>IFERROR(__xludf.DUMMYFUNCTION("""COMPUTED_VALUE"""),330.8)</f>
        <v>330.8</v>
      </c>
      <c r="E1106" s="1">
        <f>IFERROR(__xludf.DUMMYFUNCTION("""COMPUTED_VALUE"""),332.25)</f>
        <v>332.25</v>
      </c>
      <c r="F1106" s="1">
        <f>IFERROR(__xludf.DUMMYFUNCTION("""COMPUTED_VALUE"""),2.3284376E7)</f>
        <v>23284376</v>
      </c>
    </row>
    <row r="1107">
      <c r="A1107" s="2">
        <f>IFERROR(__xludf.DUMMYFUNCTION("""COMPUTED_VALUE"""),32995.666666666664)</f>
        <v>32995.66667</v>
      </c>
      <c r="B1107" s="1">
        <f>IFERROR(__xludf.DUMMYFUNCTION("""COMPUTED_VALUE"""),332.25)</f>
        <v>332.25</v>
      </c>
      <c r="C1107" s="1">
        <f>IFERROR(__xludf.DUMMYFUNCTION("""COMPUTED_VALUE"""),334.48)</f>
        <v>334.48</v>
      </c>
      <c r="D1107" s="1">
        <f>IFERROR(__xludf.DUMMYFUNCTION("""COMPUTED_VALUE"""),332.15)</f>
        <v>332.15</v>
      </c>
      <c r="E1107" s="1">
        <f>IFERROR(__xludf.DUMMYFUNCTION("""COMPUTED_VALUE"""),334.48)</f>
        <v>334.48</v>
      </c>
      <c r="F1107" s="1">
        <f>IFERROR(__xludf.DUMMYFUNCTION("""COMPUTED_VALUE"""),2.2126562E7)</f>
        <v>22126562</v>
      </c>
    </row>
    <row r="1108">
      <c r="A1108" s="2">
        <f>IFERROR(__xludf.DUMMYFUNCTION("""COMPUTED_VALUE"""),32996.666666666664)</f>
        <v>32996.66667</v>
      </c>
      <c r="B1108" s="1">
        <f>IFERROR(__xludf.DUMMYFUNCTION("""COMPUTED_VALUE"""),334.48)</f>
        <v>334.48</v>
      </c>
      <c r="C1108" s="1">
        <f>IFERROR(__xludf.DUMMYFUNCTION("""COMPUTED_VALUE"""),337.02)</f>
        <v>337.02</v>
      </c>
      <c r="D1108" s="1">
        <f>IFERROR(__xludf.DUMMYFUNCTION("""COMPUTED_VALUE"""),334.47)</f>
        <v>334.47</v>
      </c>
      <c r="E1108" s="1">
        <f>IFERROR(__xludf.DUMMYFUNCTION("""COMPUTED_VALUE"""),335.57)</f>
        <v>335.57</v>
      </c>
      <c r="F1108" s="1">
        <f>IFERROR(__xludf.DUMMYFUNCTION("""COMPUTED_VALUE"""),2.274375E7)</f>
        <v>22743750</v>
      </c>
    </row>
    <row r="1109">
      <c r="A1109" s="2">
        <f>IFERROR(__xludf.DUMMYFUNCTION("""COMPUTED_VALUE"""),32997.666666666664)</f>
        <v>32997.66667</v>
      </c>
      <c r="B1109" s="1">
        <f>IFERROR(__xludf.DUMMYFUNCTION("""COMPUTED_VALUE"""),335.58)</f>
        <v>335.58</v>
      </c>
      <c r="C1109" s="1">
        <f>IFERROR(__xludf.DUMMYFUNCTION("""COMPUTED_VALUE"""),338.46)</f>
        <v>338.46</v>
      </c>
      <c r="D1109" s="1">
        <f>IFERROR(__xludf.DUMMYFUNCTION("""COMPUTED_VALUE"""),335.17)</f>
        <v>335.17</v>
      </c>
      <c r="E1109" s="1">
        <f>IFERROR(__xludf.DUMMYFUNCTION("""COMPUTED_VALUE"""),338.39)</f>
        <v>338.39</v>
      </c>
      <c r="F1109" s="1">
        <f>IFERROR(__xludf.DUMMYFUNCTION("""COMPUTED_VALUE"""),2.1960938E7)</f>
        <v>21960938</v>
      </c>
    </row>
    <row r="1110">
      <c r="A1110" s="2">
        <f>IFERROR(__xludf.DUMMYFUNCTION("""COMPUTED_VALUE"""),33000.666666666664)</f>
        <v>33000.66667</v>
      </c>
      <c r="B1110" s="1">
        <f>IFERROR(__xludf.DUMMYFUNCTION("""COMPUTED_VALUE"""),338.39)</f>
        <v>338.39</v>
      </c>
      <c r="C1110" s="1">
        <f>IFERROR(__xludf.DUMMYFUNCTION("""COMPUTED_VALUE"""),341.07)</f>
        <v>341.07</v>
      </c>
      <c r="D1110" s="1">
        <f>IFERROR(__xludf.DUMMYFUNCTION("""COMPUTED_VALUE"""),338.11)</f>
        <v>338.11</v>
      </c>
      <c r="E1110" s="1">
        <f>IFERROR(__xludf.DUMMYFUNCTION("""COMPUTED_VALUE"""),340.53)</f>
        <v>340.53</v>
      </c>
      <c r="F1110" s="1">
        <f>IFERROR(__xludf.DUMMYFUNCTION("""COMPUTED_VALUE"""),2.074375E7)</f>
        <v>20743750</v>
      </c>
    </row>
    <row r="1111">
      <c r="A1111" s="2">
        <f>IFERROR(__xludf.DUMMYFUNCTION("""COMPUTED_VALUE"""),33001.666666666664)</f>
        <v>33001.66667</v>
      </c>
      <c r="B1111" s="1">
        <f>IFERROR(__xludf.DUMMYFUNCTION("""COMPUTED_VALUE"""),340.53)</f>
        <v>340.53</v>
      </c>
      <c r="C1111" s="1">
        <f>IFERROR(__xludf.DUMMYFUNCTION("""COMPUTED_VALUE"""),342.03)</f>
        <v>342.03</v>
      </c>
      <c r="D1111" s="1">
        <f>IFERROR(__xludf.DUMMYFUNCTION("""COMPUTED_VALUE"""),340.17)</f>
        <v>340.17</v>
      </c>
      <c r="E1111" s="1">
        <f>IFERROR(__xludf.DUMMYFUNCTION("""COMPUTED_VALUE"""),342.01)</f>
        <v>342.01</v>
      </c>
      <c r="F1111" s="1">
        <f>IFERROR(__xludf.DUMMYFUNCTION("""COMPUTED_VALUE"""),2.2535938E7)</f>
        <v>22535938</v>
      </c>
    </row>
    <row r="1112">
      <c r="A1112" s="2">
        <f>IFERROR(__xludf.DUMMYFUNCTION("""COMPUTED_VALUE"""),33002.666666666664)</f>
        <v>33002.66667</v>
      </c>
      <c r="B1112" s="1">
        <f>IFERROR(__xludf.DUMMYFUNCTION("""COMPUTED_VALUE"""),342.01)</f>
        <v>342.01</v>
      </c>
      <c r="C1112" s="1">
        <f>IFERROR(__xludf.DUMMYFUNCTION("""COMPUTED_VALUE"""),343.08)</f>
        <v>343.08</v>
      </c>
      <c r="D1112" s="1">
        <f>IFERROR(__xludf.DUMMYFUNCTION("""COMPUTED_VALUE"""),340.9)</f>
        <v>340.9</v>
      </c>
      <c r="E1112" s="1">
        <f>IFERROR(__xludf.DUMMYFUNCTION("""COMPUTED_VALUE"""),342.86)</f>
        <v>342.86</v>
      </c>
      <c r="F1112" s="1">
        <f>IFERROR(__xludf.DUMMYFUNCTION("""COMPUTED_VALUE"""),2.3784376E7)</f>
        <v>23784376</v>
      </c>
    </row>
    <row r="1113">
      <c r="A1113" s="2">
        <f>IFERROR(__xludf.DUMMYFUNCTION("""COMPUTED_VALUE"""),33003.666666666664)</f>
        <v>33003.66667</v>
      </c>
      <c r="B1113" s="1">
        <f>IFERROR(__xludf.DUMMYFUNCTION("""COMPUTED_VALUE"""),342.87)</f>
        <v>342.87</v>
      </c>
      <c r="C1113" s="1">
        <f>IFERROR(__xludf.DUMMYFUNCTION("""COMPUTED_VALUE"""),344.98)</f>
        <v>344.98</v>
      </c>
      <c r="D1113" s="1">
        <f>IFERROR(__xludf.DUMMYFUNCTION("""COMPUTED_VALUE"""),342.77)</f>
        <v>342.77</v>
      </c>
      <c r="E1113" s="1">
        <f>IFERROR(__xludf.DUMMYFUNCTION("""COMPUTED_VALUE"""),343.82)</f>
        <v>343.82</v>
      </c>
      <c r="F1113" s="1">
        <f>IFERROR(__xludf.DUMMYFUNCTION("""COMPUTED_VALUE"""),2.4759376E7)</f>
        <v>24759376</v>
      </c>
    </row>
    <row r="1114">
      <c r="A1114" s="2">
        <f>IFERROR(__xludf.DUMMYFUNCTION("""COMPUTED_VALUE"""),33004.666666666664)</f>
        <v>33004.66667</v>
      </c>
      <c r="B1114" s="1">
        <f>IFERROR(__xludf.DUMMYFUNCTION("""COMPUTED_VALUE"""),343.82)</f>
        <v>343.82</v>
      </c>
      <c r="C1114" s="1">
        <f>IFERROR(__xludf.DUMMYFUNCTION("""COMPUTED_VALUE"""),352.31)</f>
        <v>352.31</v>
      </c>
      <c r="D1114" s="1">
        <f>IFERROR(__xludf.DUMMYFUNCTION("""COMPUTED_VALUE"""),343.82)</f>
        <v>343.82</v>
      </c>
      <c r="E1114" s="1">
        <f>IFERROR(__xludf.DUMMYFUNCTION("""COMPUTED_VALUE"""),352.0)</f>
        <v>352</v>
      </c>
      <c r="F1114" s="1">
        <f>IFERROR(__xludf.DUMMYFUNCTION("""COMPUTED_VALUE"""),3.6568752E7)</f>
        <v>36568752</v>
      </c>
    </row>
    <row r="1115">
      <c r="A1115" s="2">
        <f>IFERROR(__xludf.DUMMYFUNCTION("""COMPUTED_VALUE"""),33007.666666666664)</f>
        <v>33007.66667</v>
      </c>
      <c r="B1115" s="1">
        <f>IFERROR(__xludf.DUMMYFUNCTION("""COMPUTED_VALUE"""),352.0)</f>
        <v>352</v>
      </c>
      <c r="C1115" s="1">
        <f>IFERROR(__xludf.DUMMYFUNCTION("""COMPUTED_VALUE"""),358.41)</f>
        <v>358.41</v>
      </c>
      <c r="D1115" s="1">
        <f>IFERROR(__xludf.DUMMYFUNCTION("""COMPUTED_VALUE"""),351.95)</f>
        <v>351.95</v>
      </c>
      <c r="E1115" s="1">
        <f>IFERROR(__xludf.DUMMYFUNCTION("""COMPUTED_VALUE"""),354.75)</f>
        <v>354.75</v>
      </c>
      <c r="F1115" s="1">
        <f>IFERROR(__xludf.DUMMYFUNCTION("""COMPUTED_VALUE"""),3.5220312E7)</f>
        <v>35220312</v>
      </c>
    </row>
    <row r="1116">
      <c r="A1116" s="2">
        <f>IFERROR(__xludf.DUMMYFUNCTION("""COMPUTED_VALUE"""),33008.666666666664)</f>
        <v>33008.66667</v>
      </c>
      <c r="B1116" s="1">
        <f>IFERROR(__xludf.DUMMYFUNCTION("""COMPUTED_VALUE"""),354.75)</f>
        <v>354.75</v>
      </c>
      <c r="C1116" s="1">
        <f>IFERROR(__xludf.DUMMYFUNCTION("""COMPUTED_VALUE"""),355.09)</f>
        <v>355.09</v>
      </c>
      <c r="D1116" s="1">
        <f>IFERROR(__xludf.DUMMYFUNCTION("""COMPUTED_VALUE"""),352.84)</f>
        <v>352.84</v>
      </c>
      <c r="E1116" s="1">
        <f>IFERROR(__xludf.DUMMYFUNCTION("""COMPUTED_VALUE"""),354.28)</f>
        <v>354.28</v>
      </c>
      <c r="F1116" s="1">
        <f>IFERROR(__xludf.DUMMYFUNCTION("""COMPUTED_VALUE"""),2.5895312E7)</f>
        <v>25895312</v>
      </c>
    </row>
    <row r="1117">
      <c r="A1117" s="2">
        <f>IFERROR(__xludf.DUMMYFUNCTION("""COMPUTED_VALUE"""),33009.666666666664)</f>
        <v>33009.66667</v>
      </c>
      <c r="B1117" s="1">
        <f>IFERROR(__xludf.DUMMYFUNCTION("""COMPUTED_VALUE"""),354.27)</f>
        <v>354.27</v>
      </c>
      <c r="C1117" s="1">
        <f>IFERROR(__xludf.DUMMYFUNCTION("""COMPUTED_VALUE"""),354.68)</f>
        <v>354.68</v>
      </c>
      <c r="D1117" s="1">
        <f>IFERROR(__xludf.DUMMYFUNCTION("""COMPUTED_VALUE"""),351.95)</f>
        <v>351.95</v>
      </c>
      <c r="E1117" s="1">
        <f>IFERROR(__xludf.DUMMYFUNCTION("""COMPUTED_VALUE"""),354.0)</f>
        <v>354</v>
      </c>
      <c r="F1117" s="1">
        <f>IFERROR(__xludf.DUMMYFUNCTION("""COMPUTED_VALUE"""),2.4970312E7)</f>
        <v>24970312</v>
      </c>
    </row>
    <row r="1118">
      <c r="A1118" s="2">
        <f>IFERROR(__xludf.DUMMYFUNCTION("""COMPUTED_VALUE"""),33010.666666666664)</f>
        <v>33010.66667</v>
      </c>
      <c r="B1118" s="1">
        <f>IFERROR(__xludf.DUMMYFUNCTION("""COMPUTED_VALUE"""),354.0)</f>
        <v>354</v>
      </c>
      <c r="C1118" s="1">
        <f>IFERROR(__xludf.DUMMYFUNCTION("""COMPUTED_VALUE"""),356.92)</f>
        <v>356.92</v>
      </c>
      <c r="D1118" s="1">
        <f>IFERROR(__xludf.DUMMYFUNCTION("""COMPUTED_VALUE"""),354.0)</f>
        <v>354</v>
      </c>
      <c r="E1118" s="1">
        <f>IFERROR(__xludf.DUMMYFUNCTION("""COMPUTED_VALUE"""),354.47)</f>
        <v>354.47</v>
      </c>
      <c r="F1118" s="1">
        <f>IFERROR(__xludf.DUMMYFUNCTION("""COMPUTED_VALUE"""),2.5745312E7)</f>
        <v>25745312</v>
      </c>
    </row>
    <row r="1119">
      <c r="A1119" s="2">
        <f>IFERROR(__xludf.DUMMYFUNCTION("""COMPUTED_VALUE"""),33011.666666666664)</f>
        <v>33011.66667</v>
      </c>
      <c r="B1119" s="1">
        <f>IFERROR(__xludf.DUMMYFUNCTION("""COMPUTED_VALUE"""),354.47)</f>
        <v>354.47</v>
      </c>
      <c r="C1119" s="1">
        <f>IFERROR(__xludf.DUMMYFUNCTION("""COMPUTED_VALUE"""),354.64)</f>
        <v>354.64</v>
      </c>
      <c r="D1119" s="1">
        <f>IFERROR(__xludf.DUMMYFUNCTION("""COMPUTED_VALUE"""),352.52)</f>
        <v>352.52</v>
      </c>
      <c r="E1119" s="1">
        <f>IFERROR(__xludf.DUMMYFUNCTION("""COMPUTED_VALUE"""),354.64)</f>
        <v>354.64</v>
      </c>
      <c r="F1119" s="1">
        <f>IFERROR(__xludf.DUMMYFUNCTION("""COMPUTED_VALUE"""),2.539375E7)</f>
        <v>25393750</v>
      </c>
    </row>
    <row r="1120">
      <c r="A1120" s="2">
        <f>IFERROR(__xludf.DUMMYFUNCTION("""COMPUTED_VALUE"""),33014.666666666664)</f>
        <v>33014.66667</v>
      </c>
      <c r="B1120" s="1">
        <f>IFERROR(__xludf.DUMMYFUNCTION("""COMPUTED_VALUE"""),354.64)</f>
        <v>354.64</v>
      </c>
      <c r="C1120" s="1">
        <f>IFERROR(__xludf.DUMMYFUNCTION("""COMPUTED_VALUE"""),359.07)</f>
        <v>359.07</v>
      </c>
      <c r="D1120" s="1">
        <f>IFERROR(__xludf.DUMMYFUNCTION("""COMPUTED_VALUE"""),353.78)</f>
        <v>353.78</v>
      </c>
      <c r="E1120" s="1">
        <f>IFERROR(__xludf.DUMMYFUNCTION("""COMPUTED_VALUE"""),358.0)</f>
        <v>358</v>
      </c>
      <c r="F1120" s="1">
        <f>IFERROR(__xludf.DUMMYFUNCTION("""COMPUTED_VALUE"""),2.598125E7)</f>
        <v>25981250</v>
      </c>
    </row>
    <row r="1121">
      <c r="A1121" s="2">
        <f>IFERROR(__xludf.DUMMYFUNCTION("""COMPUTED_VALUE"""),33015.666666666664)</f>
        <v>33015.66667</v>
      </c>
      <c r="B1121" s="1">
        <f>IFERROR(__xludf.DUMMYFUNCTION("""COMPUTED_VALUE"""),358.0)</f>
        <v>358</v>
      </c>
      <c r="C1121" s="1">
        <f>IFERROR(__xludf.DUMMYFUNCTION("""COMPUTED_VALUE"""),360.5)</f>
        <v>360.5</v>
      </c>
      <c r="D1121" s="1">
        <f>IFERROR(__xludf.DUMMYFUNCTION("""COMPUTED_VALUE"""),356.09)</f>
        <v>356.09</v>
      </c>
      <c r="E1121" s="1">
        <f>IFERROR(__xludf.DUMMYFUNCTION("""COMPUTED_VALUE"""),358.43)</f>
        <v>358.43</v>
      </c>
      <c r="F1121" s="1">
        <f>IFERROR(__xludf.DUMMYFUNCTION("""COMPUTED_VALUE"""),3.1773438E7)</f>
        <v>31773438</v>
      </c>
    </row>
    <row r="1122">
      <c r="A1122" s="2">
        <f>IFERROR(__xludf.DUMMYFUNCTION("""COMPUTED_VALUE"""),33016.666666666664)</f>
        <v>33016.66667</v>
      </c>
      <c r="B1122" s="1">
        <f>IFERROR(__xludf.DUMMYFUNCTION("""COMPUTED_VALUE"""),358.43)</f>
        <v>358.43</v>
      </c>
      <c r="C1122" s="1">
        <f>IFERROR(__xludf.DUMMYFUNCTION("""COMPUTED_VALUE"""),359.29)</f>
        <v>359.29</v>
      </c>
      <c r="D1122" s="1">
        <f>IFERROR(__xludf.DUMMYFUNCTION("""COMPUTED_VALUE"""),356.99)</f>
        <v>356.99</v>
      </c>
      <c r="E1122" s="1">
        <f>IFERROR(__xludf.DUMMYFUNCTION("""COMPUTED_VALUE"""),359.29)</f>
        <v>359.29</v>
      </c>
      <c r="F1122" s="1">
        <f>IFERROR(__xludf.DUMMYFUNCTION("""COMPUTED_VALUE"""),2.6926562E7)</f>
        <v>26926562</v>
      </c>
    </row>
    <row r="1123">
      <c r="A1123" s="2">
        <f>IFERROR(__xludf.DUMMYFUNCTION("""COMPUTED_VALUE"""),33017.666666666664)</f>
        <v>33017.66667</v>
      </c>
      <c r="B1123" s="1">
        <f>IFERROR(__xludf.DUMMYFUNCTION("""COMPUTED_VALUE"""),359.29)</f>
        <v>359.29</v>
      </c>
      <c r="C1123" s="1">
        <f>IFERROR(__xludf.DUMMYFUNCTION("""COMPUTED_VALUE"""),359.56)</f>
        <v>359.56</v>
      </c>
      <c r="D1123" s="1">
        <f>IFERROR(__xludf.DUMMYFUNCTION("""COMPUTED_VALUE"""),357.87)</f>
        <v>357.87</v>
      </c>
      <c r="E1123" s="1">
        <f>IFERROR(__xludf.DUMMYFUNCTION("""COMPUTED_VALUE"""),358.41)</f>
        <v>358.41</v>
      </c>
      <c r="F1123" s="1">
        <f>IFERROR(__xludf.DUMMYFUNCTION("""COMPUTED_VALUE"""),2.4240624E7)</f>
        <v>24240624</v>
      </c>
    </row>
    <row r="1124">
      <c r="A1124" s="2">
        <f>IFERROR(__xludf.DUMMYFUNCTION("""COMPUTED_VALUE"""),33018.666666666664)</f>
        <v>33018.66667</v>
      </c>
      <c r="B1124" s="1">
        <f>IFERROR(__xludf.DUMMYFUNCTION("""COMPUTED_VALUE"""),358.41)</f>
        <v>358.41</v>
      </c>
      <c r="C1124" s="1">
        <f>IFERROR(__xludf.DUMMYFUNCTION("""COMPUTED_VALUE"""),358.41)</f>
        <v>358.41</v>
      </c>
      <c r="D1124" s="1">
        <f>IFERROR(__xludf.DUMMYFUNCTION("""COMPUTED_VALUE"""),354.32)</f>
        <v>354.32</v>
      </c>
      <c r="E1124" s="1">
        <f>IFERROR(__xludf.DUMMYFUNCTION("""COMPUTED_VALUE"""),354.58)</f>
        <v>354.58</v>
      </c>
      <c r="F1124" s="1">
        <f>IFERROR(__xludf.DUMMYFUNCTION("""COMPUTED_VALUE"""),1.8789062E7)</f>
        <v>18789062</v>
      </c>
    </row>
    <row r="1125">
      <c r="A1125" s="2">
        <f>IFERROR(__xludf.DUMMYFUNCTION("""COMPUTED_VALUE"""),33022.666666666664)</f>
        <v>33022.66667</v>
      </c>
      <c r="B1125" s="1">
        <f>IFERROR(__xludf.DUMMYFUNCTION("""COMPUTED_VALUE"""),354.58)</f>
        <v>354.58</v>
      </c>
      <c r="C1125" s="1">
        <f>IFERROR(__xludf.DUMMYFUNCTION("""COMPUTED_VALUE"""),360.65)</f>
        <v>360.65</v>
      </c>
      <c r="D1125" s="1">
        <f>IFERROR(__xludf.DUMMYFUNCTION("""COMPUTED_VALUE"""),354.55)</f>
        <v>354.55</v>
      </c>
      <c r="E1125" s="1">
        <f>IFERROR(__xludf.DUMMYFUNCTION("""COMPUTED_VALUE"""),360.65)</f>
        <v>360.65</v>
      </c>
      <c r="F1125" s="1">
        <f>IFERROR(__xludf.DUMMYFUNCTION("""COMPUTED_VALUE"""),2.1470312E7)</f>
        <v>21470312</v>
      </c>
    </row>
    <row r="1126">
      <c r="A1126" s="2">
        <f>IFERROR(__xludf.DUMMYFUNCTION("""COMPUTED_VALUE"""),33023.666666666664)</f>
        <v>33023.66667</v>
      </c>
      <c r="B1126" s="1">
        <f>IFERROR(__xludf.DUMMYFUNCTION("""COMPUTED_VALUE"""),360.65)</f>
        <v>360.65</v>
      </c>
      <c r="C1126" s="1">
        <f>IFERROR(__xludf.DUMMYFUNCTION("""COMPUTED_VALUE"""),362.26)</f>
        <v>362.26</v>
      </c>
      <c r="D1126" s="1">
        <f>IFERROR(__xludf.DUMMYFUNCTION("""COMPUTED_VALUE"""),360.0)</f>
        <v>360</v>
      </c>
      <c r="E1126" s="1">
        <f>IFERROR(__xludf.DUMMYFUNCTION("""COMPUTED_VALUE"""),360.86)</f>
        <v>360.86</v>
      </c>
      <c r="F1126" s="1">
        <f>IFERROR(__xludf.DUMMYFUNCTION("""COMPUTED_VALUE"""),3.1178124E7)</f>
        <v>31178124</v>
      </c>
    </row>
    <row r="1127">
      <c r="A1127" s="2">
        <f>IFERROR(__xludf.DUMMYFUNCTION("""COMPUTED_VALUE"""),33024.666666666664)</f>
        <v>33024.66667</v>
      </c>
      <c r="B1127" s="1">
        <f>IFERROR(__xludf.DUMMYFUNCTION("""COMPUTED_VALUE"""),360.86)</f>
        <v>360.86</v>
      </c>
      <c r="C1127" s="1">
        <f>IFERROR(__xludf.DUMMYFUNCTION("""COMPUTED_VALUE"""),361.84)</f>
        <v>361.84</v>
      </c>
      <c r="D1127" s="1">
        <f>IFERROR(__xludf.DUMMYFUNCTION("""COMPUTED_VALUE"""),360.23)</f>
        <v>360.23</v>
      </c>
      <c r="E1127" s="1">
        <f>IFERROR(__xludf.DUMMYFUNCTION("""COMPUTED_VALUE"""),361.23)</f>
        <v>361.23</v>
      </c>
      <c r="F1127" s="1">
        <f>IFERROR(__xludf.DUMMYFUNCTION("""COMPUTED_VALUE"""),2.5889062E7)</f>
        <v>25889062</v>
      </c>
    </row>
    <row r="1128">
      <c r="A1128" s="2">
        <f>IFERROR(__xludf.DUMMYFUNCTION("""COMPUTED_VALUE"""),33025.666666666664)</f>
        <v>33025.66667</v>
      </c>
      <c r="B1128" s="1">
        <f>IFERROR(__xludf.DUMMYFUNCTION("""COMPUTED_VALUE"""),361.26)</f>
        <v>361.26</v>
      </c>
      <c r="C1128" s="1">
        <f>IFERROR(__xludf.DUMMYFUNCTION("""COMPUTED_VALUE"""),363.52)</f>
        <v>363.52</v>
      </c>
      <c r="D1128" s="1">
        <f>IFERROR(__xludf.DUMMYFUNCTION("""COMPUTED_VALUE"""),361.21)</f>
        <v>361.21</v>
      </c>
      <c r="E1128" s="1">
        <f>IFERROR(__xludf.DUMMYFUNCTION("""COMPUTED_VALUE"""),363.16)</f>
        <v>363.16</v>
      </c>
      <c r="F1128" s="1">
        <f>IFERROR(__xludf.DUMMYFUNCTION("""COMPUTED_VALUE"""),2.9353124E7)</f>
        <v>29353124</v>
      </c>
    </row>
    <row r="1129">
      <c r="A1129" s="2">
        <f>IFERROR(__xludf.DUMMYFUNCTION("""COMPUTED_VALUE"""),33028.666666666664)</f>
        <v>33028.66667</v>
      </c>
      <c r="B1129" s="1">
        <f>IFERROR(__xludf.DUMMYFUNCTION("""COMPUTED_VALUE"""),363.16)</f>
        <v>363.16</v>
      </c>
      <c r="C1129" s="1">
        <f>IFERROR(__xludf.DUMMYFUNCTION("""COMPUTED_VALUE"""),367.85)</f>
        <v>367.85</v>
      </c>
      <c r="D1129" s="1">
        <f>IFERROR(__xludf.DUMMYFUNCTION("""COMPUTED_VALUE"""),362.43)</f>
        <v>362.43</v>
      </c>
      <c r="E1129" s="1">
        <f>IFERROR(__xludf.DUMMYFUNCTION("""COMPUTED_VALUE"""),367.4)</f>
        <v>367.4</v>
      </c>
      <c r="F1129" s="1">
        <f>IFERROR(__xludf.DUMMYFUNCTION("""COMPUTED_VALUE"""),2.7425E7)</f>
        <v>27425000</v>
      </c>
    </row>
    <row r="1130">
      <c r="A1130" s="2">
        <f>IFERROR(__xludf.DUMMYFUNCTION("""COMPUTED_VALUE"""),33029.666666666664)</f>
        <v>33029.66667</v>
      </c>
      <c r="B1130" s="1">
        <f>IFERROR(__xludf.DUMMYFUNCTION("""COMPUTED_VALUE"""),367.4)</f>
        <v>367.4</v>
      </c>
      <c r="C1130" s="1">
        <f>IFERROR(__xludf.DUMMYFUNCTION("""COMPUTED_VALUE"""),368.78)</f>
        <v>368.78</v>
      </c>
      <c r="D1130" s="1">
        <f>IFERROR(__xludf.DUMMYFUNCTION("""COMPUTED_VALUE"""),365.49)</f>
        <v>365.49</v>
      </c>
      <c r="E1130" s="1">
        <f>IFERROR(__xludf.DUMMYFUNCTION("""COMPUTED_VALUE"""),366.64)</f>
        <v>366.64</v>
      </c>
      <c r="F1130" s="1">
        <f>IFERROR(__xludf.DUMMYFUNCTION("""COMPUTED_VALUE"""),3.120625E7)</f>
        <v>31206250</v>
      </c>
    </row>
    <row r="1131">
      <c r="A1131" s="2">
        <f>IFERROR(__xludf.DUMMYFUNCTION("""COMPUTED_VALUE"""),33030.666666666664)</f>
        <v>33030.66667</v>
      </c>
      <c r="B1131" s="1">
        <f>IFERROR(__xludf.DUMMYFUNCTION("""COMPUTED_VALUE"""),366.64)</f>
        <v>366.64</v>
      </c>
      <c r="C1131" s="1">
        <f>IFERROR(__xludf.DUMMYFUNCTION("""COMPUTED_VALUE"""),366.64)</f>
        <v>366.64</v>
      </c>
      <c r="D1131" s="1">
        <f>IFERROR(__xludf.DUMMYFUNCTION("""COMPUTED_VALUE"""),364.42)</f>
        <v>364.42</v>
      </c>
      <c r="E1131" s="1">
        <f>IFERROR(__xludf.DUMMYFUNCTION("""COMPUTED_VALUE"""),364.96)</f>
        <v>364.96</v>
      </c>
      <c r="F1131" s="1">
        <f>IFERROR(__xludf.DUMMYFUNCTION("""COMPUTED_VALUE"""),2.5629688E7)</f>
        <v>25629688</v>
      </c>
    </row>
    <row r="1132">
      <c r="A1132" s="2">
        <f>IFERROR(__xludf.DUMMYFUNCTION("""COMPUTED_VALUE"""),33031.666666666664)</f>
        <v>33031.66667</v>
      </c>
      <c r="B1132" s="1">
        <f>IFERROR(__xludf.DUMMYFUNCTION("""COMPUTED_VALUE"""),365.92)</f>
        <v>365.92</v>
      </c>
      <c r="C1132" s="1">
        <f>IFERROR(__xludf.DUMMYFUNCTION("""COMPUTED_VALUE"""),365.92)</f>
        <v>365.92</v>
      </c>
      <c r="D1132" s="1">
        <f>IFERROR(__xludf.DUMMYFUNCTION("""COMPUTED_VALUE"""),361.6)</f>
        <v>361.6</v>
      </c>
      <c r="E1132" s="1">
        <f>IFERROR(__xludf.DUMMYFUNCTION("""COMPUTED_VALUE"""),363.15)</f>
        <v>363.15</v>
      </c>
      <c r="F1132" s="1">
        <f>IFERROR(__xludf.DUMMYFUNCTION("""COMPUTED_VALUE"""),2.505625E7)</f>
        <v>25056250</v>
      </c>
    </row>
    <row r="1133">
      <c r="A1133" s="2">
        <f>IFERROR(__xludf.DUMMYFUNCTION("""COMPUTED_VALUE"""),33032.666666666664)</f>
        <v>33032.66667</v>
      </c>
      <c r="B1133" s="1">
        <f>IFERROR(__xludf.DUMMYFUNCTION("""COMPUTED_VALUE"""),363.15)</f>
        <v>363.15</v>
      </c>
      <c r="C1133" s="1">
        <f>IFERROR(__xludf.DUMMYFUNCTION("""COMPUTED_VALUE"""),363.49)</f>
        <v>363.49</v>
      </c>
      <c r="D1133" s="1">
        <f>IFERROR(__xludf.DUMMYFUNCTION("""COMPUTED_VALUE"""),357.68)</f>
        <v>357.68</v>
      </c>
      <c r="E1133" s="1">
        <f>IFERROR(__xludf.DUMMYFUNCTION("""COMPUTED_VALUE"""),358.71)</f>
        <v>358.71</v>
      </c>
      <c r="F1133" s="1">
        <f>IFERROR(__xludf.DUMMYFUNCTION("""COMPUTED_VALUE"""),2.228125E7)</f>
        <v>22281250</v>
      </c>
    </row>
    <row r="1134">
      <c r="A1134" s="2">
        <f>IFERROR(__xludf.DUMMYFUNCTION("""COMPUTED_VALUE"""),33035.666666666664)</f>
        <v>33035.66667</v>
      </c>
      <c r="B1134" s="1">
        <f>IFERROR(__xludf.DUMMYFUNCTION("""COMPUTED_VALUE"""),358.71)</f>
        <v>358.71</v>
      </c>
      <c r="C1134" s="1">
        <f>IFERROR(__xludf.DUMMYFUNCTION("""COMPUTED_VALUE"""),361.63)</f>
        <v>361.63</v>
      </c>
      <c r="D1134" s="1">
        <f>IFERROR(__xludf.DUMMYFUNCTION("""COMPUTED_VALUE"""),357.7)</f>
        <v>357.7</v>
      </c>
      <c r="E1134" s="1">
        <f>IFERROR(__xludf.DUMMYFUNCTION("""COMPUTED_VALUE"""),361.63)</f>
        <v>361.63</v>
      </c>
      <c r="F1134" s="1">
        <f>IFERROR(__xludf.DUMMYFUNCTION("""COMPUTED_VALUE"""),1.8679688E7)</f>
        <v>18679688</v>
      </c>
    </row>
    <row r="1135">
      <c r="A1135" s="2">
        <f>IFERROR(__xludf.DUMMYFUNCTION("""COMPUTED_VALUE"""),33036.666666666664)</f>
        <v>33036.66667</v>
      </c>
      <c r="B1135" s="1">
        <f>IFERROR(__xludf.DUMMYFUNCTION("""COMPUTED_VALUE"""),361.63)</f>
        <v>361.63</v>
      </c>
      <c r="C1135" s="1">
        <f>IFERROR(__xludf.DUMMYFUNCTION("""COMPUTED_VALUE"""),367.27)</f>
        <v>367.27</v>
      </c>
      <c r="D1135" s="1">
        <f>IFERROR(__xludf.DUMMYFUNCTION("""COMPUTED_VALUE"""),361.15)</f>
        <v>361.15</v>
      </c>
      <c r="E1135" s="1">
        <f>IFERROR(__xludf.DUMMYFUNCTION("""COMPUTED_VALUE"""),366.25)</f>
        <v>366.25</v>
      </c>
      <c r="F1135" s="1">
        <f>IFERROR(__xludf.DUMMYFUNCTION("""COMPUTED_VALUE"""),2.4546876E7)</f>
        <v>24546876</v>
      </c>
    </row>
    <row r="1136">
      <c r="A1136" s="2">
        <f>IFERROR(__xludf.DUMMYFUNCTION("""COMPUTED_VALUE"""),33037.666666666664)</f>
        <v>33037.66667</v>
      </c>
      <c r="B1136" s="1">
        <f>IFERROR(__xludf.DUMMYFUNCTION("""COMPUTED_VALUE"""),366.25)</f>
        <v>366.25</v>
      </c>
      <c r="C1136" s="1">
        <f>IFERROR(__xludf.DUMMYFUNCTION("""COMPUTED_VALUE"""),367.09)</f>
        <v>367.09</v>
      </c>
      <c r="D1136" s="1">
        <f>IFERROR(__xludf.DUMMYFUNCTION("""COMPUTED_VALUE"""),364.51)</f>
        <v>364.51</v>
      </c>
      <c r="E1136" s="1">
        <f>IFERROR(__xludf.DUMMYFUNCTION("""COMPUTED_VALUE"""),364.9)</f>
        <v>364.9</v>
      </c>
      <c r="F1136" s="1">
        <f>IFERROR(__xludf.DUMMYFUNCTION("""COMPUTED_VALUE"""),2.4829688E7)</f>
        <v>24829688</v>
      </c>
    </row>
    <row r="1137">
      <c r="A1137" s="2">
        <f>IFERROR(__xludf.DUMMYFUNCTION("""COMPUTED_VALUE"""),33038.666666666664)</f>
        <v>33038.66667</v>
      </c>
      <c r="B1137" s="1">
        <f>IFERROR(__xludf.DUMMYFUNCTION("""COMPUTED_VALUE"""),364.9)</f>
        <v>364.9</v>
      </c>
      <c r="C1137" s="1">
        <f>IFERROR(__xludf.DUMMYFUNCTION("""COMPUTED_VALUE"""),364.9)</f>
        <v>364.9</v>
      </c>
      <c r="D1137" s="1">
        <f>IFERROR(__xludf.DUMMYFUNCTION("""COMPUTED_VALUE"""),361.64)</f>
        <v>361.64</v>
      </c>
      <c r="E1137" s="1">
        <f>IFERROR(__xludf.DUMMYFUNCTION("""COMPUTED_VALUE"""),362.9)</f>
        <v>362.9</v>
      </c>
      <c r="F1137" s="1">
        <f>IFERROR(__xludf.DUMMYFUNCTION("""COMPUTED_VALUE"""),2.1214062E7)</f>
        <v>21214062</v>
      </c>
    </row>
    <row r="1138">
      <c r="A1138" s="2">
        <f>IFERROR(__xludf.DUMMYFUNCTION("""COMPUTED_VALUE"""),33039.666666666664)</f>
        <v>33039.66667</v>
      </c>
      <c r="B1138" s="1">
        <f>IFERROR(__xludf.DUMMYFUNCTION("""COMPUTED_VALUE"""),362.89)</f>
        <v>362.89</v>
      </c>
      <c r="C1138" s="1">
        <f>IFERROR(__xludf.DUMMYFUNCTION("""COMPUTED_VALUE"""),363.14)</f>
        <v>363.14</v>
      </c>
      <c r="D1138" s="1">
        <f>IFERROR(__xludf.DUMMYFUNCTION("""COMPUTED_VALUE"""),360.71)</f>
        <v>360.71</v>
      </c>
      <c r="E1138" s="1">
        <f>IFERROR(__xludf.DUMMYFUNCTION("""COMPUTED_VALUE"""),362.91)</f>
        <v>362.91</v>
      </c>
      <c r="F1138" s="1">
        <f>IFERROR(__xludf.DUMMYFUNCTION("""COMPUTED_VALUE"""),3.2051562E7)</f>
        <v>32051562</v>
      </c>
    </row>
    <row r="1139">
      <c r="A1139" s="2">
        <f>IFERROR(__xludf.DUMMYFUNCTION("""COMPUTED_VALUE"""),33042.666666666664)</f>
        <v>33042.66667</v>
      </c>
      <c r="B1139" s="1">
        <f>IFERROR(__xludf.DUMMYFUNCTION("""COMPUTED_VALUE"""),362.91)</f>
        <v>362.91</v>
      </c>
      <c r="C1139" s="1">
        <f>IFERROR(__xludf.DUMMYFUNCTION("""COMPUTED_VALUE"""),362.91)</f>
        <v>362.91</v>
      </c>
      <c r="D1139" s="1">
        <f>IFERROR(__xludf.DUMMYFUNCTION("""COMPUTED_VALUE"""),356.88)</f>
        <v>356.88</v>
      </c>
      <c r="E1139" s="1">
        <f>IFERROR(__xludf.DUMMYFUNCTION("""COMPUTED_VALUE"""),356.88)</f>
        <v>356.88</v>
      </c>
      <c r="F1139" s="1">
        <f>IFERROR(__xludf.DUMMYFUNCTION("""COMPUTED_VALUE"""),2.0854688E7)</f>
        <v>20854688</v>
      </c>
    </row>
    <row r="1140">
      <c r="A1140" s="2">
        <f>IFERROR(__xludf.DUMMYFUNCTION("""COMPUTED_VALUE"""),33043.666666666664)</f>
        <v>33043.66667</v>
      </c>
      <c r="B1140" s="1">
        <f>IFERROR(__xludf.DUMMYFUNCTION("""COMPUTED_VALUE"""),356.88)</f>
        <v>356.88</v>
      </c>
      <c r="C1140" s="1">
        <f>IFERROR(__xludf.DUMMYFUNCTION("""COMPUTED_VALUE"""),358.9)</f>
        <v>358.9</v>
      </c>
      <c r="D1140" s="1">
        <f>IFERROR(__xludf.DUMMYFUNCTION("""COMPUTED_VALUE"""),356.18)</f>
        <v>356.18</v>
      </c>
      <c r="E1140" s="1">
        <f>IFERROR(__xludf.DUMMYFUNCTION("""COMPUTED_VALUE"""),358.47)</f>
        <v>358.47</v>
      </c>
      <c r="F1140" s="1">
        <f>IFERROR(__xludf.DUMMYFUNCTION("""COMPUTED_VALUE"""),2.1082812E7)</f>
        <v>21082812</v>
      </c>
    </row>
    <row r="1141">
      <c r="A1141" s="2">
        <f>IFERROR(__xludf.DUMMYFUNCTION("""COMPUTED_VALUE"""),33044.666666666664)</f>
        <v>33044.66667</v>
      </c>
      <c r="B1141" s="1">
        <f>IFERROR(__xludf.DUMMYFUNCTION("""COMPUTED_VALUE"""),358.47)</f>
        <v>358.47</v>
      </c>
      <c r="C1141" s="1">
        <f>IFERROR(__xludf.DUMMYFUNCTION("""COMPUTED_VALUE"""),359.91)</f>
        <v>359.91</v>
      </c>
      <c r="D1141" s="1">
        <f>IFERROR(__xludf.DUMMYFUNCTION("""COMPUTED_VALUE"""),357.0)</f>
        <v>357</v>
      </c>
      <c r="E1141" s="1">
        <f>IFERROR(__xludf.DUMMYFUNCTION("""COMPUTED_VALUE"""),359.1)</f>
        <v>359.1</v>
      </c>
      <c r="F1141" s="1">
        <f>IFERROR(__xludf.DUMMYFUNCTION("""COMPUTED_VALUE"""),2.1471876E7)</f>
        <v>21471876</v>
      </c>
    </row>
    <row r="1142">
      <c r="A1142" s="2">
        <f>IFERROR(__xludf.DUMMYFUNCTION("""COMPUTED_VALUE"""),33045.666666666664)</f>
        <v>33045.66667</v>
      </c>
      <c r="B1142" s="1">
        <f>IFERROR(__xludf.DUMMYFUNCTION("""COMPUTED_VALUE"""),359.1)</f>
        <v>359.1</v>
      </c>
      <c r="C1142" s="1">
        <f>IFERROR(__xludf.DUMMYFUNCTION("""COMPUTED_VALUE"""),360.88)</f>
        <v>360.88</v>
      </c>
      <c r="D1142" s="1">
        <f>IFERROR(__xludf.DUMMYFUNCTION("""COMPUTED_VALUE"""),357.63)</f>
        <v>357.63</v>
      </c>
      <c r="E1142" s="1">
        <f>IFERROR(__xludf.DUMMYFUNCTION("""COMPUTED_VALUE"""),360.47)</f>
        <v>360.47</v>
      </c>
      <c r="F1142" s="1">
        <f>IFERROR(__xludf.DUMMYFUNCTION("""COMPUTED_VALUE"""),2.1651562E7)</f>
        <v>21651562</v>
      </c>
    </row>
    <row r="1143">
      <c r="A1143" s="2">
        <f>IFERROR(__xludf.DUMMYFUNCTION("""COMPUTED_VALUE"""),33046.666666666664)</f>
        <v>33046.66667</v>
      </c>
      <c r="B1143" s="1">
        <f>IFERROR(__xludf.DUMMYFUNCTION("""COMPUTED_VALUE"""),360.52)</f>
        <v>360.52</v>
      </c>
      <c r="C1143" s="1">
        <f>IFERROR(__xludf.DUMMYFUNCTION("""COMPUTED_VALUE"""),363.2)</f>
        <v>363.2</v>
      </c>
      <c r="D1143" s="1">
        <f>IFERROR(__xludf.DUMMYFUNCTION("""COMPUTED_VALUE"""),355.31)</f>
        <v>355.31</v>
      </c>
      <c r="E1143" s="1">
        <f>IFERROR(__xludf.DUMMYFUNCTION("""COMPUTED_VALUE"""),355.43)</f>
        <v>355.43</v>
      </c>
      <c r="F1143" s="1">
        <f>IFERROR(__xludf.DUMMYFUNCTION("""COMPUTED_VALUE"""),2.6964062E7)</f>
        <v>26964062</v>
      </c>
    </row>
    <row r="1144">
      <c r="A1144" s="2">
        <f>IFERROR(__xludf.DUMMYFUNCTION("""COMPUTED_VALUE"""),33049.666666666664)</f>
        <v>33049.66667</v>
      </c>
      <c r="B1144" s="1">
        <f>IFERROR(__xludf.DUMMYFUNCTION("""COMPUTED_VALUE"""),355.42)</f>
        <v>355.42</v>
      </c>
      <c r="C1144" s="1">
        <f>IFERROR(__xludf.DUMMYFUNCTION("""COMPUTED_VALUE"""),356.41)</f>
        <v>356.41</v>
      </c>
      <c r="D1144" s="1">
        <f>IFERROR(__xludf.DUMMYFUNCTION("""COMPUTED_VALUE"""),351.91)</f>
        <v>351.91</v>
      </c>
      <c r="E1144" s="1">
        <f>IFERROR(__xludf.DUMMYFUNCTION("""COMPUTED_VALUE"""),352.31)</f>
        <v>352.31</v>
      </c>
      <c r="F1144" s="1">
        <f>IFERROR(__xludf.DUMMYFUNCTION("""COMPUTED_VALUE"""),2.0796876E7)</f>
        <v>20796876</v>
      </c>
    </row>
    <row r="1145">
      <c r="A1145" s="2">
        <f>IFERROR(__xludf.DUMMYFUNCTION("""COMPUTED_VALUE"""),33050.666666666664)</f>
        <v>33050.66667</v>
      </c>
      <c r="B1145" s="1">
        <f>IFERROR(__xludf.DUMMYFUNCTION("""COMPUTED_VALUE"""),352.32)</f>
        <v>352.32</v>
      </c>
      <c r="C1145" s="1">
        <f>IFERROR(__xludf.DUMMYFUNCTION("""COMPUTED_VALUE"""),356.09)</f>
        <v>356.09</v>
      </c>
      <c r="D1145" s="1">
        <f>IFERROR(__xludf.DUMMYFUNCTION("""COMPUTED_VALUE"""),351.85)</f>
        <v>351.85</v>
      </c>
      <c r="E1145" s="1">
        <f>IFERROR(__xludf.DUMMYFUNCTION("""COMPUTED_VALUE"""),352.06)</f>
        <v>352.06</v>
      </c>
      <c r="F1145" s="1">
        <f>IFERROR(__xludf.DUMMYFUNCTION("""COMPUTED_VALUE"""),2.2096876E7)</f>
        <v>22096876</v>
      </c>
    </row>
    <row r="1146">
      <c r="A1146" s="2">
        <f>IFERROR(__xludf.DUMMYFUNCTION("""COMPUTED_VALUE"""),33051.666666666664)</f>
        <v>33051.66667</v>
      </c>
      <c r="B1146" s="1">
        <f>IFERROR(__xludf.DUMMYFUNCTION("""COMPUTED_VALUE"""),352.06)</f>
        <v>352.06</v>
      </c>
      <c r="C1146" s="1">
        <f>IFERROR(__xludf.DUMMYFUNCTION("""COMPUTED_VALUE"""),355.89)</f>
        <v>355.89</v>
      </c>
      <c r="D1146" s="1">
        <f>IFERROR(__xludf.DUMMYFUNCTION("""COMPUTED_VALUE"""),351.23)</f>
        <v>351.23</v>
      </c>
      <c r="E1146" s="1">
        <f>IFERROR(__xludf.DUMMYFUNCTION("""COMPUTED_VALUE"""),355.14)</f>
        <v>355.14</v>
      </c>
      <c r="F1146" s="1">
        <f>IFERROR(__xludf.DUMMYFUNCTION("""COMPUTED_VALUE"""),2.2909376E7)</f>
        <v>22909376</v>
      </c>
    </row>
    <row r="1147">
      <c r="A1147" s="2">
        <f>IFERROR(__xludf.DUMMYFUNCTION("""COMPUTED_VALUE"""),33052.666666666664)</f>
        <v>33052.66667</v>
      </c>
      <c r="B1147" s="1">
        <f>IFERROR(__xludf.DUMMYFUNCTION("""COMPUTED_VALUE"""),355.16)</f>
        <v>355.16</v>
      </c>
      <c r="C1147" s="1">
        <f>IFERROR(__xludf.DUMMYFUNCTION("""COMPUTED_VALUE"""),357.63)</f>
        <v>357.63</v>
      </c>
      <c r="D1147" s="1">
        <f>IFERROR(__xludf.DUMMYFUNCTION("""COMPUTED_VALUE"""),355.16)</f>
        <v>355.16</v>
      </c>
      <c r="E1147" s="1">
        <f>IFERROR(__xludf.DUMMYFUNCTION("""COMPUTED_VALUE"""),357.63)</f>
        <v>357.63</v>
      </c>
      <c r="F1147" s="1">
        <f>IFERROR(__xludf.DUMMYFUNCTION("""COMPUTED_VALUE"""),2.126875E7)</f>
        <v>21268750</v>
      </c>
    </row>
    <row r="1148">
      <c r="A1148" s="2">
        <f>IFERROR(__xludf.DUMMYFUNCTION("""COMPUTED_VALUE"""),33053.666666666664)</f>
        <v>33053.66667</v>
      </c>
      <c r="B1148" s="1">
        <f>IFERROR(__xludf.DUMMYFUNCTION("""COMPUTED_VALUE"""),357.64)</f>
        <v>357.64</v>
      </c>
      <c r="C1148" s="1">
        <f>IFERROR(__xludf.DUMMYFUNCTION("""COMPUTED_VALUE"""),359.09)</f>
        <v>359.09</v>
      </c>
      <c r="D1148" s="1">
        <f>IFERROR(__xludf.DUMMYFUNCTION("""COMPUTED_VALUE"""),357.3)</f>
        <v>357.3</v>
      </c>
      <c r="E1148" s="1">
        <f>IFERROR(__xludf.DUMMYFUNCTION("""COMPUTED_VALUE"""),358.02)</f>
        <v>358.02</v>
      </c>
      <c r="F1148" s="1">
        <f>IFERROR(__xludf.DUMMYFUNCTION("""COMPUTED_VALUE"""),2.2735938E7)</f>
        <v>22735938</v>
      </c>
    </row>
    <row r="1149">
      <c r="A1149" s="2">
        <f>IFERROR(__xludf.DUMMYFUNCTION("""COMPUTED_VALUE"""),33056.666666666664)</f>
        <v>33056.66667</v>
      </c>
      <c r="B1149" s="1">
        <f>IFERROR(__xludf.DUMMYFUNCTION("""COMPUTED_VALUE"""),358.02)</f>
        <v>358.02</v>
      </c>
      <c r="C1149" s="1">
        <f>IFERROR(__xludf.DUMMYFUNCTION("""COMPUTED_VALUE"""),359.58)</f>
        <v>359.58</v>
      </c>
      <c r="D1149" s="1">
        <f>IFERROR(__xludf.DUMMYFUNCTION("""COMPUTED_VALUE"""),357.54)</f>
        <v>357.54</v>
      </c>
      <c r="E1149" s="1">
        <f>IFERROR(__xludf.DUMMYFUNCTION("""COMPUTED_VALUE"""),359.54)</f>
        <v>359.54</v>
      </c>
      <c r="F1149" s="1">
        <f>IFERROR(__xludf.DUMMYFUNCTION("""COMPUTED_VALUE"""),2.034375E7)</f>
        <v>20343750</v>
      </c>
    </row>
    <row r="1150">
      <c r="A1150" s="2">
        <f>IFERROR(__xludf.DUMMYFUNCTION("""COMPUTED_VALUE"""),33057.666666666664)</f>
        <v>33057.66667</v>
      </c>
      <c r="B1150" s="1">
        <f>IFERROR(__xludf.DUMMYFUNCTION("""COMPUTED_VALUE"""),359.54)</f>
        <v>359.54</v>
      </c>
      <c r="C1150" s="1">
        <f>IFERROR(__xludf.DUMMYFUNCTION("""COMPUTED_VALUE"""),360.73)</f>
        <v>360.73</v>
      </c>
      <c r="D1150" s="1">
        <f>IFERROR(__xludf.DUMMYFUNCTION("""COMPUTED_VALUE"""),359.44)</f>
        <v>359.44</v>
      </c>
      <c r="E1150" s="1">
        <f>IFERROR(__xludf.DUMMYFUNCTION("""COMPUTED_VALUE"""),360.16)</f>
        <v>360.16</v>
      </c>
      <c r="F1150" s="1">
        <f>IFERROR(__xludf.DUMMYFUNCTION("""COMPUTED_VALUE"""),2.0320312E7)</f>
        <v>20320312</v>
      </c>
    </row>
    <row r="1151">
      <c r="A1151" s="2">
        <f>IFERROR(__xludf.DUMMYFUNCTION("""COMPUTED_VALUE"""),33059.666666666664)</f>
        <v>33059.66667</v>
      </c>
      <c r="B1151" s="1">
        <f>IFERROR(__xludf.DUMMYFUNCTION("""COMPUTED_VALUE"""),360.16)</f>
        <v>360.16</v>
      </c>
      <c r="C1151" s="1">
        <f>IFERROR(__xludf.DUMMYFUNCTION("""COMPUTED_VALUE"""),360.16)</f>
        <v>360.16</v>
      </c>
      <c r="D1151" s="1">
        <f>IFERROR(__xludf.DUMMYFUNCTION("""COMPUTED_VALUE"""),354.86)</f>
        <v>354.86</v>
      </c>
      <c r="E1151" s="1">
        <f>IFERROR(__xludf.DUMMYFUNCTION("""COMPUTED_VALUE"""),355.68)</f>
        <v>355.68</v>
      </c>
      <c r="F1151" s="1">
        <f>IFERROR(__xludf.DUMMYFUNCTION("""COMPUTED_VALUE"""),2.005E7)</f>
        <v>20050000</v>
      </c>
    </row>
    <row r="1152">
      <c r="A1152" s="2">
        <f>IFERROR(__xludf.DUMMYFUNCTION("""COMPUTED_VALUE"""),33060.666666666664)</f>
        <v>33060.66667</v>
      </c>
      <c r="B1152" s="1">
        <f>IFERROR(__xludf.DUMMYFUNCTION("""COMPUTED_VALUE"""),355.69)</f>
        <v>355.69</v>
      </c>
      <c r="C1152" s="1">
        <f>IFERROR(__xludf.DUMMYFUNCTION("""COMPUTED_VALUE"""),359.02)</f>
        <v>359.02</v>
      </c>
      <c r="D1152" s="1">
        <f>IFERROR(__xludf.DUMMYFUNCTION("""COMPUTED_VALUE"""),354.64)</f>
        <v>354.64</v>
      </c>
      <c r="E1152" s="1">
        <f>IFERROR(__xludf.DUMMYFUNCTION("""COMPUTED_VALUE"""),358.42)</f>
        <v>358.42</v>
      </c>
      <c r="F1152" s="1">
        <f>IFERROR(__xludf.DUMMYFUNCTION("""COMPUTED_VALUE"""),1.7457812E7)</f>
        <v>17457812</v>
      </c>
    </row>
    <row r="1153">
      <c r="A1153" s="2">
        <f>IFERROR(__xludf.DUMMYFUNCTION("""COMPUTED_VALUE"""),33063.666666666664)</f>
        <v>33063.66667</v>
      </c>
      <c r="B1153" s="1">
        <f>IFERROR(__xludf.DUMMYFUNCTION("""COMPUTED_VALUE"""),358.42)</f>
        <v>358.42</v>
      </c>
      <c r="C1153" s="1">
        <f>IFERROR(__xludf.DUMMYFUNCTION("""COMPUTED_VALUE"""),360.05)</f>
        <v>360.05</v>
      </c>
      <c r="D1153" s="1">
        <f>IFERROR(__xludf.DUMMYFUNCTION("""COMPUTED_VALUE"""),358.11)</f>
        <v>358.11</v>
      </c>
      <c r="E1153" s="1">
        <f>IFERROR(__xludf.DUMMYFUNCTION("""COMPUTED_VALUE"""),359.52)</f>
        <v>359.52</v>
      </c>
      <c r="F1153" s="1">
        <f>IFERROR(__xludf.DUMMYFUNCTION("""COMPUTED_VALUE"""),1.8654688E7)</f>
        <v>18654688</v>
      </c>
    </row>
    <row r="1154">
      <c r="A1154" s="2">
        <f>IFERROR(__xludf.DUMMYFUNCTION("""COMPUTED_VALUE"""),33064.666666666664)</f>
        <v>33064.66667</v>
      </c>
      <c r="B1154" s="1">
        <f>IFERROR(__xludf.DUMMYFUNCTION("""COMPUTED_VALUE"""),359.52)</f>
        <v>359.52</v>
      </c>
      <c r="C1154" s="1">
        <f>IFERROR(__xludf.DUMMYFUNCTION("""COMPUTED_VALUE"""),359.74)</f>
        <v>359.74</v>
      </c>
      <c r="D1154" s="1">
        <f>IFERROR(__xludf.DUMMYFUNCTION("""COMPUTED_VALUE"""),356.41)</f>
        <v>356.41</v>
      </c>
      <c r="E1154" s="1">
        <f>IFERROR(__xludf.DUMMYFUNCTION("""COMPUTED_VALUE"""),356.49)</f>
        <v>356.49</v>
      </c>
      <c r="F1154" s="1">
        <f>IFERROR(__xludf.DUMMYFUNCTION("""COMPUTED_VALUE"""),2.3067188E7)</f>
        <v>23067188</v>
      </c>
    </row>
    <row r="1155">
      <c r="A1155" s="2">
        <f>IFERROR(__xludf.DUMMYFUNCTION("""COMPUTED_VALUE"""),33065.666666666664)</f>
        <v>33065.66667</v>
      </c>
      <c r="B1155" s="1">
        <f>IFERROR(__xludf.DUMMYFUNCTION("""COMPUTED_VALUE"""),356.49)</f>
        <v>356.49</v>
      </c>
      <c r="C1155" s="1">
        <f>IFERROR(__xludf.DUMMYFUNCTION("""COMPUTED_VALUE"""),361.23)</f>
        <v>361.23</v>
      </c>
      <c r="D1155" s="1">
        <f>IFERROR(__xludf.DUMMYFUNCTION("""COMPUTED_VALUE"""),356.49)</f>
        <v>356.49</v>
      </c>
      <c r="E1155" s="1">
        <f>IFERROR(__xludf.DUMMYFUNCTION("""COMPUTED_VALUE"""),361.23)</f>
        <v>361.23</v>
      </c>
      <c r="F1155" s="1">
        <f>IFERROR(__xludf.DUMMYFUNCTION("""COMPUTED_VALUE"""),2.5346876E7)</f>
        <v>25346876</v>
      </c>
    </row>
    <row r="1156">
      <c r="A1156" s="2">
        <f>IFERROR(__xludf.DUMMYFUNCTION("""COMPUTED_VALUE"""),33066.666666666664)</f>
        <v>33066.66667</v>
      </c>
      <c r="B1156" s="1">
        <f>IFERROR(__xludf.DUMMYFUNCTION("""COMPUTED_VALUE"""),361.23)</f>
        <v>361.23</v>
      </c>
      <c r="C1156" s="1">
        <f>IFERROR(__xludf.DUMMYFUNCTION("""COMPUTED_VALUE"""),365.46)</f>
        <v>365.46</v>
      </c>
      <c r="D1156" s="1">
        <f>IFERROR(__xludf.DUMMYFUNCTION("""COMPUTED_VALUE"""),360.57)</f>
        <v>360.57</v>
      </c>
      <c r="E1156" s="1">
        <f>IFERROR(__xludf.DUMMYFUNCTION("""COMPUTED_VALUE"""),365.44)</f>
        <v>365.44</v>
      </c>
      <c r="F1156" s="1">
        <f>IFERROR(__xludf.DUMMYFUNCTION("""COMPUTED_VALUE"""),3.3309376E7)</f>
        <v>33309376</v>
      </c>
    </row>
    <row r="1157">
      <c r="A1157" s="2">
        <f>IFERROR(__xludf.DUMMYFUNCTION("""COMPUTED_VALUE"""),33067.666666666664)</f>
        <v>33067.66667</v>
      </c>
      <c r="B1157" s="1">
        <f>IFERROR(__xludf.DUMMYFUNCTION("""COMPUTED_VALUE"""),365.45)</f>
        <v>365.45</v>
      </c>
      <c r="C1157" s="1">
        <f>IFERROR(__xludf.DUMMYFUNCTION("""COMPUTED_VALUE"""),369.68)</f>
        <v>369.68</v>
      </c>
      <c r="D1157" s="1">
        <f>IFERROR(__xludf.DUMMYFUNCTION("""COMPUTED_VALUE"""),365.45)</f>
        <v>365.45</v>
      </c>
      <c r="E1157" s="1">
        <f>IFERROR(__xludf.DUMMYFUNCTION("""COMPUTED_VALUE"""),367.31)</f>
        <v>367.31</v>
      </c>
      <c r="F1157" s="1">
        <f>IFERROR(__xludf.DUMMYFUNCTION("""COMPUTED_VALUE"""),3.36875E7)</f>
        <v>33687500</v>
      </c>
    </row>
    <row r="1158">
      <c r="A1158" s="2">
        <f>IFERROR(__xludf.DUMMYFUNCTION("""COMPUTED_VALUE"""),33070.666666666664)</f>
        <v>33070.66667</v>
      </c>
      <c r="B1158" s="1">
        <f>IFERROR(__xludf.DUMMYFUNCTION("""COMPUTED_VALUE"""),367.31)</f>
        <v>367.31</v>
      </c>
      <c r="C1158" s="1">
        <f>IFERROR(__xludf.DUMMYFUNCTION("""COMPUTED_VALUE"""),369.78)</f>
        <v>369.78</v>
      </c>
      <c r="D1158" s="1">
        <f>IFERROR(__xludf.DUMMYFUNCTION("""COMPUTED_VALUE"""),367.31)</f>
        <v>367.31</v>
      </c>
      <c r="E1158" s="1">
        <f>IFERROR(__xludf.DUMMYFUNCTION("""COMPUTED_VALUE"""),368.95)</f>
        <v>368.95</v>
      </c>
      <c r="F1158" s="1">
        <f>IFERROR(__xludf.DUMMYFUNCTION("""COMPUTED_VALUE"""),2.3348438E7)</f>
        <v>23348438</v>
      </c>
    </row>
    <row r="1159">
      <c r="A1159" s="2">
        <f>IFERROR(__xludf.DUMMYFUNCTION("""COMPUTED_VALUE"""),33071.666666666664)</f>
        <v>33071.66667</v>
      </c>
      <c r="B1159" s="1">
        <f>IFERROR(__xludf.DUMMYFUNCTION("""COMPUTED_VALUE"""),368.95)</f>
        <v>368.95</v>
      </c>
      <c r="C1159" s="1">
        <f>IFERROR(__xludf.DUMMYFUNCTION("""COMPUTED_VALUE"""),369.4)</f>
        <v>369.4</v>
      </c>
      <c r="D1159" s="1">
        <f>IFERROR(__xludf.DUMMYFUNCTION("""COMPUTED_VALUE"""),364.99)</f>
        <v>364.99</v>
      </c>
      <c r="E1159" s="1">
        <f>IFERROR(__xludf.DUMMYFUNCTION("""COMPUTED_VALUE"""),367.52)</f>
        <v>367.52</v>
      </c>
      <c r="F1159" s="1">
        <f>IFERROR(__xludf.DUMMYFUNCTION("""COMPUTED_VALUE"""),2.7623438E7)</f>
        <v>27623438</v>
      </c>
    </row>
    <row r="1160">
      <c r="A1160" s="2">
        <f>IFERROR(__xludf.DUMMYFUNCTION("""COMPUTED_VALUE"""),33072.666666666664)</f>
        <v>33072.66667</v>
      </c>
      <c r="B1160" s="1">
        <f>IFERROR(__xludf.DUMMYFUNCTION("""COMPUTED_VALUE"""),367.52)</f>
        <v>367.52</v>
      </c>
      <c r="C1160" s="1">
        <f>IFERROR(__xludf.DUMMYFUNCTION("""COMPUTED_VALUE"""),367.52)</f>
        <v>367.52</v>
      </c>
      <c r="D1160" s="1">
        <f>IFERROR(__xludf.DUMMYFUNCTION("""COMPUTED_VALUE"""),362.95)</f>
        <v>362.95</v>
      </c>
      <c r="E1160" s="1">
        <f>IFERROR(__xludf.DUMMYFUNCTION("""COMPUTED_VALUE"""),364.22)</f>
        <v>364.22</v>
      </c>
      <c r="F1160" s="1">
        <f>IFERROR(__xludf.DUMMYFUNCTION("""COMPUTED_VALUE"""),2.636875E7)</f>
        <v>26368750</v>
      </c>
    </row>
    <row r="1161">
      <c r="A1161" s="2">
        <f>IFERROR(__xludf.DUMMYFUNCTION("""COMPUTED_VALUE"""),33073.666666666664)</f>
        <v>33073.66667</v>
      </c>
      <c r="B1161" s="1">
        <f>IFERROR(__xludf.DUMMYFUNCTION("""COMPUTED_VALUE"""),364.22)</f>
        <v>364.22</v>
      </c>
      <c r="C1161" s="1">
        <f>IFERROR(__xludf.DUMMYFUNCTION("""COMPUTED_VALUE"""),365.32)</f>
        <v>365.32</v>
      </c>
      <c r="D1161" s="1">
        <f>IFERROR(__xludf.DUMMYFUNCTION("""COMPUTED_VALUE"""),361.29)</f>
        <v>361.29</v>
      </c>
      <c r="E1161" s="1">
        <f>IFERROR(__xludf.DUMMYFUNCTION("""COMPUTED_VALUE"""),365.32)</f>
        <v>365.32</v>
      </c>
      <c r="F1161" s="1">
        <f>IFERROR(__xludf.DUMMYFUNCTION("""COMPUTED_VALUE"""),2.5310938E7)</f>
        <v>25310938</v>
      </c>
    </row>
    <row r="1162">
      <c r="A1162" s="2">
        <f>IFERROR(__xludf.DUMMYFUNCTION("""COMPUTED_VALUE"""),33074.666666666664)</f>
        <v>33074.66667</v>
      </c>
      <c r="B1162" s="1">
        <f>IFERROR(__xludf.DUMMYFUNCTION("""COMPUTED_VALUE"""),365.32)</f>
        <v>365.32</v>
      </c>
      <c r="C1162" s="1">
        <f>IFERROR(__xludf.DUMMYFUNCTION("""COMPUTED_VALUE"""),366.64)</f>
        <v>366.64</v>
      </c>
      <c r="D1162" s="1">
        <f>IFERROR(__xludf.DUMMYFUNCTION("""COMPUTED_VALUE"""),361.58)</f>
        <v>361.58</v>
      </c>
      <c r="E1162" s="1">
        <f>IFERROR(__xludf.DUMMYFUNCTION("""COMPUTED_VALUE"""),361.61)</f>
        <v>361.61</v>
      </c>
      <c r="F1162" s="1">
        <f>IFERROR(__xludf.DUMMYFUNCTION("""COMPUTED_VALUE"""),2.7782812E7)</f>
        <v>27782812</v>
      </c>
    </row>
    <row r="1163">
      <c r="A1163" s="2">
        <f>IFERROR(__xludf.DUMMYFUNCTION("""COMPUTED_VALUE"""),33077.666666666664)</f>
        <v>33077.66667</v>
      </c>
      <c r="B1163" s="1">
        <f>IFERROR(__xludf.DUMMYFUNCTION("""COMPUTED_VALUE"""),361.61)</f>
        <v>361.61</v>
      </c>
      <c r="C1163" s="1">
        <f>IFERROR(__xludf.DUMMYFUNCTION("""COMPUTED_VALUE"""),361.61)</f>
        <v>361.61</v>
      </c>
      <c r="D1163" s="1">
        <f>IFERROR(__xludf.DUMMYFUNCTION("""COMPUTED_VALUE"""),350.09)</f>
        <v>350.09</v>
      </c>
      <c r="E1163" s="1">
        <f>IFERROR(__xludf.DUMMYFUNCTION("""COMPUTED_VALUE"""),355.31)</f>
        <v>355.31</v>
      </c>
      <c r="F1163" s="1">
        <f>IFERROR(__xludf.DUMMYFUNCTION("""COMPUTED_VALUE"""),3.2660938E7)</f>
        <v>32660938</v>
      </c>
    </row>
    <row r="1164">
      <c r="A1164" s="2">
        <f>IFERROR(__xludf.DUMMYFUNCTION("""COMPUTED_VALUE"""),33078.666666666664)</f>
        <v>33078.66667</v>
      </c>
      <c r="B1164" s="1">
        <f>IFERROR(__xludf.DUMMYFUNCTION("""COMPUTED_VALUE"""),355.31)</f>
        <v>355.31</v>
      </c>
      <c r="C1164" s="1">
        <f>IFERROR(__xludf.DUMMYFUNCTION("""COMPUTED_VALUE"""),356.09)</f>
        <v>356.09</v>
      </c>
      <c r="D1164" s="1">
        <f>IFERROR(__xludf.DUMMYFUNCTION("""COMPUTED_VALUE"""),351.46)</f>
        <v>351.46</v>
      </c>
      <c r="E1164" s="1">
        <f>IFERROR(__xludf.DUMMYFUNCTION("""COMPUTED_VALUE"""),355.79)</f>
        <v>355.79</v>
      </c>
      <c r="F1164" s="1">
        <f>IFERROR(__xludf.DUMMYFUNCTION("""COMPUTED_VALUE"""),2.8425E7)</f>
        <v>28425000</v>
      </c>
    </row>
    <row r="1165">
      <c r="A1165" s="2">
        <f>IFERROR(__xludf.DUMMYFUNCTION("""COMPUTED_VALUE"""),33079.666666666664)</f>
        <v>33079.66667</v>
      </c>
      <c r="B1165" s="1">
        <f>IFERROR(__xludf.DUMMYFUNCTION("""COMPUTED_VALUE"""),355.79)</f>
        <v>355.79</v>
      </c>
      <c r="C1165" s="1">
        <f>IFERROR(__xludf.DUMMYFUNCTION("""COMPUTED_VALUE"""),357.52)</f>
        <v>357.52</v>
      </c>
      <c r="D1165" s="1">
        <f>IFERROR(__xludf.DUMMYFUNCTION("""COMPUTED_VALUE"""),354.8)</f>
        <v>354.8</v>
      </c>
      <c r="E1165" s="1">
        <f>IFERROR(__xludf.DUMMYFUNCTION("""COMPUTED_VALUE"""),357.09)</f>
        <v>357.09</v>
      </c>
      <c r="F1165" s="1">
        <f>IFERROR(__xludf.DUMMYFUNCTION("""COMPUTED_VALUE"""),2.5551562E7)</f>
        <v>25551562</v>
      </c>
    </row>
    <row r="1166">
      <c r="A1166" s="2">
        <f>IFERROR(__xludf.DUMMYFUNCTION("""COMPUTED_VALUE"""),33080.666666666664)</f>
        <v>33080.66667</v>
      </c>
      <c r="B1166" s="1">
        <f>IFERROR(__xludf.DUMMYFUNCTION("""COMPUTED_VALUE"""),357.09)</f>
        <v>357.09</v>
      </c>
      <c r="C1166" s="1">
        <f>IFERROR(__xludf.DUMMYFUNCTION("""COMPUTED_VALUE"""),357.47)</f>
        <v>357.47</v>
      </c>
      <c r="D1166" s="1">
        <f>IFERROR(__xludf.DUMMYFUNCTION("""COMPUTED_VALUE"""),353.95)</f>
        <v>353.95</v>
      </c>
      <c r="E1166" s="1">
        <f>IFERROR(__xludf.DUMMYFUNCTION("""COMPUTED_VALUE"""),355.91)</f>
        <v>355.91</v>
      </c>
      <c r="F1166" s="1">
        <f>IFERROR(__xludf.DUMMYFUNCTION("""COMPUTED_VALUE"""),2.4225E7)</f>
        <v>24225000</v>
      </c>
    </row>
    <row r="1167">
      <c r="A1167" s="2">
        <f>IFERROR(__xludf.DUMMYFUNCTION("""COMPUTED_VALUE"""),33081.666666666664)</f>
        <v>33081.66667</v>
      </c>
      <c r="B1167" s="1">
        <f>IFERROR(__xludf.DUMMYFUNCTION("""COMPUTED_VALUE"""),355.9)</f>
        <v>355.9</v>
      </c>
      <c r="C1167" s="1">
        <f>IFERROR(__xludf.DUMMYFUNCTION("""COMPUTED_VALUE"""),355.94)</f>
        <v>355.94</v>
      </c>
      <c r="D1167" s="1">
        <f>IFERROR(__xludf.DUMMYFUNCTION("""COMPUTED_VALUE"""),352.14)</f>
        <v>352.14</v>
      </c>
      <c r="E1167" s="1">
        <f>IFERROR(__xludf.DUMMYFUNCTION("""COMPUTED_VALUE"""),353.44)</f>
        <v>353.44</v>
      </c>
      <c r="F1167" s="1">
        <f>IFERROR(__xludf.DUMMYFUNCTION("""COMPUTED_VALUE"""),2.3292188E7)</f>
        <v>23292188</v>
      </c>
    </row>
    <row r="1168">
      <c r="A1168" s="2">
        <f>IFERROR(__xludf.DUMMYFUNCTION("""COMPUTED_VALUE"""),33084.666666666664)</f>
        <v>33084.66667</v>
      </c>
      <c r="B1168" s="1">
        <f>IFERROR(__xludf.DUMMYFUNCTION("""COMPUTED_VALUE"""),353.44)</f>
        <v>353.44</v>
      </c>
      <c r="C1168" s="1">
        <f>IFERROR(__xludf.DUMMYFUNCTION("""COMPUTED_VALUE"""),355.55)</f>
        <v>355.55</v>
      </c>
      <c r="D1168" s="1">
        <f>IFERROR(__xludf.DUMMYFUNCTION("""COMPUTED_VALUE"""),351.15)</f>
        <v>351.15</v>
      </c>
      <c r="E1168" s="1">
        <f>IFERROR(__xludf.DUMMYFUNCTION("""COMPUTED_VALUE"""),355.55)</f>
        <v>355.55</v>
      </c>
      <c r="F1168" s="1">
        <f>IFERROR(__xludf.DUMMYFUNCTION("""COMPUTED_VALUE"""),2.2885938E7)</f>
        <v>22885938</v>
      </c>
    </row>
    <row r="1169">
      <c r="A1169" s="2">
        <f>IFERROR(__xludf.DUMMYFUNCTION("""COMPUTED_VALUE"""),33085.666666666664)</f>
        <v>33085.66667</v>
      </c>
      <c r="B1169" s="1">
        <f>IFERROR(__xludf.DUMMYFUNCTION("""COMPUTED_VALUE"""),355.55)</f>
        <v>355.55</v>
      </c>
      <c r="C1169" s="1">
        <f>IFERROR(__xludf.DUMMYFUNCTION("""COMPUTED_VALUE"""),357.54)</f>
        <v>357.54</v>
      </c>
      <c r="D1169" s="1">
        <f>IFERROR(__xludf.DUMMYFUNCTION("""COMPUTED_VALUE"""),353.91)</f>
        <v>353.91</v>
      </c>
      <c r="E1169" s="1">
        <f>IFERROR(__xludf.DUMMYFUNCTION("""COMPUTED_VALUE"""),356.15)</f>
        <v>356.15</v>
      </c>
      <c r="F1169" s="1">
        <f>IFERROR(__xludf.DUMMYFUNCTION("""COMPUTED_VALUE"""),2.7403124E7)</f>
        <v>27403124</v>
      </c>
    </row>
    <row r="1170">
      <c r="A1170" s="2">
        <f>IFERROR(__xludf.DUMMYFUNCTION("""COMPUTED_VALUE"""),33086.666666666664)</f>
        <v>33086.66667</v>
      </c>
      <c r="B1170" s="1">
        <f>IFERROR(__xludf.DUMMYFUNCTION("""COMPUTED_VALUE"""),356.15)</f>
        <v>356.15</v>
      </c>
      <c r="C1170" s="1">
        <f>IFERROR(__xludf.DUMMYFUNCTION("""COMPUTED_VALUE"""),357.35)</f>
        <v>357.35</v>
      </c>
      <c r="D1170" s="1">
        <f>IFERROR(__xludf.DUMMYFUNCTION("""COMPUTED_VALUE"""),353.82)</f>
        <v>353.82</v>
      </c>
      <c r="E1170" s="1">
        <f>IFERROR(__xludf.DUMMYFUNCTION("""COMPUTED_VALUE"""),355.52)</f>
        <v>355.52</v>
      </c>
      <c r="F1170" s="1">
        <f>IFERROR(__xludf.DUMMYFUNCTION("""COMPUTED_VALUE"""),2.7853124E7)</f>
        <v>27853124</v>
      </c>
    </row>
    <row r="1171">
      <c r="A1171" s="2">
        <f>IFERROR(__xludf.DUMMYFUNCTION("""COMPUTED_VALUE"""),33087.666666666664)</f>
        <v>33087.66667</v>
      </c>
      <c r="B1171" s="1">
        <f>IFERROR(__xludf.DUMMYFUNCTION("""COMPUTED_VALUE"""),355.52)</f>
        <v>355.52</v>
      </c>
      <c r="C1171" s="1">
        <f>IFERROR(__xludf.DUMMYFUNCTION("""COMPUTED_VALUE"""),355.52)</f>
        <v>355.52</v>
      </c>
      <c r="D1171" s="1">
        <f>IFERROR(__xludf.DUMMYFUNCTION("""COMPUTED_VALUE"""),349.73)</f>
        <v>349.73</v>
      </c>
      <c r="E1171" s="1">
        <f>IFERROR(__xludf.DUMMYFUNCTION("""COMPUTED_VALUE"""),351.48)</f>
        <v>351.48</v>
      </c>
      <c r="F1171" s="1">
        <f>IFERROR(__xludf.DUMMYFUNCTION("""COMPUTED_VALUE"""),3.9545312E7)</f>
        <v>39545312</v>
      </c>
    </row>
    <row r="1172">
      <c r="A1172" s="2">
        <f>IFERROR(__xludf.DUMMYFUNCTION("""COMPUTED_VALUE"""),33088.666666666664)</f>
        <v>33088.66667</v>
      </c>
      <c r="B1172" s="1">
        <f>IFERROR(__xludf.DUMMYFUNCTION("""COMPUTED_VALUE"""),351.48)</f>
        <v>351.48</v>
      </c>
      <c r="C1172" s="1">
        <f>IFERROR(__xludf.DUMMYFUNCTION("""COMPUTED_VALUE"""),351.48)</f>
        <v>351.48</v>
      </c>
      <c r="D1172" s="1">
        <f>IFERROR(__xludf.DUMMYFUNCTION("""COMPUTED_VALUE"""),338.2)</f>
        <v>338.2</v>
      </c>
      <c r="E1172" s="1">
        <f>IFERROR(__xludf.DUMMYFUNCTION("""COMPUTED_VALUE"""),344.86)</f>
        <v>344.86</v>
      </c>
      <c r="F1172" s="1">
        <f>IFERROR(__xludf.DUMMYFUNCTION("""COMPUTED_VALUE"""),4.6231248E7)</f>
        <v>46231248</v>
      </c>
    </row>
    <row r="1173">
      <c r="A1173" s="2">
        <f>IFERROR(__xludf.DUMMYFUNCTION("""COMPUTED_VALUE"""),33091.666666666664)</f>
        <v>33091.66667</v>
      </c>
      <c r="B1173" s="1">
        <f>IFERROR(__xludf.DUMMYFUNCTION("""COMPUTED_VALUE"""),344.86)</f>
        <v>344.86</v>
      </c>
      <c r="C1173" s="1">
        <f>IFERROR(__xludf.DUMMYFUNCTION("""COMPUTED_VALUE"""),344.86)</f>
        <v>344.86</v>
      </c>
      <c r="D1173" s="1">
        <f>IFERROR(__xludf.DUMMYFUNCTION("""COMPUTED_VALUE"""),333.27)</f>
        <v>333.27</v>
      </c>
      <c r="E1173" s="1">
        <f>IFERROR(__xludf.DUMMYFUNCTION("""COMPUTED_VALUE"""),334.43)</f>
        <v>334.43</v>
      </c>
      <c r="F1173" s="1">
        <f>IFERROR(__xludf.DUMMYFUNCTION("""COMPUTED_VALUE"""),3.75625E7)</f>
        <v>37562500</v>
      </c>
    </row>
    <row r="1174">
      <c r="A1174" s="2">
        <f>IFERROR(__xludf.DUMMYFUNCTION("""COMPUTED_VALUE"""),33092.666666666664)</f>
        <v>33092.66667</v>
      </c>
      <c r="B1174" s="1">
        <f>IFERROR(__xludf.DUMMYFUNCTION("""COMPUTED_VALUE"""),334.43)</f>
        <v>334.43</v>
      </c>
      <c r="C1174" s="1">
        <f>IFERROR(__xludf.DUMMYFUNCTION("""COMPUTED_VALUE"""),338.63)</f>
        <v>338.63</v>
      </c>
      <c r="D1174" s="1">
        <f>IFERROR(__xludf.DUMMYFUNCTION("""COMPUTED_VALUE"""),332.22)</f>
        <v>332.22</v>
      </c>
      <c r="E1174" s="1">
        <f>IFERROR(__xludf.DUMMYFUNCTION("""COMPUTED_VALUE"""),334.83)</f>
        <v>334.83</v>
      </c>
      <c r="F1174" s="1">
        <f>IFERROR(__xludf.DUMMYFUNCTION("""COMPUTED_VALUE"""),3.6184376E7)</f>
        <v>36184376</v>
      </c>
    </row>
    <row r="1175">
      <c r="A1175" s="2">
        <f>IFERROR(__xludf.DUMMYFUNCTION("""COMPUTED_VALUE"""),33093.666666666664)</f>
        <v>33093.66667</v>
      </c>
      <c r="B1175" s="1">
        <f>IFERROR(__xludf.DUMMYFUNCTION("""COMPUTED_VALUE"""),334.83)</f>
        <v>334.83</v>
      </c>
      <c r="C1175" s="1">
        <f>IFERROR(__xludf.DUMMYFUNCTION("""COMPUTED_VALUE"""),339.21)</f>
        <v>339.21</v>
      </c>
      <c r="D1175" s="1">
        <f>IFERROR(__xludf.DUMMYFUNCTION("""COMPUTED_VALUE"""),334.83)</f>
        <v>334.83</v>
      </c>
      <c r="E1175" s="1">
        <f>IFERROR(__xludf.DUMMYFUNCTION("""COMPUTED_VALUE"""),338.35)</f>
        <v>338.35</v>
      </c>
      <c r="F1175" s="1">
        <f>IFERROR(__xludf.DUMMYFUNCTION("""COMPUTED_VALUE"""),2.975E7)</f>
        <v>29750000</v>
      </c>
    </row>
    <row r="1176">
      <c r="A1176" s="2">
        <f>IFERROR(__xludf.DUMMYFUNCTION("""COMPUTED_VALUE"""),33094.666666666664)</f>
        <v>33094.66667</v>
      </c>
      <c r="B1176" s="1">
        <f>IFERROR(__xludf.DUMMYFUNCTION("""COMPUTED_VALUE"""),338.35)</f>
        <v>338.35</v>
      </c>
      <c r="C1176" s="1">
        <f>IFERROR(__xludf.DUMMYFUNCTION("""COMPUTED_VALUE"""),340.56)</f>
        <v>340.56</v>
      </c>
      <c r="D1176" s="1">
        <f>IFERROR(__xludf.DUMMYFUNCTION("""COMPUTED_VALUE"""),337.56)</f>
        <v>337.56</v>
      </c>
      <c r="E1176" s="1">
        <f>IFERROR(__xludf.DUMMYFUNCTION("""COMPUTED_VALUE"""),339.94)</f>
        <v>339.94</v>
      </c>
      <c r="F1176" s="1">
        <f>IFERROR(__xludf.DUMMYFUNCTION("""COMPUTED_VALUE"""),2.4345312E7)</f>
        <v>24345312</v>
      </c>
    </row>
    <row r="1177">
      <c r="A1177" s="2">
        <f>IFERROR(__xludf.DUMMYFUNCTION("""COMPUTED_VALUE"""),33095.666666666664)</f>
        <v>33095.66667</v>
      </c>
      <c r="B1177" s="1">
        <f>IFERROR(__xludf.DUMMYFUNCTION("""COMPUTED_VALUE"""),339.9)</f>
        <v>339.9</v>
      </c>
      <c r="C1177" s="1">
        <f>IFERROR(__xludf.DUMMYFUNCTION("""COMPUTED_VALUE"""),339.9)</f>
        <v>339.9</v>
      </c>
      <c r="D1177" s="1">
        <f>IFERROR(__xludf.DUMMYFUNCTION("""COMPUTED_VALUE"""),334.22)</f>
        <v>334.22</v>
      </c>
      <c r="E1177" s="1">
        <f>IFERROR(__xludf.DUMMYFUNCTION("""COMPUTED_VALUE"""),335.52)</f>
        <v>335.52</v>
      </c>
      <c r="F1177" s="1">
        <f>IFERROR(__xludf.DUMMYFUNCTION("""COMPUTED_VALUE"""),2.2709376E7)</f>
        <v>22709376</v>
      </c>
    </row>
    <row r="1178">
      <c r="A1178" s="2">
        <f>IFERROR(__xludf.DUMMYFUNCTION("""COMPUTED_VALUE"""),33098.666666666664)</f>
        <v>33098.66667</v>
      </c>
      <c r="B1178" s="1">
        <f>IFERROR(__xludf.DUMMYFUNCTION("""COMPUTED_VALUE"""),335.39)</f>
        <v>335.39</v>
      </c>
      <c r="C1178" s="1">
        <f>IFERROR(__xludf.DUMMYFUNCTION("""COMPUTED_VALUE"""),338.88)</f>
        <v>338.88</v>
      </c>
      <c r="D1178" s="1">
        <f>IFERROR(__xludf.DUMMYFUNCTION("""COMPUTED_VALUE"""),332.02)</f>
        <v>332.02</v>
      </c>
      <c r="E1178" s="1">
        <f>IFERROR(__xludf.DUMMYFUNCTION("""COMPUTED_VALUE"""),338.84)</f>
        <v>338.84</v>
      </c>
      <c r="F1178" s="1">
        <f>IFERROR(__xludf.DUMMYFUNCTION("""COMPUTED_VALUE"""),1.9190624E7)</f>
        <v>19190624</v>
      </c>
    </row>
    <row r="1179">
      <c r="A1179" s="2">
        <f>IFERROR(__xludf.DUMMYFUNCTION("""COMPUTED_VALUE"""),33099.666666666664)</f>
        <v>33099.66667</v>
      </c>
      <c r="B1179" s="1">
        <f>IFERROR(__xludf.DUMMYFUNCTION("""COMPUTED_VALUE"""),338.84)</f>
        <v>338.84</v>
      </c>
      <c r="C1179" s="1">
        <f>IFERROR(__xludf.DUMMYFUNCTION("""COMPUTED_VALUE"""),340.96)</f>
        <v>340.96</v>
      </c>
      <c r="D1179" s="1">
        <f>IFERROR(__xludf.DUMMYFUNCTION("""COMPUTED_VALUE"""),337.19)</f>
        <v>337.19</v>
      </c>
      <c r="E1179" s="1">
        <f>IFERROR(__xludf.DUMMYFUNCTION("""COMPUTED_VALUE"""),339.39)</f>
        <v>339.39</v>
      </c>
      <c r="F1179" s="1">
        <f>IFERROR(__xludf.DUMMYFUNCTION("""COMPUTED_VALUE"""),2.03625E7)</f>
        <v>20362500</v>
      </c>
    </row>
    <row r="1180">
      <c r="A1180" s="2">
        <f>IFERROR(__xludf.DUMMYFUNCTION("""COMPUTED_VALUE"""),33100.666666666664)</f>
        <v>33100.66667</v>
      </c>
      <c r="B1180" s="1">
        <f>IFERROR(__xludf.DUMMYFUNCTION("""COMPUTED_VALUE"""),339.39)</f>
        <v>339.39</v>
      </c>
      <c r="C1180" s="1">
        <f>IFERROR(__xludf.DUMMYFUNCTION("""COMPUTED_VALUE"""),341.92)</f>
        <v>341.92</v>
      </c>
      <c r="D1180" s="1">
        <f>IFERROR(__xludf.DUMMYFUNCTION("""COMPUTED_VALUE"""),339.38)</f>
        <v>339.38</v>
      </c>
      <c r="E1180" s="1">
        <f>IFERROR(__xludf.DUMMYFUNCTION("""COMPUTED_VALUE"""),340.06)</f>
        <v>340.06</v>
      </c>
      <c r="F1180" s="1">
        <f>IFERROR(__xludf.DUMMYFUNCTION("""COMPUTED_VALUE"""),2.1360938E7)</f>
        <v>21360938</v>
      </c>
    </row>
    <row r="1181">
      <c r="A1181" s="2">
        <f>IFERROR(__xludf.DUMMYFUNCTION("""COMPUTED_VALUE"""),33101.666666666664)</f>
        <v>33101.66667</v>
      </c>
      <c r="B1181" s="1">
        <f>IFERROR(__xludf.DUMMYFUNCTION("""COMPUTED_VALUE"""),340.06)</f>
        <v>340.06</v>
      </c>
      <c r="C1181" s="1">
        <f>IFERROR(__xludf.DUMMYFUNCTION("""COMPUTED_VALUE"""),340.06)</f>
        <v>340.06</v>
      </c>
      <c r="D1181" s="1">
        <f>IFERROR(__xludf.DUMMYFUNCTION("""COMPUTED_VALUE"""),332.39)</f>
        <v>332.39</v>
      </c>
      <c r="E1181" s="1">
        <f>IFERROR(__xludf.DUMMYFUNCTION("""COMPUTED_VALUE"""),332.39)</f>
        <v>332.39</v>
      </c>
      <c r="F1181" s="1">
        <f>IFERROR(__xludf.DUMMYFUNCTION("""COMPUTED_VALUE"""),2.1695312E7)</f>
        <v>21695312</v>
      </c>
    </row>
    <row r="1182">
      <c r="A1182" s="2">
        <f>IFERROR(__xludf.DUMMYFUNCTION("""COMPUTED_VALUE"""),33102.666666666664)</f>
        <v>33102.66667</v>
      </c>
      <c r="B1182" s="1">
        <f>IFERROR(__xludf.DUMMYFUNCTION("""COMPUTED_VALUE"""),332.36)</f>
        <v>332.36</v>
      </c>
      <c r="C1182" s="1">
        <f>IFERROR(__xludf.DUMMYFUNCTION("""COMPUTED_VALUE"""),332.36)</f>
        <v>332.36</v>
      </c>
      <c r="D1182" s="1">
        <f>IFERROR(__xludf.DUMMYFUNCTION("""COMPUTED_VALUE"""),324.63)</f>
        <v>324.63</v>
      </c>
      <c r="E1182" s="1">
        <f>IFERROR(__xludf.DUMMYFUNCTION("""COMPUTED_VALUE"""),327.83)</f>
        <v>327.83</v>
      </c>
      <c r="F1182" s="1">
        <f>IFERROR(__xludf.DUMMYFUNCTION("""COMPUTED_VALUE"""),3.32125E7)</f>
        <v>33212500</v>
      </c>
    </row>
    <row r="1183">
      <c r="A1183" s="2">
        <f>IFERROR(__xludf.DUMMYFUNCTION("""COMPUTED_VALUE"""),33105.666666666664)</f>
        <v>33105.66667</v>
      </c>
      <c r="B1183" s="1">
        <f>IFERROR(__xludf.DUMMYFUNCTION("""COMPUTED_VALUE"""),327.83)</f>
        <v>327.83</v>
      </c>
      <c r="C1183" s="1">
        <f>IFERROR(__xludf.DUMMYFUNCTION("""COMPUTED_VALUE"""),329.9)</f>
        <v>329.9</v>
      </c>
      <c r="D1183" s="1">
        <f>IFERROR(__xludf.DUMMYFUNCTION("""COMPUTED_VALUE"""),327.07)</f>
        <v>327.07</v>
      </c>
      <c r="E1183" s="1">
        <f>IFERROR(__xludf.DUMMYFUNCTION("""COMPUTED_VALUE"""),328.51)</f>
        <v>328.51</v>
      </c>
      <c r="F1183" s="1">
        <f>IFERROR(__xludf.DUMMYFUNCTION("""COMPUTED_VALUE"""),2.0254688E7)</f>
        <v>20254688</v>
      </c>
    </row>
    <row r="1184">
      <c r="A1184" s="2">
        <f>IFERROR(__xludf.DUMMYFUNCTION("""COMPUTED_VALUE"""),33106.666666666664)</f>
        <v>33106.66667</v>
      </c>
      <c r="B1184" s="1">
        <f>IFERROR(__xludf.DUMMYFUNCTION("""COMPUTED_VALUE"""),328.51)</f>
        <v>328.51</v>
      </c>
      <c r="C1184" s="1">
        <f>IFERROR(__xludf.DUMMYFUNCTION("""COMPUTED_VALUE"""),328.51)</f>
        <v>328.51</v>
      </c>
      <c r="D1184" s="1">
        <f>IFERROR(__xludf.DUMMYFUNCTION("""COMPUTED_VALUE"""),318.78)</f>
        <v>318.78</v>
      </c>
      <c r="E1184" s="1">
        <f>IFERROR(__xludf.DUMMYFUNCTION("""COMPUTED_VALUE"""),321.86)</f>
        <v>321.86</v>
      </c>
      <c r="F1184" s="1">
        <f>IFERROR(__xludf.DUMMYFUNCTION("""COMPUTED_VALUE"""),3.0410938E7)</f>
        <v>30410938</v>
      </c>
    </row>
    <row r="1185">
      <c r="A1185" s="2">
        <f>IFERROR(__xludf.DUMMYFUNCTION("""COMPUTED_VALUE"""),33107.666666666664)</f>
        <v>33107.66667</v>
      </c>
      <c r="B1185" s="1">
        <f>IFERROR(__xludf.DUMMYFUNCTION("""COMPUTED_VALUE"""),321.86)</f>
        <v>321.86</v>
      </c>
      <c r="C1185" s="1">
        <f>IFERROR(__xludf.DUMMYFUNCTION("""COMPUTED_VALUE"""),324.15)</f>
        <v>324.15</v>
      </c>
      <c r="D1185" s="1">
        <f>IFERROR(__xludf.DUMMYFUNCTION("""COMPUTED_VALUE"""),316.55)</f>
        <v>316.55</v>
      </c>
      <c r="E1185" s="1">
        <f>IFERROR(__xludf.DUMMYFUNCTION("""COMPUTED_VALUE"""),316.55)</f>
        <v>316.55</v>
      </c>
      <c r="F1185" s="1">
        <f>IFERROR(__xludf.DUMMYFUNCTION("""COMPUTED_VALUE"""),2.7429688E7)</f>
        <v>27429688</v>
      </c>
    </row>
    <row r="1186">
      <c r="A1186" s="2">
        <f>IFERROR(__xludf.DUMMYFUNCTION("""COMPUTED_VALUE"""),33108.666666666664)</f>
        <v>33108.66667</v>
      </c>
      <c r="B1186" s="1">
        <f>IFERROR(__xludf.DUMMYFUNCTION("""COMPUTED_VALUE"""),316.55)</f>
        <v>316.55</v>
      </c>
      <c r="C1186" s="1">
        <f>IFERROR(__xludf.DUMMYFUNCTION("""COMPUTED_VALUE"""),316.55)</f>
        <v>316.55</v>
      </c>
      <c r="D1186" s="1">
        <f>IFERROR(__xludf.DUMMYFUNCTION("""COMPUTED_VALUE"""),306.56)</f>
        <v>306.56</v>
      </c>
      <c r="E1186" s="1">
        <f>IFERROR(__xludf.DUMMYFUNCTION("""COMPUTED_VALUE"""),307.06)</f>
        <v>307.06</v>
      </c>
      <c r="F1186" s="1">
        <f>IFERROR(__xludf.DUMMYFUNCTION("""COMPUTED_VALUE"""),3.9131248E7)</f>
        <v>39131248</v>
      </c>
    </row>
    <row r="1187">
      <c r="A1187" s="2">
        <f>IFERROR(__xludf.DUMMYFUNCTION("""COMPUTED_VALUE"""),33109.666666666664)</f>
        <v>33109.66667</v>
      </c>
      <c r="B1187" s="1">
        <f>IFERROR(__xludf.DUMMYFUNCTION("""COMPUTED_VALUE"""),307.06)</f>
        <v>307.06</v>
      </c>
      <c r="C1187" s="1">
        <f>IFERROR(__xludf.DUMMYFUNCTION("""COMPUTED_VALUE"""),311.65)</f>
        <v>311.65</v>
      </c>
      <c r="D1187" s="1">
        <f>IFERROR(__xludf.DUMMYFUNCTION("""COMPUTED_VALUE"""),306.18)</f>
        <v>306.18</v>
      </c>
      <c r="E1187" s="1">
        <f>IFERROR(__xludf.DUMMYFUNCTION("""COMPUTED_VALUE"""),311.51)</f>
        <v>311.51</v>
      </c>
      <c r="F1187" s="1">
        <f>IFERROR(__xludf.DUMMYFUNCTION("""COMPUTED_VALUE"""),3.11E7)</f>
        <v>31100000</v>
      </c>
    </row>
    <row r="1188">
      <c r="A1188" s="2">
        <f>IFERROR(__xludf.DUMMYFUNCTION("""COMPUTED_VALUE"""),33112.666666666664)</f>
        <v>33112.66667</v>
      </c>
      <c r="B1188" s="1">
        <f>IFERROR(__xludf.DUMMYFUNCTION("""COMPUTED_VALUE"""),311.55)</f>
        <v>311.55</v>
      </c>
      <c r="C1188" s="1">
        <f>IFERROR(__xludf.DUMMYFUNCTION("""COMPUTED_VALUE"""),323.11)</f>
        <v>323.11</v>
      </c>
      <c r="D1188" s="1">
        <f>IFERROR(__xludf.DUMMYFUNCTION("""COMPUTED_VALUE"""),311.55)</f>
        <v>311.55</v>
      </c>
      <c r="E1188" s="1">
        <f>IFERROR(__xludf.DUMMYFUNCTION("""COMPUTED_VALUE"""),321.44)</f>
        <v>321.44</v>
      </c>
      <c r="F1188" s="1">
        <f>IFERROR(__xludf.DUMMYFUNCTION("""COMPUTED_VALUE"""),2.5023438E7)</f>
        <v>25023438</v>
      </c>
    </row>
    <row r="1189">
      <c r="A1189" s="2">
        <f>IFERROR(__xludf.DUMMYFUNCTION("""COMPUTED_VALUE"""),33113.666666666664)</f>
        <v>33113.66667</v>
      </c>
      <c r="B1189" s="1">
        <f>IFERROR(__xludf.DUMMYFUNCTION("""COMPUTED_VALUE"""),321.44)</f>
        <v>321.44</v>
      </c>
      <c r="C1189" s="1">
        <f>IFERROR(__xludf.DUMMYFUNCTION("""COMPUTED_VALUE"""),322.2)</f>
        <v>322.2</v>
      </c>
      <c r="D1189" s="1">
        <f>IFERROR(__xludf.DUMMYFUNCTION("""COMPUTED_VALUE"""),320.25)</f>
        <v>320.25</v>
      </c>
      <c r="E1189" s="1">
        <f>IFERROR(__xludf.DUMMYFUNCTION("""COMPUTED_VALUE"""),321.34)</f>
        <v>321.34</v>
      </c>
      <c r="F1189" s="1">
        <f>IFERROR(__xludf.DUMMYFUNCTION("""COMPUTED_VALUE"""),1.9946876E7)</f>
        <v>19946876</v>
      </c>
    </row>
    <row r="1190">
      <c r="A1190" s="2">
        <f>IFERROR(__xludf.DUMMYFUNCTION("""COMPUTED_VALUE"""),33114.666666666664)</f>
        <v>33114.66667</v>
      </c>
      <c r="B1190" s="1">
        <f>IFERROR(__xludf.DUMMYFUNCTION("""COMPUTED_VALUE"""),321.34)</f>
        <v>321.34</v>
      </c>
      <c r="C1190" s="1">
        <f>IFERROR(__xludf.DUMMYFUNCTION("""COMPUTED_VALUE"""),325.83)</f>
        <v>325.83</v>
      </c>
      <c r="D1190" s="1">
        <f>IFERROR(__xludf.DUMMYFUNCTION("""COMPUTED_VALUE"""),320.87)</f>
        <v>320.87</v>
      </c>
      <c r="E1190" s="1">
        <f>IFERROR(__xludf.DUMMYFUNCTION("""COMPUTED_VALUE"""),324.19)</f>
        <v>324.19</v>
      </c>
      <c r="F1190" s="1">
        <f>IFERROR(__xludf.DUMMYFUNCTION("""COMPUTED_VALUE"""),2.0975E7)</f>
        <v>20975000</v>
      </c>
    </row>
    <row r="1191">
      <c r="A1191" s="2">
        <f>IFERROR(__xludf.DUMMYFUNCTION("""COMPUTED_VALUE"""),33115.666666666664)</f>
        <v>33115.66667</v>
      </c>
      <c r="B1191" s="1">
        <f>IFERROR(__xludf.DUMMYFUNCTION("""COMPUTED_VALUE"""),324.19)</f>
        <v>324.19</v>
      </c>
      <c r="C1191" s="1">
        <f>IFERROR(__xludf.DUMMYFUNCTION("""COMPUTED_VALUE"""),324.57)</f>
        <v>324.57</v>
      </c>
      <c r="D1191" s="1">
        <f>IFERROR(__xludf.DUMMYFUNCTION("""COMPUTED_VALUE"""),317.82)</f>
        <v>317.82</v>
      </c>
      <c r="E1191" s="1">
        <f>IFERROR(__xludf.DUMMYFUNCTION("""COMPUTED_VALUE"""),318.71)</f>
        <v>318.71</v>
      </c>
      <c r="F1191" s="1">
        <f>IFERROR(__xludf.DUMMYFUNCTION("""COMPUTED_VALUE"""),1.8889062E7)</f>
        <v>18889062</v>
      </c>
    </row>
    <row r="1192">
      <c r="A1192" s="2">
        <f>IFERROR(__xludf.DUMMYFUNCTION("""COMPUTED_VALUE"""),33116.666666666664)</f>
        <v>33116.66667</v>
      </c>
      <c r="B1192" s="1">
        <f>IFERROR(__xludf.DUMMYFUNCTION("""COMPUTED_VALUE"""),318.71)</f>
        <v>318.71</v>
      </c>
      <c r="C1192" s="1">
        <f>IFERROR(__xludf.DUMMYFUNCTION("""COMPUTED_VALUE"""),322.57)</f>
        <v>322.57</v>
      </c>
      <c r="D1192" s="1">
        <f>IFERROR(__xludf.DUMMYFUNCTION("""COMPUTED_VALUE"""),316.59)</f>
        <v>316.59</v>
      </c>
      <c r="E1192" s="1">
        <f>IFERROR(__xludf.DUMMYFUNCTION("""COMPUTED_VALUE"""),322.56)</f>
        <v>322.56</v>
      </c>
      <c r="F1192" s="1">
        <f>IFERROR(__xludf.DUMMYFUNCTION("""COMPUTED_VALUE"""),1.5075E7)</f>
        <v>15075000</v>
      </c>
    </row>
    <row r="1193">
      <c r="A1193" s="2">
        <f>IFERROR(__xludf.DUMMYFUNCTION("""COMPUTED_VALUE"""),33120.666666666664)</f>
        <v>33120.66667</v>
      </c>
      <c r="B1193" s="1">
        <f>IFERROR(__xludf.DUMMYFUNCTION("""COMPUTED_VALUE"""),322.56)</f>
        <v>322.56</v>
      </c>
      <c r="C1193" s="1">
        <f>IFERROR(__xludf.DUMMYFUNCTION("""COMPUTED_VALUE"""),323.09)</f>
        <v>323.09</v>
      </c>
      <c r="D1193" s="1">
        <f>IFERROR(__xludf.DUMMYFUNCTION("""COMPUTED_VALUE"""),319.11)</f>
        <v>319.11</v>
      </c>
      <c r="E1193" s="1">
        <f>IFERROR(__xludf.DUMMYFUNCTION("""COMPUTED_VALUE"""),323.09)</f>
        <v>323.09</v>
      </c>
      <c r="F1193" s="1">
        <f>IFERROR(__xludf.DUMMYFUNCTION("""COMPUTED_VALUE"""),1.4521875E7)</f>
        <v>14521875</v>
      </c>
    </row>
    <row r="1194">
      <c r="A1194" s="2">
        <f>IFERROR(__xludf.DUMMYFUNCTION("""COMPUTED_VALUE"""),33121.666666666664)</f>
        <v>33121.66667</v>
      </c>
      <c r="B1194" s="1">
        <f>IFERROR(__xludf.DUMMYFUNCTION("""COMPUTED_VALUE"""),323.09)</f>
        <v>323.09</v>
      </c>
      <c r="C1194" s="1">
        <f>IFERROR(__xludf.DUMMYFUNCTION("""COMPUTED_VALUE"""),324.52)</f>
        <v>324.52</v>
      </c>
      <c r="D1194" s="1">
        <f>IFERROR(__xludf.DUMMYFUNCTION("""COMPUTED_VALUE"""),320.99)</f>
        <v>320.99</v>
      </c>
      <c r="E1194" s="1">
        <f>IFERROR(__xludf.DUMMYFUNCTION("""COMPUTED_VALUE"""),324.39)</f>
        <v>324.39</v>
      </c>
      <c r="F1194" s="1">
        <f>IFERROR(__xludf.DUMMYFUNCTION("""COMPUTED_VALUE"""),1.8845312E7)</f>
        <v>18845312</v>
      </c>
    </row>
    <row r="1195">
      <c r="A1195" s="2">
        <f>IFERROR(__xludf.DUMMYFUNCTION("""COMPUTED_VALUE"""),33122.666666666664)</f>
        <v>33122.66667</v>
      </c>
      <c r="B1195" s="1">
        <f>IFERROR(__xludf.DUMMYFUNCTION("""COMPUTED_VALUE"""),324.39)</f>
        <v>324.39</v>
      </c>
      <c r="C1195" s="1">
        <f>IFERROR(__xludf.DUMMYFUNCTION("""COMPUTED_VALUE"""),324.39)</f>
        <v>324.39</v>
      </c>
      <c r="D1195" s="1">
        <f>IFERROR(__xludf.DUMMYFUNCTION("""COMPUTED_VALUE"""),319.37)</f>
        <v>319.37</v>
      </c>
      <c r="E1195" s="1">
        <f>IFERROR(__xludf.DUMMYFUNCTION("""COMPUTED_VALUE"""),320.46)</f>
        <v>320.46</v>
      </c>
      <c r="F1195" s="1">
        <f>IFERROR(__xludf.DUMMYFUNCTION("""COMPUTED_VALUE"""),1.9628124E7)</f>
        <v>19628124</v>
      </c>
    </row>
    <row r="1196">
      <c r="A1196" s="2">
        <f>IFERROR(__xludf.DUMMYFUNCTION("""COMPUTED_VALUE"""),33123.666666666664)</f>
        <v>33123.66667</v>
      </c>
      <c r="B1196" s="1">
        <f>IFERROR(__xludf.DUMMYFUNCTION("""COMPUTED_VALUE"""),320.46)</f>
        <v>320.46</v>
      </c>
      <c r="C1196" s="1">
        <f>IFERROR(__xludf.DUMMYFUNCTION("""COMPUTED_VALUE"""),324.18)</f>
        <v>324.18</v>
      </c>
      <c r="D1196" s="1">
        <f>IFERROR(__xludf.DUMMYFUNCTION("""COMPUTED_VALUE"""),319.71)</f>
        <v>319.71</v>
      </c>
      <c r="E1196" s="1">
        <f>IFERROR(__xludf.DUMMYFUNCTION("""COMPUTED_VALUE"""),323.4)</f>
        <v>323.4</v>
      </c>
      <c r="F1196" s="1">
        <f>IFERROR(__xludf.DUMMYFUNCTION("""COMPUTED_VALUE"""),1.934375E7)</f>
        <v>19343750</v>
      </c>
    </row>
    <row r="1197">
      <c r="A1197" s="2">
        <f>IFERROR(__xludf.DUMMYFUNCTION("""COMPUTED_VALUE"""),33126.666666666664)</f>
        <v>33126.66667</v>
      </c>
      <c r="B1197" s="1">
        <f>IFERROR(__xludf.DUMMYFUNCTION("""COMPUTED_VALUE"""),323.42)</f>
        <v>323.42</v>
      </c>
      <c r="C1197" s="1">
        <f>IFERROR(__xludf.DUMMYFUNCTION("""COMPUTED_VALUE"""),326.53)</f>
        <v>326.53</v>
      </c>
      <c r="D1197" s="1">
        <f>IFERROR(__xludf.DUMMYFUNCTION("""COMPUTED_VALUE"""),320.31)</f>
        <v>320.31</v>
      </c>
      <c r="E1197" s="1">
        <f>IFERROR(__xludf.DUMMYFUNCTION("""COMPUTED_VALUE"""),321.63)</f>
        <v>321.63</v>
      </c>
      <c r="F1197" s="1">
        <f>IFERROR(__xludf.DUMMYFUNCTION("""COMPUTED_VALUE"""),1.8707812E7)</f>
        <v>18707812</v>
      </c>
    </row>
    <row r="1198">
      <c r="A1198" s="2">
        <f>IFERROR(__xludf.DUMMYFUNCTION("""COMPUTED_VALUE"""),33127.666666666664)</f>
        <v>33127.66667</v>
      </c>
      <c r="B1198" s="1">
        <f>IFERROR(__xludf.DUMMYFUNCTION("""COMPUTED_VALUE"""),321.63)</f>
        <v>321.63</v>
      </c>
      <c r="C1198" s="1">
        <f>IFERROR(__xludf.DUMMYFUNCTION("""COMPUTED_VALUE"""),322.18)</f>
        <v>322.18</v>
      </c>
      <c r="D1198" s="1">
        <f>IFERROR(__xludf.DUMMYFUNCTION("""COMPUTED_VALUE"""),319.6)</f>
        <v>319.6</v>
      </c>
      <c r="E1198" s="1">
        <f>IFERROR(__xludf.DUMMYFUNCTION("""COMPUTED_VALUE"""),321.04)</f>
        <v>321.04</v>
      </c>
      <c r="F1198" s="1">
        <f>IFERROR(__xludf.DUMMYFUNCTION("""COMPUTED_VALUE"""),1.7690624E7)</f>
        <v>17690624</v>
      </c>
    </row>
    <row r="1199">
      <c r="A1199" s="2">
        <f>IFERROR(__xludf.DUMMYFUNCTION("""COMPUTED_VALUE"""),33128.666666666664)</f>
        <v>33128.66667</v>
      </c>
      <c r="B1199" s="1">
        <f>IFERROR(__xludf.DUMMYFUNCTION("""COMPUTED_VALUE"""),321.04)</f>
        <v>321.04</v>
      </c>
      <c r="C1199" s="1">
        <f>IFERROR(__xludf.DUMMYFUNCTION("""COMPUTED_VALUE"""),322.55)</f>
        <v>322.55</v>
      </c>
      <c r="D1199" s="1">
        <f>IFERROR(__xludf.DUMMYFUNCTION("""COMPUTED_VALUE"""),319.6)</f>
        <v>319.6</v>
      </c>
      <c r="E1199" s="1">
        <f>IFERROR(__xludf.DUMMYFUNCTION("""COMPUTED_VALUE"""),322.54)</f>
        <v>322.54</v>
      </c>
      <c r="F1199" s="1">
        <f>IFERROR(__xludf.DUMMYFUNCTION("""COMPUTED_VALUE"""),2.0295312E7)</f>
        <v>20295312</v>
      </c>
    </row>
    <row r="1200">
      <c r="A1200" s="2">
        <f>IFERROR(__xludf.DUMMYFUNCTION("""COMPUTED_VALUE"""),33129.666666666664)</f>
        <v>33129.66667</v>
      </c>
      <c r="B1200" s="1">
        <f>IFERROR(__xludf.DUMMYFUNCTION("""COMPUTED_VALUE"""),322.51)</f>
        <v>322.51</v>
      </c>
      <c r="C1200" s="1">
        <f>IFERROR(__xludf.DUMMYFUNCTION("""COMPUTED_VALUE"""),322.51)</f>
        <v>322.51</v>
      </c>
      <c r="D1200" s="1">
        <f>IFERROR(__xludf.DUMMYFUNCTION("""COMPUTED_VALUE"""),318.02)</f>
        <v>318.02</v>
      </c>
      <c r="E1200" s="1">
        <f>IFERROR(__xludf.DUMMYFUNCTION("""COMPUTED_VALUE"""),318.65)</f>
        <v>318.65</v>
      </c>
      <c r="F1200" s="1">
        <f>IFERROR(__xludf.DUMMYFUNCTION("""COMPUTED_VALUE"""),1.9279688E7)</f>
        <v>19279688</v>
      </c>
    </row>
    <row r="1201">
      <c r="A1201" s="2">
        <f>IFERROR(__xludf.DUMMYFUNCTION("""COMPUTED_VALUE"""),33130.666666666664)</f>
        <v>33130.66667</v>
      </c>
      <c r="B1201" s="1">
        <f>IFERROR(__xludf.DUMMYFUNCTION("""COMPUTED_VALUE"""),318.65)</f>
        <v>318.65</v>
      </c>
      <c r="C1201" s="1">
        <f>IFERROR(__xludf.DUMMYFUNCTION("""COMPUTED_VALUE"""),318.65)</f>
        <v>318.65</v>
      </c>
      <c r="D1201" s="1">
        <f>IFERROR(__xludf.DUMMYFUNCTION("""COMPUTED_VALUE"""),314.76)</f>
        <v>314.76</v>
      </c>
      <c r="E1201" s="1">
        <f>IFERROR(__xludf.DUMMYFUNCTION("""COMPUTED_VALUE"""),316.83)</f>
        <v>316.83</v>
      </c>
      <c r="F1201" s="1">
        <f>IFERROR(__xludf.DUMMYFUNCTION("""COMPUTED_VALUE"""),2.0842188E7)</f>
        <v>20842188</v>
      </c>
    </row>
    <row r="1202">
      <c r="A1202" s="2">
        <f>IFERROR(__xludf.DUMMYFUNCTION("""COMPUTED_VALUE"""),33133.666666666664)</f>
        <v>33133.66667</v>
      </c>
      <c r="B1202" s="1">
        <f>IFERROR(__xludf.DUMMYFUNCTION("""COMPUTED_VALUE"""),316.83)</f>
        <v>316.83</v>
      </c>
      <c r="C1202" s="1">
        <f>IFERROR(__xludf.DUMMYFUNCTION("""COMPUTED_VALUE"""),318.05)</f>
        <v>318.05</v>
      </c>
      <c r="D1202" s="1">
        <f>IFERROR(__xludf.DUMMYFUNCTION("""COMPUTED_VALUE"""),315.21)</f>
        <v>315.21</v>
      </c>
      <c r="E1202" s="1">
        <f>IFERROR(__xludf.DUMMYFUNCTION("""COMPUTED_VALUE"""),317.77)</f>
        <v>317.77</v>
      </c>
      <c r="F1202" s="1">
        <f>IFERROR(__xludf.DUMMYFUNCTION("""COMPUTED_VALUE"""),1.728125E7)</f>
        <v>17281250</v>
      </c>
    </row>
    <row r="1203">
      <c r="A1203" s="2">
        <f>IFERROR(__xludf.DUMMYFUNCTION("""COMPUTED_VALUE"""),33134.666666666664)</f>
        <v>33134.66667</v>
      </c>
      <c r="B1203" s="1">
        <f>IFERROR(__xludf.DUMMYFUNCTION("""COMPUTED_VALUE"""),317.77)</f>
        <v>317.77</v>
      </c>
      <c r="C1203" s="1">
        <f>IFERROR(__xludf.DUMMYFUNCTION("""COMPUTED_VALUE"""),318.85)</f>
        <v>318.85</v>
      </c>
      <c r="D1203" s="1">
        <f>IFERROR(__xludf.DUMMYFUNCTION("""COMPUTED_VALUE"""),314.27)</f>
        <v>314.27</v>
      </c>
      <c r="E1203" s="1">
        <f>IFERROR(__xludf.DUMMYFUNCTION("""COMPUTED_VALUE"""),318.6)</f>
        <v>318.6</v>
      </c>
      <c r="F1203" s="1">
        <f>IFERROR(__xludf.DUMMYFUNCTION("""COMPUTED_VALUE"""),2.2051562E7)</f>
        <v>22051562</v>
      </c>
    </row>
    <row r="1204">
      <c r="A1204" s="2">
        <f>IFERROR(__xludf.DUMMYFUNCTION("""COMPUTED_VALUE"""),33135.666666666664)</f>
        <v>33135.66667</v>
      </c>
      <c r="B1204" s="1">
        <f>IFERROR(__xludf.DUMMYFUNCTION("""COMPUTED_VALUE"""),318.6)</f>
        <v>318.6</v>
      </c>
      <c r="C1204" s="1">
        <f>IFERROR(__xludf.DUMMYFUNCTION("""COMPUTED_VALUE"""),319.35)</f>
        <v>319.35</v>
      </c>
      <c r="D1204" s="1">
        <f>IFERROR(__xludf.DUMMYFUNCTION("""COMPUTED_VALUE"""),316.25)</f>
        <v>316.25</v>
      </c>
      <c r="E1204" s="1">
        <f>IFERROR(__xludf.DUMMYFUNCTION("""COMPUTED_VALUE"""),316.6)</f>
        <v>316.6</v>
      </c>
      <c r="F1204" s="1">
        <f>IFERROR(__xludf.DUMMYFUNCTION("""COMPUTED_VALUE"""),2.3051562E7)</f>
        <v>23051562</v>
      </c>
    </row>
    <row r="1205">
      <c r="A1205" s="2">
        <f>IFERROR(__xludf.DUMMYFUNCTION("""COMPUTED_VALUE"""),33136.666666666664)</f>
        <v>33136.66667</v>
      </c>
      <c r="B1205" s="1">
        <f>IFERROR(__xludf.DUMMYFUNCTION("""COMPUTED_VALUE"""),316.6)</f>
        <v>316.6</v>
      </c>
      <c r="C1205" s="1">
        <f>IFERROR(__xludf.DUMMYFUNCTION("""COMPUTED_VALUE"""),316.6)</f>
        <v>316.6</v>
      </c>
      <c r="D1205" s="1">
        <f>IFERROR(__xludf.DUMMYFUNCTION("""COMPUTED_VALUE"""),310.55)</f>
        <v>310.55</v>
      </c>
      <c r="E1205" s="1">
        <f>IFERROR(__xludf.DUMMYFUNCTION("""COMPUTED_VALUE"""),311.48)</f>
        <v>311.48</v>
      </c>
      <c r="F1205" s="1">
        <f>IFERROR(__xludf.DUMMYFUNCTION("""COMPUTED_VALUE"""),2.2671876E7)</f>
        <v>22671876</v>
      </c>
    </row>
    <row r="1206">
      <c r="A1206" s="2">
        <f>IFERROR(__xludf.DUMMYFUNCTION("""COMPUTED_VALUE"""),33137.666666666664)</f>
        <v>33137.66667</v>
      </c>
      <c r="B1206" s="1">
        <f>IFERROR(__xludf.DUMMYFUNCTION("""COMPUTED_VALUE"""),311.53)</f>
        <v>311.53</v>
      </c>
      <c r="C1206" s="1">
        <f>IFERROR(__xludf.DUMMYFUNCTION("""COMPUTED_VALUE"""),312.17)</f>
        <v>312.17</v>
      </c>
      <c r="D1206" s="1">
        <f>IFERROR(__xludf.DUMMYFUNCTION("""COMPUTED_VALUE"""),307.98)</f>
        <v>307.98</v>
      </c>
      <c r="E1206" s="1">
        <f>IFERROR(__xludf.DUMMYFUNCTION("""COMPUTED_VALUE"""),311.32)</f>
        <v>311.32</v>
      </c>
      <c r="F1206" s="1">
        <f>IFERROR(__xludf.DUMMYFUNCTION("""COMPUTED_VALUE"""),3.1414062E7)</f>
        <v>31414062</v>
      </c>
    </row>
    <row r="1207">
      <c r="A1207" s="2">
        <f>IFERROR(__xludf.DUMMYFUNCTION("""COMPUTED_VALUE"""),33140.666666666664)</f>
        <v>33140.66667</v>
      </c>
      <c r="B1207" s="1">
        <f>IFERROR(__xludf.DUMMYFUNCTION("""COMPUTED_VALUE"""),311.3)</f>
        <v>311.3</v>
      </c>
      <c r="C1207" s="1">
        <f>IFERROR(__xludf.DUMMYFUNCTION("""COMPUTED_VALUE"""),311.3)</f>
        <v>311.3</v>
      </c>
      <c r="D1207" s="1">
        <f>IFERROR(__xludf.DUMMYFUNCTION("""COMPUTED_VALUE"""),303.58)</f>
        <v>303.58</v>
      </c>
      <c r="E1207" s="1">
        <f>IFERROR(__xludf.DUMMYFUNCTION("""COMPUTED_VALUE"""),304.59)</f>
        <v>304.59</v>
      </c>
      <c r="F1207" s="1">
        <f>IFERROR(__xludf.DUMMYFUNCTION("""COMPUTED_VALUE"""),2.5635938E7)</f>
        <v>25635938</v>
      </c>
    </row>
    <row r="1208">
      <c r="A1208" s="2">
        <f>IFERROR(__xludf.DUMMYFUNCTION("""COMPUTED_VALUE"""),33141.666666666664)</f>
        <v>33141.66667</v>
      </c>
      <c r="B1208" s="1">
        <f>IFERROR(__xludf.DUMMYFUNCTION("""COMPUTED_VALUE"""),305.46)</f>
        <v>305.46</v>
      </c>
      <c r="C1208" s="1">
        <f>IFERROR(__xludf.DUMMYFUNCTION("""COMPUTED_VALUE"""),308.27)</f>
        <v>308.27</v>
      </c>
      <c r="D1208" s="1">
        <f>IFERROR(__xludf.DUMMYFUNCTION("""COMPUTED_VALUE"""),304.23)</f>
        <v>304.23</v>
      </c>
      <c r="E1208" s="1">
        <f>IFERROR(__xludf.DUMMYFUNCTION("""COMPUTED_VALUE"""),308.26)</f>
        <v>308.26</v>
      </c>
      <c r="F1208" s="1">
        <f>IFERROR(__xludf.DUMMYFUNCTION("""COMPUTED_VALUE"""),2.4365624E7)</f>
        <v>24365624</v>
      </c>
    </row>
    <row r="1209">
      <c r="A1209" s="2">
        <f>IFERROR(__xludf.DUMMYFUNCTION("""COMPUTED_VALUE"""),33142.666666666664)</f>
        <v>33142.66667</v>
      </c>
      <c r="B1209" s="1">
        <f>IFERROR(__xludf.DUMMYFUNCTION("""COMPUTED_VALUE"""),308.26)</f>
        <v>308.26</v>
      </c>
      <c r="C1209" s="1">
        <f>IFERROR(__xludf.DUMMYFUNCTION("""COMPUTED_VALUE"""),308.28)</f>
        <v>308.28</v>
      </c>
      <c r="D1209" s="1">
        <f>IFERROR(__xludf.DUMMYFUNCTION("""COMPUTED_VALUE"""),303.05)</f>
        <v>303.05</v>
      </c>
      <c r="E1209" s="1">
        <f>IFERROR(__xludf.DUMMYFUNCTION("""COMPUTED_VALUE"""),305.06)</f>
        <v>305.06</v>
      </c>
      <c r="F1209" s="1">
        <f>IFERROR(__xludf.DUMMYFUNCTION("""COMPUTED_VALUE"""),2.4307812E7)</f>
        <v>24307812</v>
      </c>
    </row>
    <row r="1210">
      <c r="A1210" s="2">
        <f>IFERROR(__xludf.DUMMYFUNCTION("""COMPUTED_VALUE"""),33143.666666666664)</f>
        <v>33143.66667</v>
      </c>
      <c r="B1210" s="1">
        <f>IFERROR(__xludf.DUMMYFUNCTION("""COMPUTED_VALUE"""),305.06)</f>
        <v>305.06</v>
      </c>
      <c r="C1210" s="1">
        <f>IFERROR(__xludf.DUMMYFUNCTION("""COMPUTED_VALUE"""),307.47)</f>
        <v>307.47</v>
      </c>
      <c r="D1210" s="1">
        <f>IFERROR(__xludf.DUMMYFUNCTION("""COMPUTED_VALUE"""),299.1)</f>
        <v>299.1</v>
      </c>
      <c r="E1210" s="1">
        <f>IFERROR(__xludf.DUMMYFUNCTION("""COMPUTED_VALUE"""),300.97)</f>
        <v>300.97</v>
      </c>
      <c r="F1210" s="1">
        <f>IFERROR(__xludf.DUMMYFUNCTION("""COMPUTED_VALUE"""),2.8545312E7)</f>
        <v>28545312</v>
      </c>
    </row>
    <row r="1211">
      <c r="A1211" s="2">
        <f>IFERROR(__xludf.DUMMYFUNCTION("""COMPUTED_VALUE"""),33144.666666666664)</f>
        <v>33144.66667</v>
      </c>
      <c r="B1211" s="1">
        <f>IFERROR(__xludf.DUMMYFUNCTION("""COMPUTED_VALUE"""),300.97)</f>
        <v>300.97</v>
      </c>
      <c r="C1211" s="1">
        <f>IFERROR(__xludf.DUMMYFUNCTION("""COMPUTED_VALUE"""),306.05)</f>
        <v>306.05</v>
      </c>
      <c r="D1211" s="1">
        <f>IFERROR(__xludf.DUMMYFUNCTION("""COMPUTED_VALUE"""),295.98)</f>
        <v>295.98</v>
      </c>
      <c r="E1211" s="1">
        <f>IFERROR(__xludf.DUMMYFUNCTION("""COMPUTED_VALUE"""),306.05)</f>
        <v>306.05</v>
      </c>
      <c r="F1211" s="1">
        <f>IFERROR(__xludf.DUMMYFUNCTION("""COMPUTED_VALUE"""),3.1407812E7)</f>
        <v>31407812</v>
      </c>
    </row>
    <row r="1212">
      <c r="A1212" s="2">
        <f>IFERROR(__xludf.DUMMYFUNCTION("""COMPUTED_VALUE"""),33147.666666666664)</f>
        <v>33147.66667</v>
      </c>
      <c r="B1212" s="1">
        <f>IFERROR(__xludf.DUMMYFUNCTION("""COMPUTED_VALUE"""),306.1)</f>
        <v>306.1</v>
      </c>
      <c r="C1212" s="1">
        <f>IFERROR(__xludf.DUMMYFUNCTION("""COMPUTED_VALUE"""),314.94)</f>
        <v>314.94</v>
      </c>
      <c r="D1212" s="1">
        <f>IFERROR(__xludf.DUMMYFUNCTION("""COMPUTED_VALUE"""),306.1)</f>
        <v>306.1</v>
      </c>
      <c r="E1212" s="1">
        <f>IFERROR(__xludf.DUMMYFUNCTION("""COMPUTED_VALUE"""),314.94)</f>
        <v>314.94</v>
      </c>
      <c r="F1212" s="1">
        <f>IFERROR(__xludf.DUMMYFUNCTION("""COMPUTED_VALUE"""),3.1595312E7)</f>
        <v>31595312</v>
      </c>
    </row>
    <row r="1213">
      <c r="A1213" s="2">
        <f>IFERROR(__xludf.DUMMYFUNCTION("""COMPUTED_VALUE"""),33148.666666666664)</f>
        <v>33148.66667</v>
      </c>
      <c r="B1213" s="1">
        <f>IFERROR(__xludf.DUMMYFUNCTION("""COMPUTED_VALUE"""),314.94)</f>
        <v>314.94</v>
      </c>
      <c r="C1213" s="1">
        <f>IFERROR(__xludf.DUMMYFUNCTION("""COMPUTED_VALUE"""),319.69)</f>
        <v>319.69</v>
      </c>
      <c r="D1213" s="1">
        <f>IFERROR(__xludf.DUMMYFUNCTION("""COMPUTED_VALUE"""),314.94)</f>
        <v>314.94</v>
      </c>
      <c r="E1213" s="1">
        <f>IFERROR(__xludf.DUMMYFUNCTION("""COMPUTED_VALUE"""),315.21)</f>
        <v>315.21</v>
      </c>
      <c r="F1213" s="1">
        <f>IFERROR(__xludf.DUMMYFUNCTION("""COMPUTED_VALUE"""),2.943125E7)</f>
        <v>29431250</v>
      </c>
    </row>
    <row r="1214">
      <c r="A1214" s="2">
        <f>IFERROR(__xludf.DUMMYFUNCTION("""COMPUTED_VALUE"""),33149.666666666664)</f>
        <v>33149.66667</v>
      </c>
      <c r="B1214" s="1">
        <f>IFERROR(__xludf.DUMMYFUNCTION("""COMPUTED_VALUE"""),315.21)</f>
        <v>315.21</v>
      </c>
      <c r="C1214" s="1">
        <f>IFERROR(__xludf.DUMMYFUNCTION("""COMPUTED_VALUE"""),316.26)</f>
        <v>316.26</v>
      </c>
      <c r="D1214" s="1">
        <f>IFERROR(__xludf.DUMMYFUNCTION("""COMPUTED_VALUE"""),310.7)</f>
        <v>310.7</v>
      </c>
      <c r="E1214" s="1">
        <f>IFERROR(__xludf.DUMMYFUNCTION("""COMPUTED_VALUE"""),311.4)</f>
        <v>311.4</v>
      </c>
      <c r="F1214" s="1">
        <f>IFERROR(__xludf.DUMMYFUNCTION("""COMPUTED_VALUE"""),2.1170312E7)</f>
        <v>21170312</v>
      </c>
    </row>
    <row r="1215">
      <c r="A1215" s="2">
        <f>IFERROR(__xludf.DUMMYFUNCTION("""COMPUTED_VALUE"""),33150.666666666664)</f>
        <v>33150.66667</v>
      </c>
      <c r="B1215" s="1">
        <f>IFERROR(__xludf.DUMMYFUNCTION("""COMPUTED_VALUE"""),311.4)</f>
        <v>311.4</v>
      </c>
      <c r="C1215" s="1">
        <f>IFERROR(__xludf.DUMMYFUNCTION("""COMPUTED_VALUE"""),313.4)</f>
        <v>313.4</v>
      </c>
      <c r="D1215" s="1">
        <f>IFERROR(__xludf.DUMMYFUNCTION("""COMPUTED_VALUE"""),308.59)</f>
        <v>308.59</v>
      </c>
      <c r="E1215" s="1">
        <f>IFERROR(__xludf.DUMMYFUNCTION("""COMPUTED_VALUE"""),312.69)</f>
        <v>312.69</v>
      </c>
      <c r="F1215" s="1">
        <f>IFERROR(__xludf.DUMMYFUNCTION("""COMPUTED_VALUE"""),2.2720312E7)</f>
        <v>22720312</v>
      </c>
    </row>
    <row r="1216">
      <c r="A1216" s="2">
        <f>IFERROR(__xludf.DUMMYFUNCTION("""COMPUTED_VALUE"""),33151.666666666664)</f>
        <v>33151.66667</v>
      </c>
      <c r="B1216" s="1">
        <f>IFERROR(__xludf.DUMMYFUNCTION("""COMPUTED_VALUE"""),312.69)</f>
        <v>312.69</v>
      </c>
      <c r="C1216" s="1">
        <f>IFERROR(__xludf.DUMMYFUNCTION("""COMPUTED_VALUE"""),314.79)</f>
        <v>314.79</v>
      </c>
      <c r="D1216" s="1">
        <f>IFERROR(__xludf.DUMMYFUNCTION("""COMPUTED_VALUE"""),305.76)</f>
        <v>305.76</v>
      </c>
      <c r="E1216" s="1">
        <f>IFERROR(__xludf.DUMMYFUNCTION("""COMPUTED_VALUE"""),311.5)</f>
        <v>311.5</v>
      </c>
      <c r="F1216" s="1">
        <f>IFERROR(__xludf.DUMMYFUNCTION("""COMPUTED_VALUE"""),2.3965624E7)</f>
        <v>23965624</v>
      </c>
    </row>
    <row r="1217">
      <c r="A1217" s="2">
        <f>IFERROR(__xludf.DUMMYFUNCTION("""COMPUTED_VALUE"""),33154.666666666664)</f>
        <v>33154.66667</v>
      </c>
      <c r="B1217" s="1">
        <f>IFERROR(__xludf.DUMMYFUNCTION("""COMPUTED_VALUE"""),311.5)</f>
        <v>311.5</v>
      </c>
      <c r="C1217" s="1">
        <f>IFERROR(__xludf.DUMMYFUNCTION("""COMPUTED_VALUE"""),315.03)</f>
        <v>315.03</v>
      </c>
      <c r="D1217" s="1">
        <f>IFERROR(__xludf.DUMMYFUNCTION("""COMPUTED_VALUE"""),311.5)</f>
        <v>311.5</v>
      </c>
      <c r="E1217" s="1">
        <f>IFERROR(__xludf.DUMMYFUNCTION("""COMPUTED_VALUE"""),313.48)</f>
        <v>313.48</v>
      </c>
      <c r="F1217" s="1">
        <f>IFERROR(__xludf.DUMMYFUNCTION("""COMPUTED_VALUE"""),1.5542188E7)</f>
        <v>15542188</v>
      </c>
    </row>
    <row r="1218">
      <c r="A1218" s="2">
        <f>IFERROR(__xludf.DUMMYFUNCTION("""COMPUTED_VALUE"""),33155.666666666664)</f>
        <v>33155.66667</v>
      </c>
      <c r="B1218" s="1">
        <f>IFERROR(__xludf.DUMMYFUNCTION("""COMPUTED_VALUE"""),313.46)</f>
        <v>313.46</v>
      </c>
      <c r="C1218" s="1">
        <f>IFERROR(__xludf.DUMMYFUNCTION("""COMPUTED_VALUE"""),313.46)</f>
        <v>313.46</v>
      </c>
      <c r="D1218" s="1">
        <f>IFERROR(__xludf.DUMMYFUNCTION("""COMPUTED_VALUE"""),305.09)</f>
        <v>305.09</v>
      </c>
      <c r="E1218" s="1">
        <f>IFERROR(__xludf.DUMMYFUNCTION("""COMPUTED_VALUE"""),305.1)</f>
        <v>305.1</v>
      </c>
      <c r="F1218" s="1">
        <f>IFERROR(__xludf.DUMMYFUNCTION("""COMPUTED_VALUE"""),2.2751562E7)</f>
        <v>22751562</v>
      </c>
    </row>
    <row r="1219">
      <c r="A1219" s="2">
        <f>IFERROR(__xludf.DUMMYFUNCTION("""COMPUTED_VALUE"""),33156.666666666664)</f>
        <v>33156.66667</v>
      </c>
      <c r="B1219" s="1">
        <f>IFERROR(__xludf.DUMMYFUNCTION("""COMPUTED_VALUE"""),305.09)</f>
        <v>305.09</v>
      </c>
      <c r="C1219" s="1">
        <f>IFERROR(__xludf.DUMMYFUNCTION("""COMPUTED_VALUE"""),306.43)</f>
        <v>306.43</v>
      </c>
      <c r="D1219" s="1">
        <f>IFERROR(__xludf.DUMMYFUNCTION("""COMPUTED_VALUE"""),299.21)</f>
        <v>299.21</v>
      </c>
      <c r="E1219" s="1">
        <f>IFERROR(__xludf.DUMMYFUNCTION("""COMPUTED_VALUE"""),300.39)</f>
        <v>300.39</v>
      </c>
      <c r="F1219" s="1">
        <f>IFERROR(__xludf.DUMMYFUNCTION("""COMPUTED_VALUE"""),2.6435938E7)</f>
        <v>26435938</v>
      </c>
    </row>
    <row r="1220">
      <c r="A1220" s="2">
        <f>IFERROR(__xludf.DUMMYFUNCTION("""COMPUTED_VALUE"""),33157.666666666664)</f>
        <v>33157.66667</v>
      </c>
      <c r="B1220" s="1">
        <f>IFERROR(__xludf.DUMMYFUNCTION("""COMPUTED_VALUE"""),300.39)</f>
        <v>300.39</v>
      </c>
      <c r="C1220" s="1">
        <f>IFERROR(__xludf.DUMMYFUNCTION("""COMPUTED_VALUE"""),301.45)</f>
        <v>301.45</v>
      </c>
      <c r="D1220" s="1">
        <f>IFERROR(__xludf.DUMMYFUNCTION("""COMPUTED_VALUE"""),294.51)</f>
        <v>294.51</v>
      </c>
      <c r="E1220" s="1">
        <f>IFERROR(__xludf.DUMMYFUNCTION("""COMPUTED_VALUE"""),295.46)</f>
        <v>295.46</v>
      </c>
      <c r="F1220" s="1">
        <f>IFERROR(__xludf.DUMMYFUNCTION("""COMPUTED_VALUE"""),2.8134376E7)</f>
        <v>28134376</v>
      </c>
    </row>
    <row r="1221">
      <c r="A1221" s="2">
        <f>IFERROR(__xludf.DUMMYFUNCTION("""COMPUTED_VALUE"""),33158.666666666664)</f>
        <v>33158.66667</v>
      </c>
      <c r="B1221" s="1">
        <f>IFERROR(__xludf.DUMMYFUNCTION("""COMPUTED_VALUE"""),295.45)</f>
        <v>295.45</v>
      </c>
      <c r="C1221" s="1">
        <f>IFERROR(__xludf.DUMMYFUNCTION("""COMPUTED_VALUE"""),301.68)</f>
        <v>301.68</v>
      </c>
      <c r="D1221" s="1">
        <f>IFERROR(__xludf.DUMMYFUNCTION("""COMPUTED_VALUE"""),295.22)</f>
        <v>295.22</v>
      </c>
      <c r="E1221" s="1">
        <f>IFERROR(__xludf.DUMMYFUNCTION("""COMPUTED_VALUE"""),300.03)</f>
        <v>300.03</v>
      </c>
      <c r="F1221" s="1">
        <f>IFERROR(__xludf.DUMMYFUNCTION("""COMPUTED_VALUE"""),2.9365624E7)</f>
        <v>29365624</v>
      </c>
    </row>
    <row r="1222">
      <c r="A1222" s="2">
        <f>IFERROR(__xludf.DUMMYFUNCTION("""COMPUTED_VALUE"""),33161.666666666664)</f>
        <v>33161.66667</v>
      </c>
      <c r="B1222" s="1">
        <f>IFERROR(__xludf.DUMMYFUNCTION("""COMPUTED_VALUE"""),300.03)</f>
        <v>300.03</v>
      </c>
      <c r="C1222" s="1">
        <f>IFERROR(__xludf.DUMMYFUNCTION("""COMPUTED_VALUE"""),304.79)</f>
        <v>304.79</v>
      </c>
      <c r="D1222" s="1">
        <f>IFERROR(__xludf.DUMMYFUNCTION("""COMPUTED_VALUE"""),296.41)</f>
        <v>296.41</v>
      </c>
      <c r="E1222" s="1">
        <f>IFERROR(__xludf.DUMMYFUNCTION("""COMPUTED_VALUE"""),303.23)</f>
        <v>303.23</v>
      </c>
      <c r="F1222" s="1">
        <f>IFERROR(__xludf.DUMMYFUNCTION("""COMPUTED_VALUE"""),2.5778124E7)</f>
        <v>25778124</v>
      </c>
    </row>
    <row r="1223">
      <c r="A1223" s="2">
        <f>IFERROR(__xludf.DUMMYFUNCTION("""COMPUTED_VALUE"""),33162.666666666664)</f>
        <v>33162.66667</v>
      </c>
      <c r="B1223" s="1">
        <f>IFERROR(__xludf.DUMMYFUNCTION("""COMPUTED_VALUE"""),303.23)</f>
        <v>303.23</v>
      </c>
      <c r="C1223" s="1">
        <f>IFERROR(__xludf.DUMMYFUNCTION("""COMPUTED_VALUE"""),304.34)</f>
        <v>304.34</v>
      </c>
      <c r="D1223" s="1">
        <f>IFERROR(__xludf.DUMMYFUNCTION("""COMPUTED_VALUE"""),298.12)</f>
        <v>298.12</v>
      </c>
      <c r="E1223" s="1">
        <f>IFERROR(__xludf.DUMMYFUNCTION("""COMPUTED_VALUE"""),298.92)</f>
        <v>298.92</v>
      </c>
      <c r="F1223" s="1">
        <f>IFERROR(__xludf.DUMMYFUNCTION("""COMPUTED_VALUE"""),2.3370312E7)</f>
        <v>23370312</v>
      </c>
    </row>
    <row r="1224">
      <c r="A1224" s="2">
        <f>IFERROR(__xludf.DUMMYFUNCTION("""COMPUTED_VALUE"""),33163.666666666664)</f>
        <v>33163.66667</v>
      </c>
      <c r="B1224" s="1">
        <f>IFERROR(__xludf.DUMMYFUNCTION("""COMPUTED_VALUE"""),298.92)</f>
        <v>298.92</v>
      </c>
      <c r="C1224" s="1">
        <f>IFERROR(__xludf.DUMMYFUNCTION("""COMPUTED_VALUE"""),301.5)</f>
        <v>301.5</v>
      </c>
      <c r="D1224" s="1">
        <f>IFERROR(__xludf.DUMMYFUNCTION("""COMPUTED_VALUE"""),297.79)</f>
        <v>297.79</v>
      </c>
      <c r="E1224" s="1">
        <f>IFERROR(__xludf.DUMMYFUNCTION("""COMPUTED_VALUE"""),298.76)</f>
        <v>298.76</v>
      </c>
      <c r="F1224" s="1">
        <f>IFERROR(__xludf.DUMMYFUNCTION("""COMPUTED_VALUE"""),2.5196876E7)</f>
        <v>25196876</v>
      </c>
    </row>
    <row r="1225">
      <c r="A1225" s="2">
        <f>IFERROR(__xludf.DUMMYFUNCTION("""COMPUTED_VALUE"""),33164.666666666664)</f>
        <v>33164.66667</v>
      </c>
      <c r="B1225" s="1">
        <f>IFERROR(__xludf.DUMMYFUNCTION("""COMPUTED_VALUE"""),298.75)</f>
        <v>298.75</v>
      </c>
      <c r="C1225" s="1">
        <f>IFERROR(__xludf.DUMMYFUNCTION("""COMPUTED_VALUE"""),305.74)</f>
        <v>305.74</v>
      </c>
      <c r="D1225" s="1">
        <f>IFERROR(__xludf.DUMMYFUNCTION("""COMPUTED_VALUE"""),298.75)</f>
        <v>298.75</v>
      </c>
      <c r="E1225" s="1">
        <f>IFERROR(__xludf.DUMMYFUNCTION("""COMPUTED_VALUE"""),305.74)</f>
        <v>305.74</v>
      </c>
      <c r="F1225" s="1">
        <f>IFERROR(__xludf.DUMMYFUNCTION("""COMPUTED_VALUE"""),3.1892188E7)</f>
        <v>31892188</v>
      </c>
    </row>
    <row r="1226">
      <c r="A1226" s="2">
        <f>IFERROR(__xludf.DUMMYFUNCTION("""COMPUTED_VALUE"""),33165.666666666664)</f>
        <v>33165.66667</v>
      </c>
      <c r="B1226" s="1">
        <f>IFERROR(__xludf.DUMMYFUNCTION("""COMPUTED_VALUE"""),305.74)</f>
        <v>305.74</v>
      </c>
      <c r="C1226" s="1">
        <f>IFERROR(__xludf.DUMMYFUNCTION("""COMPUTED_VALUE"""),312.48)</f>
        <v>312.48</v>
      </c>
      <c r="D1226" s="1">
        <f>IFERROR(__xludf.DUMMYFUNCTION("""COMPUTED_VALUE"""),305.74)</f>
        <v>305.74</v>
      </c>
      <c r="E1226" s="1">
        <f>IFERROR(__xludf.DUMMYFUNCTION("""COMPUTED_VALUE"""),312.48)</f>
        <v>312.48</v>
      </c>
      <c r="F1226" s="1">
        <f>IFERROR(__xludf.DUMMYFUNCTION("""COMPUTED_VALUE"""),3.4606248E7)</f>
        <v>34606248</v>
      </c>
    </row>
    <row r="1227">
      <c r="A1227" s="2">
        <f>IFERROR(__xludf.DUMMYFUNCTION("""COMPUTED_VALUE"""),33168.666666666664)</f>
        <v>33168.66667</v>
      </c>
      <c r="B1227" s="1">
        <f>IFERROR(__xludf.DUMMYFUNCTION("""COMPUTED_VALUE"""),312.48)</f>
        <v>312.48</v>
      </c>
      <c r="C1227" s="1">
        <f>IFERROR(__xludf.DUMMYFUNCTION("""COMPUTED_VALUE"""),315.83)</f>
        <v>315.83</v>
      </c>
      <c r="D1227" s="1">
        <f>IFERROR(__xludf.DUMMYFUNCTION("""COMPUTED_VALUE"""),310.47)</f>
        <v>310.47</v>
      </c>
      <c r="E1227" s="1">
        <f>IFERROR(__xludf.DUMMYFUNCTION("""COMPUTED_VALUE"""),314.76)</f>
        <v>314.76</v>
      </c>
      <c r="F1227" s="1">
        <f>IFERROR(__xludf.DUMMYFUNCTION("""COMPUTED_VALUE"""),2.3851562E7)</f>
        <v>23851562</v>
      </c>
    </row>
    <row r="1228">
      <c r="A1228" s="2">
        <f>IFERROR(__xludf.DUMMYFUNCTION("""COMPUTED_VALUE"""),33169.666666666664)</f>
        <v>33169.66667</v>
      </c>
      <c r="B1228" s="1">
        <f>IFERROR(__xludf.DUMMYFUNCTION("""COMPUTED_VALUE"""),314.76)</f>
        <v>314.76</v>
      </c>
      <c r="C1228" s="1">
        <f>IFERROR(__xludf.DUMMYFUNCTION("""COMPUTED_VALUE"""),315.06)</f>
        <v>315.06</v>
      </c>
      <c r="D1228" s="1">
        <f>IFERROR(__xludf.DUMMYFUNCTION("""COMPUTED_VALUE"""),312.06)</f>
        <v>312.06</v>
      </c>
      <c r="E1228" s="1">
        <f>IFERROR(__xludf.DUMMYFUNCTION("""COMPUTED_VALUE"""),312.36)</f>
        <v>312.36</v>
      </c>
      <c r="F1228" s="1">
        <f>IFERROR(__xludf.DUMMYFUNCTION("""COMPUTED_VALUE"""),2.2859376E7)</f>
        <v>22859376</v>
      </c>
    </row>
    <row r="1229">
      <c r="A1229" s="2">
        <f>IFERROR(__xludf.DUMMYFUNCTION("""COMPUTED_VALUE"""),33170.666666666664)</f>
        <v>33170.66667</v>
      </c>
      <c r="B1229" s="1">
        <f>IFERROR(__xludf.DUMMYFUNCTION("""COMPUTED_VALUE"""),312.36)</f>
        <v>312.36</v>
      </c>
      <c r="C1229" s="1">
        <f>IFERROR(__xludf.DUMMYFUNCTION("""COMPUTED_VALUE"""),313.51)</f>
        <v>313.51</v>
      </c>
      <c r="D1229" s="1">
        <f>IFERROR(__xludf.DUMMYFUNCTION("""COMPUTED_VALUE"""),310.74)</f>
        <v>310.74</v>
      </c>
      <c r="E1229" s="1">
        <f>IFERROR(__xludf.DUMMYFUNCTION("""COMPUTED_VALUE"""),312.6)</f>
        <v>312.6</v>
      </c>
      <c r="F1229" s="1">
        <f>IFERROR(__xludf.DUMMYFUNCTION("""COMPUTED_VALUE"""),2.3326562E7)</f>
        <v>23326562</v>
      </c>
    </row>
    <row r="1230">
      <c r="A1230" s="2">
        <f>IFERROR(__xludf.DUMMYFUNCTION("""COMPUTED_VALUE"""),33171.666666666664)</f>
        <v>33171.66667</v>
      </c>
      <c r="B1230" s="1">
        <f>IFERROR(__xludf.DUMMYFUNCTION("""COMPUTED_VALUE"""),312.6)</f>
        <v>312.6</v>
      </c>
      <c r="C1230" s="1">
        <f>IFERROR(__xludf.DUMMYFUNCTION("""COMPUTED_VALUE"""),313.71)</f>
        <v>313.71</v>
      </c>
      <c r="D1230" s="1">
        <f>IFERROR(__xludf.DUMMYFUNCTION("""COMPUTED_VALUE"""),309.7)</f>
        <v>309.7</v>
      </c>
      <c r="E1230" s="1">
        <f>IFERROR(__xludf.DUMMYFUNCTION("""COMPUTED_VALUE"""),310.17)</f>
        <v>310.17</v>
      </c>
      <c r="F1230" s="1">
        <f>IFERROR(__xludf.DUMMYFUNCTION("""COMPUTED_VALUE"""),2.2103124E7)</f>
        <v>22103124</v>
      </c>
    </row>
    <row r="1231">
      <c r="A1231" s="2">
        <f>IFERROR(__xludf.DUMMYFUNCTION("""COMPUTED_VALUE"""),33172.666666666664)</f>
        <v>33172.66667</v>
      </c>
      <c r="B1231" s="1">
        <f>IFERROR(__xludf.DUMMYFUNCTION("""COMPUTED_VALUE"""),310.17)</f>
        <v>310.17</v>
      </c>
      <c r="C1231" s="1">
        <f>IFERROR(__xludf.DUMMYFUNCTION("""COMPUTED_VALUE"""),310.17)</f>
        <v>310.17</v>
      </c>
      <c r="D1231" s="1">
        <f>IFERROR(__xludf.DUMMYFUNCTION("""COMPUTED_VALUE"""),304.71)</f>
        <v>304.71</v>
      </c>
      <c r="E1231" s="1">
        <f>IFERROR(__xludf.DUMMYFUNCTION("""COMPUTED_VALUE"""),304.71)</f>
        <v>304.71</v>
      </c>
      <c r="F1231" s="1">
        <f>IFERROR(__xludf.DUMMYFUNCTION("""COMPUTED_VALUE"""),2.0342188E7)</f>
        <v>20342188</v>
      </c>
    </row>
    <row r="1232">
      <c r="A1232" s="2">
        <f>IFERROR(__xludf.DUMMYFUNCTION("""COMPUTED_VALUE"""),33175.666666666664)</f>
        <v>33175.66667</v>
      </c>
      <c r="B1232" s="1">
        <f>IFERROR(__xludf.DUMMYFUNCTION("""COMPUTED_VALUE"""),304.74)</f>
        <v>304.74</v>
      </c>
      <c r="C1232" s="1">
        <f>IFERROR(__xludf.DUMMYFUNCTION("""COMPUTED_VALUE"""),307.41)</f>
        <v>307.41</v>
      </c>
      <c r="D1232" s="1">
        <f>IFERROR(__xludf.DUMMYFUNCTION("""COMPUTED_VALUE"""),300.69)</f>
        <v>300.69</v>
      </c>
      <c r="E1232" s="1">
        <f>IFERROR(__xludf.DUMMYFUNCTION("""COMPUTED_VALUE"""),301.88)</f>
        <v>301.88</v>
      </c>
      <c r="F1232" s="1">
        <f>IFERROR(__xludf.DUMMYFUNCTION("""COMPUTED_VALUE"""),2.0934376E7)</f>
        <v>20934376</v>
      </c>
    </row>
    <row r="1233">
      <c r="A1233" s="2">
        <f>IFERROR(__xludf.DUMMYFUNCTION("""COMPUTED_VALUE"""),33176.666666666664)</f>
        <v>33176.66667</v>
      </c>
      <c r="B1233" s="1">
        <f>IFERROR(__xludf.DUMMYFUNCTION("""COMPUTED_VALUE"""),301.88)</f>
        <v>301.88</v>
      </c>
      <c r="C1233" s="1">
        <f>IFERROR(__xludf.DUMMYFUNCTION("""COMPUTED_VALUE"""),304.36)</f>
        <v>304.36</v>
      </c>
      <c r="D1233" s="1">
        <f>IFERROR(__xludf.DUMMYFUNCTION("""COMPUTED_VALUE"""),299.44)</f>
        <v>299.44</v>
      </c>
      <c r="E1233" s="1">
        <f>IFERROR(__xludf.DUMMYFUNCTION("""COMPUTED_VALUE"""),304.06)</f>
        <v>304.06</v>
      </c>
      <c r="F1233" s="1">
        <f>IFERROR(__xludf.DUMMYFUNCTION("""COMPUTED_VALUE"""),2.3976562E7)</f>
        <v>23976562</v>
      </c>
    </row>
    <row r="1234">
      <c r="A1234" s="2">
        <f>IFERROR(__xludf.DUMMYFUNCTION("""COMPUTED_VALUE"""),33177.666666666664)</f>
        <v>33177.66667</v>
      </c>
      <c r="B1234" s="1">
        <f>IFERROR(__xludf.DUMMYFUNCTION("""COMPUTED_VALUE"""),304.06)</f>
        <v>304.06</v>
      </c>
      <c r="C1234" s="1">
        <f>IFERROR(__xludf.DUMMYFUNCTION("""COMPUTED_VALUE"""),305.7)</f>
        <v>305.7</v>
      </c>
      <c r="D1234" s="1">
        <f>IFERROR(__xludf.DUMMYFUNCTION("""COMPUTED_VALUE"""),302.33)</f>
        <v>302.33</v>
      </c>
      <c r="E1234" s="1">
        <f>IFERROR(__xludf.DUMMYFUNCTION("""COMPUTED_VALUE"""),304.0)</f>
        <v>304</v>
      </c>
      <c r="F1234" s="1">
        <f>IFERROR(__xludf.DUMMYFUNCTION("""COMPUTED_VALUE"""),2.4384376E7)</f>
        <v>24384376</v>
      </c>
    </row>
    <row r="1235">
      <c r="A1235" s="2">
        <f>IFERROR(__xludf.DUMMYFUNCTION("""COMPUTED_VALUE"""),33178.666666666664)</f>
        <v>33178.66667</v>
      </c>
      <c r="B1235" s="1">
        <f>IFERROR(__xludf.DUMMYFUNCTION("""COMPUTED_VALUE"""),303.99)</f>
        <v>303.99</v>
      </c>
      <c r="C1235" s="1">
        <f>IFERROR(__xludf.DUMMYFUNCTION("""COMPUTED_VALUE"""),307.27)</f>
        <v>307.27</v>
      </c>
      <c r="D1235" s="1">
        <f>IFERROR(__xludf.DUMMYFUNCTION("""COMPUTED_VALUE"""),301.61)</f>
        <v>301.61</v>
      </c>
      <c r="E1235" s="1">
        <f>IFERROR(__xludf.DUMMYFUNCTION("""COMPUTED_VALUE"""),307.02)</f>
        <v>307.02</v>
      </c>
      <c r="F1235" s="1">
        <f>IFERROR(__xludf.DUMMYFUNCTION("""COMPUTED_VALUE"""),2.4885938E7)</f>
        <v>24885938</v>
      </c>
    </row>
    <row r="1236">
      <c r="A1236" s="2">
        <f>IFERROR(__xludf.DUMMYFUNCTION("""COMPUTED_VALUE"""),33179.666666666664)</f>
        <v>33179.66667</v>
      </c>
      <c r="B1236" s="1">
        <f>IFERROR(__xludf.DUMMYFUNCTION("""COMPUTED_VALUE"""),307.02)</f>
        <v>307.02</v>
      </c>
      <c r="C1236" s="1">
        <f>IFERROR(__xludf.DUMMYFUNCTION("""COMPUTED_VALUE"""),311.94)</f>
        <v>311.94</v>
      </c>
      <c r="D1236" s="1">
        <f>IFERROR(__xludf.DUMMYFUNCTION("""COMPUTED_VALUE"""),306.88)</f>
        <v>306.88</v>
      </c>
      <c r="E1236" s="1">
        <f>IFERROR(__xludf.DUMMYFUNCTION("""COMPUTED_VALUE"""),311.85)</f>
        <v>311.85</v>
      </c>
      <c r="F1236" s="1">
        <f>IFERROR(__xludf.DUMMYFUNCTION("""COMPUTED_VALUE"""),2.6359376E7)</f>
        <v>26359376</v>
      </c>
    </row>
    <row r="1237">
      <c r="A1237" s="2">
        <f>IFERROR(__xludf.DUMMYFUNCTION("""COMPUTED_VALUE"""),33182.666666666664)</f>
        <v>33182.66667</v>
      </c>
      <c r="B1237" s="1">
        <f>IFERROR(__xludf.DUMMYFUNCTION("""COMPUTED_VALUE"""),311.85)</f>
        <v>311.85</v>
      </c>
      <c r="C1237" s="1">
        <f>IFERROR(__xludf.DUMMYFUNCTION("""COMPUTED_VALUE"""),314.61)</f>
        <v>314.61</v>
      </c>
      <c r="D1237" s="1">
        <f>IFERROR(__xludf.DUMMYFUNCTION("""COMPUTED_VALUE"""),311.41)</f>
        <v>311.41</v>
      </c>
      <c r="E1237" s="1">
        <f>IFERROR(__xludf.DUMMYFUNCTION("""COMPUTED_VALUE"""),314.59)</f>
        <v>314.59</v>
      </c>
      <c r="F1237" s="1">
        <f>IFERROR(__xludf.DUMMYFUNCTION("""COMPUTED_VALUE"""),2.3048438E7)</f>
        <v>23048438</v>
      </c>
    </row>
    <row r="1238">
      <c r="A1238" s="2">
        <f>IFERROR(__xludf.DUMMYFUNCTION("""COMPUTED_VALUE"""),33183.666666666664)</f>
        <v>33183.66667</v>
      </c>
      <c r="B1238" s="1">
        <f>IFERROR(__xludf.DUMMYFUNCTION("""COMPUTED_VALUE"""),314.59)</f>
        <v>314.59</v>
      </c>
      <c r="C1238" s="1">
        <f>IFERROR(__xludf.DUMMYFUNCTION("""COMPUTED_VALUE"""),314.76)</f>
        <v>314.76</v>
      </c>
      <c r="D1238" s="1">
        <f>IFERROR(__xludf.DUMMYFUNCTION("""COMPUTED_VALUE"""),311.43)</f>
        <v>311.43</v>
      </c>
      <c r="E1238" s="1">
        <f>IFERROR(__xludf.DUMMYFUNCTION("""COMPUTED_VALUE"""),311.62)</f>
        <v>311.62</v>
      </c>
      <c r="F1238" s="1">
        <f>IFERROR(__xludf.DUMMYFUNCTION("""COMPUTED_VALUE"""),2.2290624E7)</f>
        <v>22290624</v>
      </c>
    </row>
    <row r="1239">
      <c r="A1239" s="2">
        <f>IFERROR(__xludf.DUMMYFUNCTION("""COMPUTED_VALUE"""),33184.666666666664)</f>
        <v>33184.66667</v>
      </c>
      <c r="B1239" s="1">
        <f>IFERROR(__xludf.DUMMYFUNCTION("""COMPUTED_VALUE"""),311.62)</f>
        <v>311.62</v>
      </c>
      <c r="C1239" s="1">
        <f>IFERROR(__xludf.DUMMYFUNCTION("""COMPUTED_VALUE"""),311.62)</f>
        <v>311.62</v>
      </c>
      <c r="D1239" s="1">
        <f>IFERROR(__xludf.DUMMYFUNCTION("""COMPUTED_VALUE"""),305.79)</f>
        <v>305.79</v>
      </c>
      <c r="E1239" s="1">
        <f>IFERROR(__xludf.DUMMYFUNCTION("""COMPUTED_VALUE"""),306.01)</f>
        <v>306.01</v>
      </c>
      <c r="F1239" s="1">
        <f>IFERROR(__xludf.DUMMYFUNCTION("""COMPUTED_VALUE"""),2.3301562E7)</f>
        <v>23301562</v>
      </c>
    </row>
    <row r="1240">
      <c r="A1240" s="2">
        <f>IFERROR(__xludf.DUMMYFUNCTION("""COMPUTED_VALUE"""),33185.666666666664)</f>
        <v>33185.66667</v>
      </c>
      <c r="B1240" s="1">
        <f>IFERROR(__xludf.DUMMYFUNCTION("""COMPUTED_VALUE"""),306.01)</f>
        <v>306.01</v>
      </c>
      <c r="C1240" s="1">
        <f>IFERROR(__xludf.DUMMYFUNCTION("""COMPUTED_VALUE"""),309.77)</f>
        <v>309.77</v>
      </c>
      <c r="D1240" s="1">
        <f>IFERROR(__xludf.DUMMYFUNCTION("""COMPUTED_VALUE"""),305.03)</f>
        <v>305.03</v>
      </c>
      <c r="E1240" s="1">
        <f>IFERROR(__xludf.DUMMYFUNCTION("""COMPUTED_VALUE"""),307.61)</f>
        <v>307.61</v>
      </c>
      <c r="F1240" s="1">
        <f>IFERROR(__xludf.DUMMYFUNCTION("""COMPUTED_VALUE"""),2.4307812E7)</f>
        <v>24307812</v>
      </c>
    </row>
    <row r="1241">
      <c r="A1241" s="2">
        <f>IFERROR(__xludf.DUMMYFUNCTION("""COMPUTED_VALUE"""),33186.666666666664)</f>
        <v>33186.66667</v>
      </c>
      <c r="B1241" s="1">
        <f>IFERROR(__xludf.DUMMYFUNCTION("""COMPUTED_VALUE"""),307.61)</f>
        <v>307.61</v>
      </c>
      <c r="C1241" s="1">
        <f>IFERROR(__xludf.DUMMYFUNCTION("""COMPUTED_VALUE"""),313.78)</f>
        <v>313.78</v>
      </c>
      <c r="D1241" s="1">
        <f>IFERROR(__xludf.DUMMYFUNCTION("""COMPUTED_VALUE"""),307.61)</f>
        <v>307.61</v>
      </c>
      <c r="E1241" s="1">
        <f>IFERROR(__xludf.DUMMYFUNCTION("""COMPUTED_VALUE"""),313.74)</f>
        <v>313.74</v>
      </c>
      <c r="F1241" s="1">
        <f>IFERROR(__xludf.DUMMYFUNCTION("""COMPUTED_VALUE"""),2.268125E7)</f>
        <v>22681250</v>
      </c>
    </row>
    <row r="1242">
      <c r="A1242" s="2">
        <f>IFERROR(__xludf.DUMMYFUNCTION("""COMPUTED_VALUE"""),33189.666666666664)</f>
        <v>33189.66667</v>
      </c>
      <c r="B1242" s="1">
        <f>IFERROR(__xludf.DUMMYFUNCTION("""COMPUTED_VALUE"""),313.74)</f>
        <v>313.74</v>
      </c>
      <c r="C1242" s="1">
        <f>IFERROR(__xludf.DUMMYFUNCTION("""COMPUTED_VALUE"""),319.77)</f>
        <v>319.77</v>
      </c>
      <c r="D1242" s="1">
        <f>IFERROR(__xludf.DUMMYFUNCTION("""COMPUTED_VALUE"""),313.73)</f>
        <v>313.73</v>
      </c>
      <c r="E1242" s="1">
        <f>IFERROR(__xludf.DUMMYFUNCTION("""COMPUTED_VALUE"""),319.48)</f>
        <v>319.48</v>
      </c>
      <c r="F1242" s="1">
        <f>IFERROR(__xludf.DUMMYFUNCTION("""COMPUTED_VALUE"""),2.5217188E7)</f>
        <v>25217188</v>
      </c>
    </row>
    <row r="1243">
      <c r="A1243" s="2">
        <f>IFERROR(__xludf.DUMMYFUNCTION("""COMPUTED_VALUE"""),33190.666666666664)</f>
        <v>33190.66667</v>
      </c>
      <c r="B1243" s="1">
        <f>IFERROR(__xludf.DUMMYFUNCTION("""COMPUTED_VALUE"""),319.48)</f>
        <v>319.48</v>
      </c>
      <c r="C1243" s="1">
        <f>IFERROR(__xludf.DUMMYFUNCTION("""COMPUTED_VALUE"""),319.48)</f>
        <v>319.48</v>
      </c>
      <c r="D1243" s="1">
        <f>IFERROR(__xludf.DUMMYFUNCTION("""COMPUTED_VALUE"""),317.26)</f>
        <v>317.26</v>
      </c>
      <c r="E1243" s="1">
        <f>IFERROR(__xludf.DUMMYFUNCTION("""COMPUTED_VALUE"""),317.67)</f>
        <v>317.67</v>
      </c>
      <c r="F1243" s="1">
        <f>IFERROR(__xludf.DUMMYFUNCTION("""COMPUTED_VALUE"""),2.50375E7)</f>
        <v>25037500</v>
      </c>
    </row>
    <row r="1244">
      <c r="A1244" s="2">
        <f>IFERROR(__xludf.DUMMYFUNCTION("""COMPUTED_VALUE"""),33191.666666666664)</f>
        <v>33191.66667</v>
      </c>
      <c r="B1244" s="1">
        <f>IFERROR(__xludf.DUMMYFUNCTION("""COMPUTED_VALUE"""),317.66)</f>
        <v>317.66</v>
      </c>
      <c r="C1244" s="1">
        <f>IFERROR(__xludf.DUMMYFUNCTION("""COMPUTED_VALUE"""),321.7)</f>
        <v>321.7</v>
      </c>
      <c r="D1244" s="1">
        <f>IFERROR(__xludf.DUMMYFUNCTION("""COMPUTED_VALUE"""),317.23)</f>
        <v>317.23</v>
      </c>
      <c r="E1244" s="1">
        <f>IFERROR(__xludf.DUMMYFUNCTION("""COMPUTED_VALUE"""),320.4)</f>
        <v>320.4</v>
      </c>
      <c r="F1244" s="1">
        <f>IFERROR(__xludf.DUMMYFUNCTION("""COMPUTED_VALUE"""),2.8017188E7)</f>
        <v>28017188</v>
      </c>
    </row>
    <row r="1245">
      <c r="A1245" s="2">
        <f>IFERROR(__xludf.DUMMYFUNCTION("""COMPUTED_VALUE"""),33192.666666666664)</f>
        <v>33192.66667</v>
      </c>
      <c r="B1245" s="1">
        <f>IFERROR(__xludf.DUMMYFUNCTION("""COMPUTED_VALUE"""),320.4)</f>
        <v>320.4</v>
      </c>
      <c r="C1245" s="1">
        <f>IFERROR(__xludf.DUMMYFUNCTION("""COMPUTED_VALUE"""),320.4)</f>
        <v>320.4</v>
      </c>
      <c r="D1245" s="1">
        <f>IFERROR(__xludf.DUMMYFUNCTION("""COMPUTED_VALUE"""),316.13)</f>
        <v>316.13</v>
      </c>
      <c r="E1245" s="1">
        <f>IFERROR(__xludf.DUMMYFUNCTION("""COMPUTED_VALUE"""),317.02)</f>
        <v>317.02</v>
      </c>
      <c r="F1245" s="1">
        <f>IFERROR(__xludf.DUMMYFUNCTION("""COMPUTED_VALUE"""),2.3651562E7)</f>
        <v>23651562</v>
      </c>
    </row>
    <row r="1246">
      <c r="A1246" s="2">
        <f>IFERROR(__xludf.DUMMYFUNCTION("""COMPUTED_VALUE"""),33193.666666666664)</f>
        <v>33193.66667</v>
      </c>
      <c r="B1246" s="1">
        <f>IFERROR(__xludf.DUMMYFUNCTION("""COMPUTED_VALUE"""),317.02)</f>
        <v>317.02</v>
      </c>
      <c r="C1246" s="1">
        <f>IFERROR(__xludf.DUMMYFUNCTION("""COMPUTED_VALUE"""),318.8)</f>
        <v>318.8</v>
      </c>
      <c r="D1246" s="1">
        <f>IFERROR(__xludf.DUMMYFUNCTION("""COMPUTED_VALUE"""),314.99)</f>
        <v>314.99</v>
      </c>
      <c r="E1246" s="1">
        <f>IFERROR(__xludf.DUMMYFUNCTION("""COMPUTED_VALUE"""),317.12)</f>
        <v>317.12</v>
      </c>
      <c r="F1246" s="1">
        <f>IFERROR(__xludf.DUMMYFUNCTION("""COMPUTED_VALUE"""),2.585E7)</f>
        <v>25850000</v>
      </c>
    </row>
    <row r="1247">
      <c r="A1247" s="2">
        <f>IFERROR(__xludf.DUMMYFUNCTION("""COMPUTED_VALUE"""),33196.666666666664)</f>
        <v>33196.66667</v>
      </c>
      <c r="B1247" s="1">
        <f>IFERROR(__xludf.DUMMYFUNCTION("""COMPUTED_VALUE"""),317.15)</f>
        <v>317.15</v>
      </c>
      <c r="C1247" s="1">
        <f>IFERROR(__xludf.DUMMYFUNCTION("""COMPUTED_VALUE"""),319.39)</f>
        <v>319.39</v>
      </c>
      <c r="D1247" s="1">
        <f>IFERROR(__xludf.DUMMYFUNCTION("""COMPUTED_VALUE"""),317.15)</f>
        <v>317.15</v>
      </c>
      <c r="E1247" s="1">
        <f>IFERROR(__xludf.DUMMYFUNCTION("""COMPUTED_VALUE"""),319.34)</f>
        <v>319.34</v>
      </c>
      <c r="F1247" s="1">
        <f>IFERROR(__xludf.DUMMYFUNCTION("""COMPUTED_VALUE"""),2.2023438E7)</f>
        <v>22023438</v>
      </c>
    </row>
    <row r="1248">
      <c r="A1248" s="2">
        <f>IFERROR(__xludf.DUMMYFUNCTION("""COMPUTED_VALUE"""),33197.666666666664)</f>
        <v>33197.66667</v>
      </c>
      <c r="B1248" s="1">
        <f>IFERROR(__xludf.DUMMYFUNCTION("""COMPUTED_VALUE"""),319.34)</f>
        <v>319.34</v>
      </c>
      <c r="C1248" s="1">
        <f>IFERROR(__xludf.DUMMYFUNCTION("""COMPUTED_VALUE"""),319.34)</f>
        <v>319.34</v>
      </c>
      <c r="D1248" s="1">
        <f>IFERROR(__xludf.DUMMYFUNCTION("""COMPUTED_VALUE"""),315.31)</f>
        <v>315.31</v>
      </c>
      <c r="E1248" s="1">
        <f>IFERROR(__xludf.DUMMYFUNCTION("""COMPUTED_VALUE"""),315.31)</f>
        <v>315.31</v>
      </c>
      <c r="F1248" s="1">
        <f>IFERROR(__xludf.DUMMYFUNCTION("""COMPUTED_VALUE"""),2.5182812E7)</f>
        <v>25182812</v>
      </c>
    </row>
    <row r="1249">
      <c r="A1249" s="2">
        <f>IFERROR(__xludf.DUMMYFUNCTION("""COMPUTED_VALUE"""),33198.666666666664)</f>
        <v>33198.66667</v>
      </c>
      <c r="B1249" s="1">
        <f>IFERROR(__xludf.DUMMYFUNCTION("""COMPUTED_VALUE"""),315.31)</f>
        <v>315.31</v>
      </c>
      <c r="C1249" s="1">
        <f>IFERROR(__xludf.DUMMYFUNCTION("""COMPUTED_VALUE"""),316.15)</f>
        <v>316.15</v>
      </c>
      <c r="D1249" s="1">
        <f>IFERROR(__xludf.DUMMYFUNCTION("""COMPUTED_VALUE"""),312.42)</f>
        <v>312.42</v>
      </c>
      <c r="E1249" s="1">
        <f>IFERROR(__xludf.DUMMYFUNCTION("""COMPUTED_VALUE"""),316.03)</f>
        <v>316.03</v>
      </c>
      <c r="F1249" s="1">
        <f>IFERROR(__xludf.DUMMYFUNCTION("""COMPUTED_VALUE"""),2.1978124E7)</f>
        <v>21978124</v>
      </c>
    </row>
    <row r="1250">
      <c r="A1250" s="2">
        <f>IFERROR(__xludf.DUMMYFUNCTION("""COMPUTED_VALUE"""),33200.666666666664)</f>
        <v>33200.66667</v>
      </c>
      <c r="B1250" s="1">
        <f>IFERROR(__xludf.DUMMYFUNCTION("""COMPUTED_VALUE"""),316.03)</f>
        <v>316.03</v>
      </c>
      <c r="C1250" s="1">
        <f>IFERROR(__xludf.DUMMYFUNCTION("""COMPUTED_VALUE"""),317.3)</f>
        <v>317.3</v>
      </c>
      <c r="D1250" s="1">
        <f>IFERROR(__xludf.DUMMYFUNCTION("""COMPUTED_VALUE"""),315.06)</f>
        <v>315.06</v>
      </c>
      <c r="E1250" s="1">
        <f>IFERROR(__xludf.DUMMYFUNCTION("""COMPUTED_VALUE"""),315.1)</f>
        <v>315.1</v>
      </c>
      <c r="F1250" s="1">
        <f>IFERROR(__xludf.DUMMYFUNCTION("""COMPUTED_VALUE"""),9898438.0)</f>
        <v>9898438</v>
      </c>
    </row>
    <row r="1251">
      <c r="A1251" s="2">
        <f>IFERROR(__xludf.DUMMYFUNCTION("""COMPUTED_VALUE"""),33203.666666666664)</f>
        <v>33203.66667</v>
      </c>
      <c r="B1251" s="1">
        <f>IFERROR(__xludf.DUMMYFUNCTION("""COMPUTED_VALUE"""),315.08)</f>
        <v>315.08</v>
      </c>
      <c r="C1251" s="1">
        <f>IFERROR(__xludf.DUMMYFUNCTION("""COMPUTED_VALUE"""),316.51)</f>
        <v>316.51</v>
      </c>
      <c r="D1251" s="1">
        <f>IFERROR(__xludf.DUMMYFUNCTION("""COMPUTED_VALUE"""),311.48)</f>
        <v>311.48</v>
      </c>
      <c r="E1251" s="1">
        <f>IFERROR(__xludf.DUMMYFUNCTION("""COMPUTED_VALUE"""),316.51)</f>
        <v>316.51</v>
      </c>
      <c r="F1251" s="1">
        <f>IFERROR(__xludf.DUMMYFUNCTION("""COMPUTED_VALUE"""),2.0553124E7)</f>
        <v>20553124</v>
      </c>
    </row>
    <row r="1252">
      <c r="A1252" s="2">
        <f>IFERROR(__xludf.DUMMYFUNCTION("""COMPUTED_VALUE"""),33204.666666666664)</f>
        <v>33204.66667</v>
      </c>
      <c r="B1252" s="1">
        <f>IFERROR(__xludf.DUMMYFUNCTION("""COMPUTED_VALUE"""),316.51)</f>
        <v>316.51</v>
      </c>
      <c r="C1252" s="1">
        <f>IFERROR(__xludf.DUMMYFUNCTION("""COMPUTED_VALUE"""),318.69)</f>
        <v>318.69</v>
      </c>
      <c r="D1252" s="1">
        <f>IFERROR(__xludf.DUMMYFUNCTION("""COMPUTED_VALUE"""),315.8)</f>
        <v>315.8</v>
      </c>
      <c r="E1252" s="1">
        <f>IFERROR(__xludf.DUMMYFUNCTION("""COMPUTED_VALUE"""),318.1)</f>
        <v>318.1</v>
      </c>
      <c r="F1252" s="1">
        <f>IFERROR(__xludf.DUMMYFUNCTION("""COMPUTED_VALUE"""),2.3060938E7)</f>
        <v>23060938</v>
      </c>
    </row>
    <row r="1253">
      <c r="A1253" s="2">
        <f>IFERROR(__xludf.DUMMYFUNCTION("""COMPUTED_VALUE"""),33205.666666666664)</f>
        <v>33205.66667</v>
      </c>
      <c r="B1253" s="1">
        <f>IFERROR(__xludf.DUMMYFUNCTION("""COMPUTED_VALUE"""),318.11)</f>
        <v>318.11</v>
      </c>
      <c r="C1253" s="1">
        <f>IFERROR(__xludf.DUMMYFUNCTION("""COMPUTED_VALUE"""),319.96)</f>
        <v>319.96</v>
      </c>
      <c r="D1253" s="1">
        <f>IFERROR(__xludf.DUMMYFUNCTION("""COMPUTED_VALUE"""),317.62)</f>
        <v>317.62</v>
      </c>
      <c r="E1253" s="1">
        <f>IFERROR(__xludf.DUMMYFUNCTION("""COMPUTED_VALUE"""),317.95)</f>
        <v>317.95</v>
      </c>
      <c r="F1253" s="1">
        <f>IFERROR(__xludf.DUMMYFUNCTION("""COMPUTED_VALUE"""),2.2732812E7)</f>
        <v>22732812</v>
      </c>
    </row>
    <row r="1254">
      <c r="A1254" s="2">
        <f>IFERROR(__xludf.DUMMYFUNCTION("""COMPUTED_VALUE"""),33206.666666666664)</f>
        <v>33206.66667</v>
      </c>
      <c r="B1254" s="1">
        <f>IFERROR(__xludf.DUMMYFUNCTION("""COMPUTED_VALUE"""),317.95)</f>
        <v>317.95</v>
      </c>
      <c r="C1254" s="1">
        <f>IFERROR(__xludf.DUMMYFUNCTION("""COMPUTED_VALUE"""),317.95)</f>
        <v>317.95</v>
      </c>
      <c r="D1254" s="1">
        <f>IFERROR(__xludf.DUMMYFUNCTION("""COMPUTED_VALUE"""),315.03)</f>
        <v>315.03</v>
      </c>
      <c r="E1254" s="1">
        <f>IFERROR(__xludf.DUMMYFUNCTION("""COMPUTED_VALUE"""),316.42)</f>
        <v>316.42</v>
      </c>
      <c r="F1254" s="1">
        <f>IFERROR(__xludf.DUMMYFUNCTION("""COMPUTED_VALUE"""),2.201875E7)</f>
        <v>22018750</v>
      </c>
    </row>
    <row r="1255">
      <c r="A1255" s="2">
        <f>IFERROR(__xludf.DUMMYFUNCTION("""COMPUTED_VALUE"""),33207.666666666664)</f>
        <v>33207.66667</v>
      </c>
      <c r="B1255" s="1">
        <f>IFERROR(__xludf.DUMMYFUNCTION("""COMPUTED_VALUE"""),316.42)</f>
        <v>316.42</v>
      </c>
      <c r="C1255" s="1">
        <f>IFERROR(__xludf.DUMMYFUNCTION("""COMPUTED_VALUE"""),323.02)</f>
        <v>323.02</v>
      </c>
      <c r="D1255" s="1">
        <f>IFERROR(__xludf.DUMMYFUNCTION("""COMPUTED_VALUE"""),315.42)</f>
        <v>315.42</v>
      </c>
      <c r="E1255" s="1">
        <f>IFERROR(__xludf.DUMMYFUNCTION("""COMPUTED_VALUE"""),322.22)</f>
        <v>322.22</v>
      </c>
      <c r="F1255" s="1">
        <f>IFERROR(__xludf.DUMMYFUNCTION("""COMPUTED_VALUE"""),3.0054688E7)</f>
        <v>30054688</v>
      </c>
    </row>
    <row r="1256">
      <c r="A1256" s="2">
        <f>IFERROR(__xludf.DUMMYFUNCTION("""COMPUTED_VALUE"""),33210.666666666664)</f>
        <v>33210.66667</v>
      </c>
      <c r="B1256" s="1">
        <f>IFERROR(__xludf.DUMMYFUNCTION("""COMPUTED_VALUE"""),322.23)</f>
        <v>322.23</v>
      </c>
      <c r="C1256" s="1">
        <f>IFERROR(__xludf.DUMMYFUNCTION("""COMPUTED_VALUE"""),324.9)</f>
        <v>324.9</v>
      </c>
      <c r="D1256" s="1">
        <f>IFERROR(__xludf.DUMMYFUNCTION("""COMPUTED_VALUE"""),322.23)</f>
        <v>322.23</v>
      </c>
      <c r="E1256" s="1">
        <f>IFERROR(__xludf.DUMMYFUNCTION("""COMPUTED_VALUE"""),324.1)</f>
        <v>324.1</v>
      </c>
      <c r="F1256" s="1">
        <f>IFERROR(__xludf.DUMMYFUNCTION("""COMPUTED_VALUE"""),2.765625E7)</f>
        <v>27656250</v>
      </c>
    </row>
    <row r="1257">
      <c r="A1257" s="2">
        <f>IFERROR(__xludf.DUMMYFUNCTION("""COMPUTED_VALUE"""),33211.666666666664)</f>
        <v>33211.66667</v>
      </c>
      <c r="B1257" s="1">
        <f>IFERROR(__xludf.DUMMYFUNCTION("""COMPUTED_VALUE"""),324.11)</f>
        <v>324.11</v>
      </c>
      <c r="C1257" s="1">
        <f>IFERROR(__xludf.DUMMYFUNCTION("""COMPUTED_VALUE"""),326.77)</f>
        <v>326.77</v>
      </c>
      <c r="D1257" s="1">
        <f>IFERROR(__xludf.DUMMYFUNCTION("""COMPUTED_VALUE"""),321.97)</f>
        <v>321.97</v>
      </c>
      <c r="E1257" s="1">
        <f>IFERROR(__xludf.DUMMYFUNCTION("""COMPUTED_VALUE"""),326.35)</f>
        <v>326.35</v>
      </c>
      <c r="F1257" s="1">
        <f>IFERROR(__xludf.DUMMYFUNCTION("""COMPUTED_VALUE"""),2.9034376E7)</f>
        <v>29034376</v>
      </c>
    </row>
    <row r="1258">
      <c r="A1258" s="2">
        <f>IFERROR(__xludf.DUMMYFUNCTION("""COMPUTED_VALUE"""),33212.666666666664)</f>
        <v>33212.66667</v>
      </c>
      <c r="B1258" s="1">
        <f>IFERROR(__xludf.DUMMYFUNCTION("""COMPUTED_VALUE"""),326.36)</f>
        <v>326.36</v>
      </c>
      <c r="C1258" s="1">
        <f>IFERROR(__xludf.DUMMYFUNCTION("""COMPUTED_VALUE"""),329.92)</f>
        <v>329.92</v>
      </c>
      <c r="D1258" s="1">
        <f>IFERROR(__xludf.DUMMYFUNCTION("""COMPUTED_VALUE"""),325.66)</f>
        <v>325.66</v>
      </c>
      <c r="E1258" s="1">
        <f>IFERROR(__xludf.DUMMYFUNCTION("""COMPUTED_VALUE"""),329.92)</f>
        <v>329.92</v>
      </c>
      <c r="F1258" s="1">
        <f>IFERROR(__xludf.DUMMYFUNCTION("""COMPUTED_VALUE"""),3.2159376E7)</f>
        <v>32159376</v>
      </c>
    </row>
    <row r="1259">
      <c r="A1259" s="2">
        <f>IFERROR(__xludf.DUMMYFUNCTION("""COMPUTED_VALUE"""),33213.666666666664)</f>
        <v>33213.66667</v>
      </c>
      <c r="B1259" s="1">
        <f>IFERROR(__xludf.DUMMYFUNCTION("""COMPUTED_VALUE"""),329.94)</f>
        <v>329.94</v>
      </c>
      <c r="C1259" s="1">
        <f>IFERROR(__xludf.DUMMYFUNCTION("""COMPUTED_VALUE"""),333.98)</f>
        <v>333.98</v>
      </c>
      <c r="D1259" s="1">
        <f>IFERROR(__xludf.DUMMYFUNCTION("""COMPUTED_VALUE"""),328.37)</f>
        <v>328.37</v>
      </c>
      <c r="E1259" s="1">
        <f>IFERROR(__xludf.DUMMYFUNCTION("""COMPUTED_VALUE"""),329.07)</f>
        <v>329.07</v>
      </c>
      <c r="F1259" s="1">
        <f>IFERROR(__xludf.DUMMYFUNCTION("""COMPUTED_VALUE"""),4.0059376E7)</f>
        <v>40059376</v>
      </c>
    </row>
    <row r="1260">
      <c r="A1260" s="2">
        <f>IFERROR(__xludf.DUMMYFUNCTION("""COMPUTED_VALUE"""),33214.666666666664)</f>
        <v>33214.66667</v>
      </c>
      <c r="B1260" s="1">
        <f>IFERROR(__xludf.DUMMYFUNCTION("""COMPUTED_VALUE"""),329.09)</f>
        <v>329.09</v>
      </c>
      <c r="C1260" s="1">
        <f>IFERROR(__xludf.DUMMYFUNCTION("""COMPUTED_VALUE"""),329.39)</f>
        <v>329.39</v>
      </c>
      <c r="D1260" s="1">
        <f>IFERROR(__xludf.DUMMYFUNCTION("""COMPUTED_VALUE"""),326.39)</f>
        <v>326.39</v>
      </c>
      <c r="E1260" s="1">
        <f>IFERROR(__xludf.DUMMYFUNCTION("""COMPUTED_VALUE"""),327.75)</f>
        <v>327.75</v>
      </c>
      <c r="F1260" s="1">
        <f>IFERROR(__xludf.DUMMYFUNCTION("""COMPUTED_VALUE"""),2.5773438E7)</f>
        <v>25773438</v>
      </c>
    </row>
    <row r="1261">
      <c r="A1261" s="2">
        <f>IFERROR(__xludf.DUMMYFUNCTION("""COMPUTED_VALUE"""),33217.666666666664)</f>
        <v>33217.66667</v>
      </c>
      <c r="B1261" s="1">
        <f>IFERROR(__xludf.DUMMYFUNCTION("""COMPUTED_VALUE"""),327.75)</f>
        <v>327.75</v>
      </c>
      <c r="C1261" s="1">
        <f>IFERROR(__xludf.DUMMYFUNCTION("""COMPUTED_VALUE"""),328.97)</f>
        <v>328.97</v>
      </c>
      <c r="D1261" s="1">
        <f>IFERROR(__xludf.DUMMYFUNCTION("""COMPUTED_VALUE"""),326.15)</f>
        <v>326.15</v>
      </c>
      <c r="E1261" s="1">
        <f>IFERROR(__xludf.DUMMYFUNCTION("""COMPUTED_VALUE"""),328.89)</f>
        <v>328.89</v>
      </c>
      <c r="F1261" s="1">
        <f>IFERROR(__xludf.DUMMYFUNCTION("""COMPUTED_VALUE"""),2.1664062E7)</f>
        <v>21664062</v>
      </c>
    </row>
    <row r="1262">
      <c r="A1262" s="2">
        <f>IFERROR(__xludf.DUMMYFUNCTION("""COMPUTED_VALUE"""),33218.666666666664)</f>
        <v>33218.66667</v>
      </c>
      <c r="B1262" s="1">
        <f>IFERROR(__xludf.DUMMYFUNCTION("""COMPUTED_VALUE"""),328.88)</f>
        <v>328.88</v>
      </c>
      <c r="C1262" s="1">
        <f>IFERROR(__xludf.DUMMYFUNCTION("""COMPUTED_VALUE"""),328.88)</f>
        <v>328.88</v>
      </c>
      <c r="D1262" s="1">
        <f>IFERROR(__xludf.DUMMYFUNCTION("""COMPUTED_VALUE"""),325.65)</f>
        <v>325.65</v>
      </c>
      <c r="E1262" s="1">
        <f>IFERROR(__xludf.DUMMYFUNCTION("""COMPUTED_VALUE"""),326.44)</f>
        <v>326.44</v>
      </c>
      <c r="F1262" s="1">
        <f>IFERROR(__xludf.DUMMYFUNCTION("""COMPUTED_VALUE"""),2.2707812E7)</f>
        <v>22707812</v>
      </c>
    </row>
    <row r="1263">
      <c r="A1263" s="2">
        <f>IFERROR(__xludf.DUMMYFUNCTION("""COMPUTED_VALUE"""),33219.666666666664)</f>
        <v>33219.66667</v>
      </c>
      <c r="B1263" s="1">
        <f>IFERROR(__xludf.DUMMYFUNCTION("""COMPUTED_VALUE"""),326.44)</f>
        <v>326.44</v>
      </c>
      <c r="C1263" s="1">
        <f>IFERROR(__xludf.DUMMYFUNCTION("""COMPUTED_VALUE"""),330.36)</f>
        <v>330.36</v>
      </c>
      <c r="D1263" s="1">
        <f>IFERROR(__xludf.DUMMYFUNCTION("""COMPUTED_VALUE"""),326.44)</f>
        <v>326.44</v>
      </c>
      <c r="E1263" s="1">
        <f>IFERROR(__xludf.DUMMYFUNCTION("""COMPUTED_VALUE"""),330.19)</f>
        <v>330.19</v>
      </c>
      <c r="F1263" s="1">
        <f>IFERROR(__xludf.DUMMYFUNCTION("""COMPUTED_VALUE"""),2.8479688E7)</f>
        <v>28479688</v>
      </c>
    </row>
    <row r="1264">
      <c r="A1264" s="2">
        <f>IFERROR(__xludf.DUMMYFUNCTION("""COMPUTED_VALUE"""),33220.666666666664)</f>
        <v>33220.66667</v>
      </c>
      <c r="B1264" s="1">
        <f>IFERROR(__xludf.DUMMYFUNCTION("""COMPUTED_VALUE"""),330.14)</f>
        <v>330.14</v>
      </c>
      <c r="C1264" s="1">
        <f>IFERROR(__xludf.DUMMYFUNCTION("""COMPUTED_VALUE"""),330.58)</f>
        <v>330.58</v>
      </c>
      <c r="D1264" s="1">
        <f>IFERROR(__xludf.DUMMYFUNCTION("""COMPUTED_VALUE"""),328.77)</f>
        <v>328.77</v>
      </c>
      <c r="E1264" s="1">
        <f>IFERROR(__xludf.DUMMYFUNCTION("""COMPUTED_VALUE"""),329.34)</f>
        <v>329.34</v>
      </c>
      <c r="F1264" s="1">
        <f>IFERROR(__xludf.DUMMYFUNCTION("""COMPUTED_VALUE"""),2.5329688E7)</f>
        <v>25329688</v>
      </c>
    </row>
    <row r="1265">
      <c r="A1265" s="2">
        <f>IFERROR(__xludf.DUMMYFUNCTION("""COMPUTED_VALUE"""),33221.666666666664)</f>
        <v>33221.66667</v>
      </c>
      <c r="B1265" s="1">
        <f>IFERROR(__xludf.DUMMYFUNCTION("""COMPUTED_VALUE"""),329.34)</f>
        <v>329.34</v>
      </c>
      <c r="C1265" s="1">
        <f>IFERROR(__xludf.DUMMYFUNCTION("""COMPUTED_VALUE"""),329.34)</f>
        <v>329.34</v>
      </c>
      <c r="D1265" s="1">
        <f>IFERROR(__xludf.DUMMYFUNCTION("""COMPUTED_VALUE"""),325.16)</f>
        <v>325.16</v>
      </c>
      <c r="E1265" s="1">
        <f>IFERROR(__xludf.DUMMYFUNCTION("""COMPUTED_VALUE"""),326.82)</f>
        <v>326.82</v>
      </c>
      <c r="F1265" s="1">
        <f>IFERROR(__xludf.DUMMYFUNCTION("""COMPUTED_VALUE"""),2.3595312E7)</f>
        <v>23595312</v>
      </c>
    </row>
    <row r="1266">
      <c r="A1266" s="2">
        <f>IFERROR(__xludf.DUMMYFUNCTION("""COMPUTED_VALUE"""),33224.666666666664)</f>
        <v>33224.66667</v>
      </c>
      <c r="B1266" s="1">
        <f>IFERROR(__xludf.DUMMYFUNCTION("""COMPUTED_VALUE"""),326.82)</f>
        <v>326.82</v>
      </c>
      <c r="C1266" s="1">
        <f>IFERROR(__xludf.DUMMYFUNCTION("""COMPUTED_VALUE"""),326.82)</f>
        <v>326.82</v>
      </c>
      <c r="D1266" s="1">
        <f>IFERROR(__xludf.DUMMYFUNCTION("""COMPUTED_VALUE"""),324.46)</f>
        <v>324.46</v>
      </c>
      <c r="E1266" s="1">
        <f>IFERROR(__xludf.DUMMYFUNCTION("""COMPUTED_VALUE"""),326.02)</f>
        <v>326.02</v>
      </c>
      <c r="F1266" s="1">
        <f>IFERROR(__xludf.DUMMYFUNCTION("""COMPUTED_VALUE"""),1.8525E7)</f>
        <v>18525000</v>
      </c>
    </row>
    <row r="1267">
      <c r="A1267" s="2">
        <f>IFERROR(__xludf.DUMMYFUNCTION("""COMPUTED_VALUE"""),33225.666666666664)</f>
        <v>33225.66667</v>
      </c>
      <c r="B1267" s="1">
        <f>IFERROR(__xludf.DUMMYFUNCTION("""COMPUTED_VALUE"""),326.02)</f>
        <v>326.02</v>
      </c>
      <c r="C1267" s="1">
        <f>IFERROR(__xludf.DUMMYFUNCTION("""COMPUTED_VALUE"""),330.43)</f>
        <v>330.43</v>
      </c>
      <c r="D1267" s="1">
        <f>IFERROR(__xludf.DUMMYFUNCTION("""COMPUTED_VALUE"""),325.75)</f>
        <v>325.75</v>
      </c>
      <c r="E1267" s="1">
        <f>IFERROR(__xludf.DUMMYFUNCTION("""COMPUTED_VALUE"""),330.05)</f>
        <v>330.05</v>
      </c>
      <c r="F1267" s="1">
        <f>IFERROR(__xludf.DUMMYFUNCTION("""COMPUTED_VALUE"""),2.7571876E7)</f>
        <v>27571876</v>
      </c>
    </row>
    <row r="1268">
      <c r="A1268" s="2">
        <f>IFERROR(__xludf.DUMMYFUNCTION("""COMPUTED_VALUE"""),33226.666666666664)</f>
        <v>33226.66667</v>
      </c>
      <c r="B1268" s="1">
        <f>IFERROR(__xludf.DUMMYFUNCTION("""COMPUTED_VALUE"""),330.04)</f>
        <v>330.04</v>
      </c>
      <c r="C1268" s="1">
        <f>IFERROR(__xludf.DUMMYFUNCTION("""COMPUTED_VALUE"""),330.8)</f>
        <v>330.8</v>
      </c>
      <c r="D1268" s="1">
        <f>IFERROR(__xludf.DUMMYFUNCTION("""COMPUTED_VALUE"""),329.39)</f>
        <v>329.39</v>
      </c>
      <c r="E1268" s="1">
        <f>IFERROR(__xludf.DUMMYFUNCTION("""COMPUTED_VALUE"""),330.2)</f>
        <v>330.2</v>
      </c>
      <c r="F1268" s="1">
        <f>IFERROR(__xludf.DUMMYFUNCTION("""COMPUTED_VALUE"""),2.8184376E7)</f>
        <v>28184376</v>
      </c>
    </row>
    <row r="1269">
      <c r="A1269" s="2">
        <f>IFERROR(__xludf.DUMMYFUNCTION("""COMPUTED_VALUE"""),33227.666666666664)</f>
        <v>33227.66667</v>
      </c>
      <c r="B1269" s="1">
        <f>IFERROR(__xludf.DUMMYFUNCTION("""COMPUTED_VALUE"""),330.2)</f>
        <v>330.2</v>
      </c>
      <c r="C1269" s="1">
        <f>IFERROR(__xludf.DUMMYFUNCTION("""COMPUTED_VALUE"""),330.74)</f>
        <v>330.74</v>
      </c>
      <c r="D1269" s="1">
        <f>IFERROR(__xludf.DUMMYFUNCTION("""COMPUTED_VALUE"""),326.94)</f>
        <v>326.94</v>
      </c>
      <c r="E1269" s="1">
        <f>IFERROR(__xludf.DUMMYFUNCTION("""COMPUTED_VALUE"""),330.12)</f>
        <v>330.12</v>
      </c>
      <c r="F1269" s="1">
        <f>IFERROR(__xludf.DUMMYFUNCTION("""COMPUTED_VALUE"""),2.7296876E7)</f>
        <v>27296876</v>
      </c>
    </row>
    <row r="1270">
      <c r="A1270" s="2">
        <f>IFERROR(__xludf.DUMMYFUNCTION("""COMPUTED_VALUE"""),33228.666666666664)</f>
        <v>33228.66667</v>
      </c>
      <c r="B1270" s="1">
        <f>IFERROR(__xludf.DUMMYFUNCTION("""COMPUTED_VALUE"""),330.12)</f>
        <v>330.12</v>
      </c>
      <c r="C1270" s="1">
        <f>IFERROR(__xludf.DUMMYFUNCTION("""COMPUTED_VALUE"""),332.47)</f>
        <v>332.47</v>
      </c>
      <c r="D1270" s="1">
        <f>IFERROR(__xludf.DUMMYFUNCTION("""COMPUTED_VALUE"""),330.12)</f>
        <v>330.12</v>
      </c>
      <c r="E1270" s="1">
        <f>IFERROR(__xludf.DUMMYFUNCTION("""COMPUTED_VALUE"""),331.75)</f>
        <v>331.75</v>
      </c>
      <c r="F1270" s="1">
        <f>IFERROR(__xludf.DUMMYFUNCTION("""COMPUTED_VALUE"""),3.6468752E7)</f>
        <v>36468752</v>
      </c>
    </row>
    <row r="1271">
      <c r="A1271" s="2">
        <f>IFERROR(__xludf.DUMMYFUNCTION("""COMPUTED_VALUE"""),33231.666666666664)</f>
        <v>33231.66667</v>
      </c>
      <c r="B1271" s="1">
        <f>IFERROR(__xludf.DUMMYFUNCTION("""COMPUTED_VALUE"""),331.74)</f>
        <v>331.74</v>
      </c>
      <c r="C1271" s="1">
        <f>IFERROR(__xludf.DUMMYFUNCTION("""COMPUTED_VALUE"""),331.74)</f>
        <v>331.74</v>
      </c>
      <c r="D1271" s="1">
        <f>IFERROR(__xludf.DUMMYFUNCTION("""COMPUTED_VALUE"""),329.16)</f>
        <v>329.16</v>
      </c>
      <c r="E1271" s="1">
        <f>IFERROR(__xludf.DUMMYFUNCTION("""COMPUTED_VALUE"""),329.9)</f>
        <v>329.9</v>
      </c>
      <c r="F1271" s="1">
        <f>IFERROR(__xludf.DUMMYFUNCTION("""COMPUTED_VALUE"""),8937500.0)</f>
        <v>8937500</v>
      </c>
    </row>
    <row r="1272">
      <c r="A1272" s="2">
        <f>IFERROR(__xludf.DUMMYFUNCTION("""COMPUTED_VALUE"""),33233.666666666664)</f>
        <v>33233.66667</v>
      </c>
      <c r="B1272" s="1">
        <f>IFERROR(__xludf.DUMMYFUNCTION("""COMPUTED_VALUE"""),329.89)</f>
        <v>329.89</v>
      </c>
      <c r="C1272" s="1">
        <f>IFERROR(__xludf.DUMMYFUNCTION("""COMPUTED_VALUE"""),331.69)</f>
        <v>331.69</v>
      </c>
      <c r="D1272" s="1">
        <f>IFERROR(__xludf.DUMMYFUNCTION("""COMPUTED_VALUE"""),329.89)</f>
        <v>329.89</v>
      </c>
      <c r="E1272" s="1">
        <f>IFERROR(__xludf.DUMMYFUNCTION("""COMPUTED_VALUE"""),330.85)</f>
        <v>330.85</v>
      </c>
      <c r="F1272" s="1">
        <f>IFERROR(__xludf.DUMMYFUNCTION("""COMPUTED_VALUE"""),1.2301562E7)</f>
        <v>12301562</v>
      </c>
    </row>
    <row r="1273">
      <c r="A1273" s="2">
        <f>IFERROR(__xludf.DUMMYFUNCTION("""COMPUTED_VALUE"""),33234.666666666664)</f>
        <v>33234.66667</v>
      </c>
      <c r="B1273" s="1">
        <f>IFERROR(__xludf.DUMMYFUNCTION("""COMPUTED_VALUE"""),330.85)</f>
        <v>330.85</v>
      </c>
      <c r="C1273" s="1">
        <f>IFERROR(__xludf.DUMMYFUNCTION("""COMPUTED_VALUE"""),331.04)</f>
        <v>331.04</v>
      </c>
      <c r="D1273" s="1">
        <f>IFERROR(__xludf.DUMMYFUNCTION("""COMPUTED_VALUE"""),328.23)</f>
        <v>328.23</v>
      </c>
      <c r="E1273" s="1">
        <f>IFERROR(__xludf.DUMMYFUNCTION("""COMPUTED_VALUE"""),328.29)</f>
        <v>328.29</v>
      </c>
      <c r="F1273" s="1">
        <f>IFERROR(__xludf.DUMMYFUNCTION("""COMPUTED_VALUE"""),1.6078125E7)</f>
        <v>16078125</v>
      </c>
    </row>
    <row r="1274">
      <c r="A1274" s="2">
        <f>IFERROR(__xludf.DUMMYFUNCTION("""COMPUTED_VALUE"""),33235.666666666664)</f>
        <v>33235.66667</v>
      </c>
      <c r="B1274" s="1">
        <f>IFERROR(__xludf.DUMMYFUNCTION("""COMPUTED_VALUE"""),328.29)</f>
        <v>328.29</v>
      </c>
      <c r="C1274" s="1">
        <f>IFERROR(__xludf.DUMMYFUNCTION("""COMPUTED_VALUE"""),328.72)</f>
        <v>328.72</v>
      </c>
      <c r="D1274" s="1">
        <f>IFERROR(__xludf.DUMMYFUNCTION("""COMPUTED_VALUE"""),327.24)</f>
        <v>327.24</v>
      </c>
      <c r="E1274" s="1">
        <f>IFERROR(__xludf.DUMMYFUNCTION("""COMPUTED_VALUE"""),328.72)</f>
        <v>328.72</v>
      </c>
      <c r="F1274" s="1">
        <f>IFERROR(__xludf.DUMMYFUNCTION("""COMPUTED_VALUE"""),1.7348438E7)</f>
        <v>17348438</v>
      </c>
    </row>
    <row r="1275">
      <c r="A1275" s="2">
        <f>IFERROR(__xludf.DUMMYFUNCTION("""COMPUTED_VALUE"""),33238.666666666664)</f>
        <v>33238.66667</v>
      </c>
      <c r="B1275" s="1">
        <f>IFERROR(__xludf.DUMMYFUNCTION("""COMPUTED_VALUE"""),328.71)</f>
        <v>328.71</v>
      </c>
      <c r="C1275" s="1">
        <f>IFERROR(__xludf.DUMMYFUNCTION("""COMPUTED_VALUE"""),330.23)</f>
        <v>330.23</v>
      </c>
      <c r="D1275" s="1">
        <f>IFERROR(__xludf.DUMMYFUNCTION("""COMPUTED_VALUE"""),327.5)</f>
        <v>327.5</v>
      </c>
      <c r="E1275" s="1">
        <f>IFERROR(__xludf.DUMMYFUNCTION("""COMPUTED_VALUE"""),330.22)</f>
        <v>330.22</v>
      </c>
      <c r="F1275" s="1">
        <f>IFERROR(__xludf.DUMMYFUNCTION("""COMPUTED_VALUE"""),1.7832812E7)</f>
        <v>17832812</v>
      </c>
    </row>
    <row r="1276">
      <c r="A1276" s="2">
        <f>IFERROR(__xludf.DUMMYFUNCTION("""COMPUTED_VALUE"""),33240.666666666664)</f>
        <v>33240.66667</v>
      </c>
      <c r="B1276" s="1">
        <f>IFERROR(__xludf.DUMMYFUNCTION("""COMPUTED_VALUE"""),330.2)</f>
        <v>330.2</v>
      </c>
      <c r="C1276" s="1">
        <f>IFERROR(__xludf.DUMMYFUNCTION("""COMPUTED_VALUE"""),330.75)</f>
        <v>330.75</v>
      </c>
      <c r="D1276" s="1">
        <f>IFERROR(__xludf.DUMMYFUNCTION("""COMPUTED_VALUE"""),326.45)</f>
        <v>326.45</v>
      </c>
      <c r="E1276" s="1">
        <f>IFERROR(__xludf.DUMMYFUNCTION("""COMPUTED_VALUE"""),326.45)</f>
        <v>326.45</v>
      </c>
      <c r="F1276" s="1">
        <f>IFERROR(__xludf.DUMMYFUNCTION("""COMPUTED_VALUE"""),1.973125E7)</f>
        <v>19731250</v>
      </c>
    </row>
    <row r="1277">
      <c r="A1277" s="2">
        <f>IFERROR(__xludf.DUMMYFUNCTION("""COMPUTED_VALUE"""),33241.666666666664)</f>
        <v>33241.66667</v>
      </c>
      <c r="B1277" s="1">
        <f>IFERROR(__xludf.DUMMYFUNCTION("""COMPUTED_VALUE"""),326.46)</f>
        <v>326.46</v>
      </c>
      <c r="C1277" s="1">
        <f>IFERROR(__xludf.DUMMYFUNCTION("""COMPUTED_VALUE"""),326.53)</f>
        <v>326.53</v>
      </c>
      <c r="D1277" s="1">
        <f>IFERROR(__xludf.DUMMYFUNCTION("""COMPUTED_VALUE"""),321.9)</f>
        <v>321.9</v>
      </c>
      <c r="E1277" s="1">
        <f>IFERROR(__xludf.DUMMYFUNCTION("""COMPUTED_VALUE"""),321.91)</f>
        <v>321.91</v>
      </c>
      <c r="F1277" s="1">
        <f>IFERROR(__xludf.DUMMYFUNCTION("""COMPUTED_VALUE"""),2.2101562E7)</f>
        <v>22101562</v>
      </c>
    </row>
    <row r="1278">
      <c r="A1278" s="2">
        <f>IFERROR(__xludf.DUMMYFUNCTION("""COMPUTED_VALUE"""),33242.666666666664)</f>
        <v>33242.66667</v>
      </c>
      <c r="B1278" s="1">
        <f>IFERROR(__xludf.DUMMYFUNCTION("""COMPUTED_VALUE"""),321.91)</f>
        <v>321.91</v>
      </c>
      <c r="C1278" s="1">
        <f>IFERROR(__xludf.DUMMYFUNCTION("""COMPUTED_VALUE"""),322.35)</f>
        <v>322.35</v>
      </c>
      <c r="D1278" s="1">
        <f>IFERROR(__xludf.DUMMYFUNCTION("""COMPUTED_VALUE"""),318.87)</f>
        <v>318.87</v>
      </c>
      <c r="E1278" s="1">
        <f>IFERROR(__xludf.DUMMYFUNCTION("""COMPUTED_VALUE"""),321.0)</f>
        <v>321</v>
      </c>
      <c r="F1278" s="1">
        <f>IFERROR(__xludf.DUMMYFUNCTION("""COMPUTED_VALUE"""),2.2003124E7)</f>
        <v>22003124</v>
      </c>
    </row>
    <row r="1279">
      <c r="A1279" s="2">
        <f>IFERROR(__xludf.DUMMYFUNCTION("""COMPUTED_VALUE"""),33245.666666666664)</f>
        <v>33245.66667</v>
      </c>
      <c r="B1279" s="1">
        <f>IFERROR(__xludf.DUMMYFUNCTION("""COMPUTED_VALUE"""),320.97)</f>
        <v>320.97</v>
      </c>
      <c r="C1279" s="1">
        <f>IFERROR(__xludf.DUMMYFUNCTION("""COMPUTED_VALUE"""),320.97)</f>
        <v>320.97</v>
      </c>
      <c r="D1279" s="1">
        <f>IFERROR(__xludf.DUMMYFUNCTION("""COMPUTED_VALUE"""),315.44)</f>
        <v>315.44</v>
      </c>
      <c r="E1279" s="1">
        <f>IFERROR(__xludf.DUMMYFUNCTION("""COMPUTED_VALUE"""),315.44)</f>
        <v>315.44</v>
      </c>
      <c r="F1279" s="1">
        <f>IFERROR(__xludf.DUMMYFUNCTION("""COMPUTED_VALUE"""),2.0407812E7)</f>
        <v>20407812</v>
      </c>
    </row>
    <row r="1280">
      <c r="A1280" s="2">
        <f>IFERROR(__xludf.DUMMYFUNCTION("""COMPUTED_VALUE"""),33246.666666666664)</f>
        <v>33246.66667</v>
      </c>
      <c r="B1280" s="1">
        <f>IFERROR(__xludf.DUMMYFUNCTION("""COMPUTED_VALUE"""),315.44)</f>
        <v>315.44</v>
      </c>
      <c r="C1280" s="1">
        <f>IFERROR(__xludf.DUMMYFUNCTION("""COMPUTED_VALUE"""),316.97)</f>
        <v>316.97</v>
      </c>
      <c r="D1280" s="1">
        <f>IFERROR(__xludf.DUMMYFUNCTION("""COMPUTED_VALUE"""),313.79)</f>
        <v>313.79</v>
      </c>
      <c r="E1280" s="1">
        <f>IFERROR(__xludf.DUMMYFUNCTION("""COMPUTED_VALUE"""),314.9)</f>
        <v>314.9</v>
      </c>
      <c r="F1280" s="1">
        <f>IFERROR(__xludf.DUMMYFUNCTION("""COMPUTED_VALUE"""),2.2404688E7)</f>
        <v>22404688</v>
      </c>
    </row>
    <row r="1281">
      <c r="A1281" s="2">
        <f>IFERROR(__xludf.DUMMYFUNCTION("""COMPUTED_VALUE"""),33247.666666666664)</f>
        <v>33247.66667</v>
      </c>
      <c r="B1281" s="1">
        <f>IFERROR(__xludf.DUMMYFUNCTION("""COMPUTED_VALUE"""),314.9)</f>
        <v>314.9</v>
      </c>
      <c r="C1281" s="1">
        <f>IFERROR(__xludf.DUMMYFUNCTION("""COMPUTED_VALUE"""),320.73)</f>
        <v>320.73</v>
      </c>
      <c r="D1281" s="1">
        <f>IFERROR(__xludf.DUMMYFUNCTION("""COMPUTED_VALUE"""),310.93)</f>
        <v>310.93</v>
      </c>
      <c r="E1281" s="1">
        <f>IFERROR(__xludf.DUMMYFUNCTION("""COMPUTED_VALUE"""),311.49)</f>
        <v>311.49</v>
      </c>
      <c r="F1281" s="1">
        <f>IFERROR(__xludf.DUMMYFUNCTION("""COMPUTED_VALUE"""),2.9859376E7)</f>
        <v>29859376</v>
      </c>
    </row>
    <row r="1282">
      <c r="A1282" s="2">
        <f>IFERROR(__xludf.DUMMYFUNCTION("""COMPUTED_VALUE"""),33248.666666666664)</f>
        <v>33248.66667</v>
      </c>
      <c r="B1282" s="1">
        <f>IFERROR(__xludf.DUMMYFUNCTION("""COMPUTED_VALUE"""),311.51)</f>
        <v>311.51</v>
      </c>
      <c r="C1282" s="1">
        <f>IFERROR(__xludf.DUMMYFUNCTION("""COMPUTED_VALUE"""),314.77)</f>
        <v>314.77</v>
      </c>
      <c r="D1282" s="1">
        <f>IFERROR(__xludf.DUMMYFUNCTION("""COMPUTED_VALUE"""),311.51)</f>
        <v>311.51</v>
      </c>
      <c r="E1282" s="1">
        <f>IFERROR(__xludf.DUMMYFUNCTION("""COMPUTED_VALUE"""),314.53)</f>
        <v>314.53</v>
      </c>
      <c r="F1282" s="1">
        <f>IFERROR(__xludf.DUMMYFUNCTION("""COMPUTED_VALUE"""),1.9454688E7)</f>
        <v>19454688</v>
      </c>
    </row>
    <row r="1283">
      <c r="A1283" s="2">
        <f>IFERROR(__xludf.DUMMYFUNCTION("""COMPUTED_VALUE"""),33249.666666666664)</f>
        <v>33249.66667</v>
      </c>
      <c r="B1283" s="1">
        <f>IFERROR(__xludf.DUMMYFUNCTION("""COMPUTED_VALUE"""),314.53)</f>
        <v>314.53</v>
      </c>
      <c r="C1283" s="1">
        <f>IFERROR(__xludf.DUMMYFUNCTION("""COMPUTED_VALUE"""),315.24)</f>
        <v>315.24</v>
      </c>
      <c r="D1283" s="1">
        <f>IFERROR(__xludf.DUMMYFUNCTION("""COMPUTED_VALUE"""),313.59)</f>
        <v>313.59</v>
      </c>
      <c r="E1283" s="1">
        <f>IFERROR(__xludf.DUMMYFUNCTION("""COMPUTED_VALUE"""),315.23)</f>
        <v>315.23</v>
      </c>
      <c r="F1283" s="1">
        <f>IFERROR(__xludf.DUMMYFUNCTION("""COMPUTED_VALUE"""),1.9226562E7)</f>
        <v>19226562</v>
      </c>
    </row>
    <row r="1284">
      <c r="A1284" s="2">
        <f>IFERROR(__xludf.DUMMYFUNCTION("""COMPUTED_VALUE"""),33252.666666666664)</f>
        <v>33252.66667</v>
      </c>
      <c r="B1284" s="1">
        <f>IFERROR(__xludf.DUMMYFUNCTION("""COMPUTED_VALUE"""),315.23)</f>
        <v>315.23</v>
      </c>
      <c r="C1284" s="1">
        <f>IFERROR(__xludf.DUMMYFUNCTION("""COMPUTED_VALUE"""),315.23)</f>
        <v>315.23</v>
      </c>
      <c r="D1284" s="1">
        <f>IFERROR(__xludf.DUMMYFUNCTION("""COMPUTED_VALUE"""),309.35)</f>
        <v>309.35</v>
      </c>
      <c r="E1284" s="1">
        <f>IFERROR(__xludf.DUMMYFUNCTION("""COMPUTED_VALUE"""),312.49)</f>
        <v>312.49</v>
      </c>
      <c r="F1284" s="1">
        <f>IFERROR(__xludf.DUMMYFUNCTION("""COMPUTED_VALUE"""),1.8879688E7)</f>
        <v>18879688</v>
      </c>
    </row>
    <row r="1285">
      <c r="A1285" s="2">
        <f>IFERROR(__xludf.DUMMYFUNCTION("""COMPUTED_VALUE"""),33253.666666666664)</f>
        <v>33253.66667</v>
      </c>
      <c r="B1285" s="1">
        <f>IFERROR(__xludf.DUMMYFUNCTION("""COMPUTED_VALUE"""),312.49)</f>
        <v>312.49</v>
      </c>
      <c r="C1285" s="1">
        <f>IFERROR(__xludf.DUMMYFUNCTION("""COMPUTED_VALUE"""),313.73)</f>
        <v>313.73</v>
      </c>
      <c r="D1285" s="1">
        <f>IFERROR(__xludf.DUMMYFUNCTION("""COMPUTED_VALUE"""),311.84)</f>
        <v>311.84</v>
      </c>
      <c r="E1285" s="1">
        <f>IFERROR(__xludf.DUMMYFUNCTION("""COMPUTED_VALUE"""),313.73)</f>
        <v>313.73</v>
      </c>
      <c r="F1285" s="1">
        <f>IFERROR(__xludf.DUMMYFUNCTION("""COMPUTED_VALUE"""),1.71875E7)</f>
        <v>17187500</v>
      </c>
    </row>
    <row r="1286">
      <c r="A1286" s="2">
        <f>IFERROR(__xludf.DUMMYFUNCTION("""COMPUTED_VALUE"""),33254.666666666664)</f>
        <v>33254.66667</v>
      </c>
      <c r="B1286" s="1">
        <f>IFERROR(__xludf.DUMMYFUNCTION("""COMPUTED_VALUE"""),313.73)</f>
        <v>313.73</v>
      </c>
      <c r="C1286" s="1">
        <f>IFERROR(__xludf.DUMMYFUNCTION("""COMPUTED_VALUE"""),316.94)</f>
        <v>316.94</v>
      </c>
      <c r="D1286" s="1">
        <f>IFERROR(__xludf.DUMMYFUNCTION("""COMPUTED_VALUE"""),312.94)</f>
        <v>312.94</v>
      </c>
      <c r="E1286" s="1">
        <f>IFERROR(__xludf.DUMMYFUNCTION("""COMPUTED_VALUE"""),316.17)</f>
        <v>316.17</v>
      </c>
      <c r="F1286" s="1">
        <f>IFERROR(__xludf.DUMMYFUNCTION("""COMPUTED_VALUE"""),2.1025E7)</f>
        <v>21025000</v>
      </c>
    </row>
    <row r="1287">
      <c r="A1287" s="2">
        <f>IFERROR(__xludf.DUMMYFUNCTION("""COMPUTED_VALUE"""),33255.666666666664)</f>
        <v>33255.66667</v>
      </c>
      <c r="B1287" s="1">
        <f>IFERROR(__xludf.DUMMYFUNCTION("""COMPUTED_VALUE"""),316.25)</f>
        <v>316.25</v>
      </c>
      <c r="C1287" s="1">
        <f>IFERROR(__xludf.DUMMYFUNCTION("""COMPUTED_VALUE"""),327.97)</f>
        <v>327.97</v>
      </c>
      <c r="D1287" s="1">
        <f>IFERROR(__xludf.DUMMYFUNCTION("""COMPUTED_VALUE"""),316.25)</f>
        <v>316.25</v>
      </c>
      <c r="E1287" s="1">
        <f>IFERROR(__xludf.DUMMYFUNCTION("""COMPUTED_VALUE"""),327.97)</f>
        <v>327.97</v>
      </c>
      <c r="F1287" s="1">
        <f>IFERROR(__xludf.DUMMYFUNCTION("""COMPUTED_VALUE"""),4.9856248E7)</f>
        <v>49856248</v>
      </c>
    </row>
    <row r="1288">
      <c r="A1288" s="2">
        <f>IFERROR(__xludf.DUMMYFUNCTION("""COMPUTED_VALUE"""),33256.666666666664)</f>
        <v>33256.66667</v>
      </c>
      <c r="B1288" s="1">
        <f>IFERROR(__xludf.DUMMYFUNCTION("""COMPUTED_VALUE"""),327.93)</f>
        <v>327.93</v>
      </c>
      <c r="C1288" s="1">
        <f>IFERROR(__xludf.DUMMYFUNCTION("""COMPUTED_VALUE"""),332.23)</f>
        <v>332.23</v>
      </c>
      <c r="D1288" s="1">
        <f>IFERROR(__xludf.DUMMYFUNCTION("""COMPUTED_VALUE"""),327.08)</f>
        <v>327.08</v>
      </c>
      <c r="E1288" s="1">
        <f>IFERROR(__xludf.DUMMYFUNCTION("""COMPUTED_VALUE"""),332.23)</f>
        <v>332.23</v>
      </c>
      <c r="F1288" s="1">
        <f>IFERROR(__xludf.DUMMYFUNCTION("""COMPUTED_VALUE"""),3.5432812E7)</f>
        <v>35432812</v>
      </c>
    </row>
    <row r="1289">
      <c r="A1289" s="2">
        <f>IFERROR(__xludf.DUMMYFUNCTION("""COMPUTED_VALUE"""),33259.666666666664)</f>
        <v>33259.66667</v>
      </c>
      <c r="B1289" s="1">
        <f>IFERROR(__xludf.DUMMYFUNCTION("""COMPUTED_VALUE"""),332.23)</f>
        <v>332.23</v>
      </c>
      <c r="C1289" s="1">
        <f>IFERROR(__xludf.DUMMYFUNCTION("""COMPUTED_VALUE"""),332.23)</f>
        <v>332.23</v>
      </c>
      <c r="D1289" s="1">
        <f>IFERROR(__xludf.DUMMYFUNCTION("""COMPUTED_VALUE"""),328.87)</f>
        <v>328.87</v>
      </c>
      <c r="E1289" s="1">
        <f>IFERROR(__xludf.DUMMYFUNCTION("""COMPUTED_VALUE"""),331.06)</f>
        <v>331.06</v>
      </c>
      <c r="F1289" s="1">
        <f>IFERROR(__xludf.DUMMYFUNCTION("""COMPUTED_VALUE"""),2.1295312E7)</f>
        <v>21295312</v>
      </c>
    </row>
    <row r="1290">
      <c r="A1290" s="2">
        <f>IFERROR(__xludf.DUMMYFUNCTION("""COMPUTED_VALUE"""),33260.666666666664)</f>
        <v>33260.66667</v>
      </c>
      <c r="B1290" s="1">
        <f>IFERROR(__xludf.DUMMYFUNCTION("""COMPUTED_VALUE"""),331.06)</f>
        <v>331.06</v>
      </c>
      <c r="C1290" s="1">
        <f>IFERROR(__xludf.DUMMYFUNCTION("""COMPUTED_VALUE"""),331.26)</f>
        <v>331.26</v>
      </c>
      <c r="D1290" s="1">
        <f>IFERROR(__xludf.DUMMYFUNCTION("""COMPUTED_VALUE"""),327.83)</f>
        <v>327.83</v>
      </c>
      <c r="E1290" s="1">
        <f>IFERROR(__xludf.DUMMYFUNCTION("""COMPUTED_VALUE"""),328.31)</f>
        <v>328.31</v>
      </c>
      <c r="F1290" s="1">
        <f>IFERROR(__xludf.DUMMYFUNCTION("""COMPUTED_VALUE"""),2.7665624E7)</f>
        <v>27665624</v>
      </c>
    </row>
    <row r="1291">
      <c r="A1291" s="2">
        <f>IFERROR(__xludf.DUMMYFUNCTION("""COMPUTED_VALUE"""),33261.666666666664)</f>
        <v>33261.66667</v>
      </c>
      <c r="B1291" s="1">
        <f>IFERROR(__xludf.DUMMYFUNCTION("""COMPUTED_VALUE"""),328.3)</f>
        <v>328.3</v>
      </c>
      <c r="C1291" s="1">
        <f>IFERROR(__xludf.DUMMYFUNCTION("""COMPUTED_VALUE"""),331.04)</f>
        <v>331.04</v>
      </c>
      <c r="D1291" s="1">
        <f>IFERROR(__xludf.DUMMYFUNCTION("""COMPUTED_VALUE"""),327.93)</f>
        <v>327.93</v>
      </c>
      <c r="E1291" s="1">
        <f>IFERROR(__xludf.DUMMYFUNCTION("""COMPUTED_VALUE"""),330.21)</f>
        <v>330.21</v>
      </c>
      <c r="F1291" s="1">
        <f>IFERROR(__xludf.DUMMYFUNCTION("""COMPUTED_VALUE"""),2.6346876E7)</f>
        <v>26346876</v>
      </c>
    </row>
    <row r="1292">
      <c r="A1292" s="2">
        <f>IFERROR(__xludf.DUMMYFUNCTION("""COMPUTED_VALUE"""),33262.666666666664)</f>
        <v>33262.66667</v>
      </c>
      <c r="B1292" s="1">
        <f>IFERROR(__xludf.DUMMYFUNCTION("""COMPUTED_VALUE"""),330.21)</f>
        <v>330.21</v>
      </c>
      <c r="C1292" s="1">
        <f>IFERROR(__xludf.DUMMYFUNCTION("""COMPUTED_VALUE"""),335.83)</f>
        <v>335.83</v>
      </c>
      <c r="D1292" s="1">
        <f>IFERROR(__xludf.DUMMYFUNCTION("""COMPUTED_VALUE"""),330.19)</f>
        <v>330.19</v>
      </c>
      <c r="E1292" s="1">
        <f>IFERROR(__xludf.DUMMYFUNCTION("""COMPUTED_VALUE"""),334.78)</f>
        <v>334.78</v>
      </c>
      <c r="F1292" s="1">
        <f>IFERROR(__xludf.DUMMYFUNCTION("""COMPUTED_VALUE"""),3.4867188E7)</f>
        <v>34867188</v>
      </c>
    </row>
    <row r="1293">
      <c r="A1293" s="2">
        <f>IFERROR(__xludf.DUMMYFUNCTION("""COMPUTED_VALUE"""),33263.666666666664)</f>
        <v>33263.66667</v>
      </c>
      <c r="B1293" s="1">
        <f>IFERROR(__xludf.DUMMYFUNCTION("""COMPUTED_VALUE"""),334.78)</f>
        <v>334.78</v>
      </c>
      <c r="C1293" s="1">
        <f>IFERROR(__xludf.DUMMYFUNCTION("""COMPUTED_VALUE"""),336.92)</f>
        <v>336.92</v>
      </c>
      <c r="D1293" s="1">
        <f>IFERROR(__xludf.DUMMYFUNCTION("""COMPUTED_VALUE"""),334.2)</f>
        <v>334.2</v>
      </c>
      <c r="E1293" s="1">
        <f>IFERROR(__xludf.DUMMYFUNCTION("""COMPUTED_VALUE"""),336.07)</f>
        <v>336.07</v>
      </c>
      <c r="F1293" s="1">
        <f>IFERROR(__xludf.DUMMYFUNCTION("""COMPUTED_VALUE"""),3.0367188E7)</f>
        <v>30367188</v>
      </c>
    </row>
    <row r="1294">
      <c r="A1294" s="2">
        <f>IFERROR(__xludf.DUMMYFUNCTION("""COMPUTED_VALUE"""),33266.666666666664)</f>
        <v>33266.66667</v>
      </c>
      <c r="B1294" s="1">
        <f>IFERROR(__xludf.DUMMYFUNCTION("""COMPUTED_VALUE"""),336.06)</f>
        <v>336.06</v>
      </c>
      <c r="C1294" s="1">
        <f>IFERROR(__xludf.DUMMYFUNCTION("""COMPUTED_VALUE"""),337.41)</f>
        <v>337.41</v>
      </c>
      <c r="D1294" s="1">
        <f>IFERROR(__xludf.DUMMYFUNCTION("""COMPUTED_VALUE"""),335.81)</f>
        <v>335.81</v>
      </c>
      <c r="E1294" s="1">
        <f>IFERROR(__xludf.DUMMYFUNCTION("""COMPUTED_VALUE"""),336.03)</f>
        <v>336.03</v>
      </c>
      <c r="F1294" s="1">
        <f>IFERROR(__xludf.DUMMYFUNCTION("""COMPUTED_VALUE"""),2.2073438E7)</f>
        <v>22073438</v>
      </c>
    </row>
    <row r="1295">
      <c r="A1295" s="2">
        <f>IFERROR(__xludf.DUMMYFUNCTION("""COMPUTED_VALUE"""),33267.666666666664)</f>
        <v>33267.66667</v>
      </c>
      <c r="B1295" s="1">
        <f>IFERROR(__xludf.DUMMYFUNCTION("""COMPUTED_VALUE"""),336.03)</f>
        <v>336.03</v>
      </c>
      <c r="C1295" s="1">
        <f>IFERROR(__xludf.DUMMYFUNCTION("""COMPUTED_VALUE"""),336.03)</f>
        <v>336.03</v>
      </c>
      <c r="D1295" s="1">
        <f>IFERROR(__xludf.DUMMYFUNCTION("""COMPUTED_VALUE"""),334.26)</f>
        <v>334.26</v>
      </c>
      <c r="E1295" s="1">
        <f>IFERROR(__xludf.DUMMYFUNCTION("""COMPUTED_VALUE"""),335.84)</f>
        <v>335.84</v>
      </c>
      <c r="F1295" s="1">
        <f>IFERROR(__xludf.DUMMYFUNCTION("""COMPUTED_VALUE"""),2.4334376E7)</f>
        <v>24334376</v>
      </c>
    </row>
    <row r="1296">
      <c r="A1296" s="2">
        <f>IFERROR(__xludf.DUMMYFUNCTION("""COMPUTED_VALUE"""),33268.666666666664)</f>
        <v>33268.66667</v>
      </c>
      <c r="B1296" s="1">
        <f>IFERROR(__xludf.DUMMYFUNCTION("""COMPUTED_VALUE"""),335.8)</f>
        <v>335.8</v>
      </c>
      <c r="C1296" s="1">
        <f>IFERROR(__xludf.DUMMYFUNCTION("""COMPUTED_VALUE"""),340.91)</f>
        <v>340.91</v>
      </c>
      <c r="D1296" s="1">
        <f>IFERROR(__xludf.DUMMYFUNCTION("""COMPUTED_VALUE"""),335.71)</f>
        <v>335.71</v>
      </c>
      <c r="E1296" s="1">
        <f>IFERROR(__xludf.DUMMYFUNCTION("""COMPUTED_VALUE"""),340.91)</f>
        <v>340.91</v>
      </c>
      <c r="F1296" s="1">
        <f>IFERROR(__xludf.DUMMYFUNCTION("""COMPUTED_VALUE"""),3.5435936E7)</f>
        <v>35435936</v>
      </c>
    </row>
    <row r="1297">
      <c r="A1297" s="2">
        <f>IFERROR(__xludf.DUMMYFUNCTION("""COMPUTED_VALUE"""),33269.666666666664)</f>
        <v>33269.66667</v>
      </c>
      <c r="B1297" s="1">
        <f>IFERROR(__xludf.DUMMYFUNCTION("""COMPUTED_VALUE"""),340.92)</f>
        <v>340.92</v>
      </c>
      <c r="C1297" s="1">
        <f>IFERROR(__xludf.DUMMYFUNCTION("""COMPUTED_VALUE"""),343.93)</f>
        <v>343.93</v>
      </c>
      <c r="D1297" s="1">
        <f>IFERROR(__xludf.DUMMYFUNCTION("""COMPUTED_VALUE"""),340.47)</f>
        <v>340.47</v>
      </c>
      <c r="E1297" s="1">
        <f>IFERROR(__xludf.DUMMYFUNCTION("""COMPUTED_VALUE"""),343.93)</f>
        <v>343.93</v>
      </c>
      <c r="F1297" s="1">
        <f>IFERROR(__xludf.DUMMYFUNCTION("""COMPUTED_VALUE"""),3.195625E7)</f>
        <v>31956250</v>
      </c>
    </row>
    <row r="1298">
      <c r="A1298" s="2">
        <f>IFERROR(__xludf.DUMMYFUNCTION("""COMPUTED_VALUE"""),33270.666666666664)</f>
        <v>33270.66667</v>
      </c>
      <c r="B1298" s="1">
        <f>IFERROR(__xludf.DUMMYFUNCTION("""COMPUTED_VALUE"""),343.91)</f>
        <v>343.91</v>
      </c>
      <c r="C1298" s="1">
        <f>IFERROR(__xludf.DUMMYFUNCTION("""COMPUTED_VALUE"""),344.9)</f>
        <v>344.9</v>
      </c>
      <c r="D1298" s="1">
        <f>IFERROR(__xludf.DUMMYFUNCTION("""COMPUTED_VALUE"""),340.37)</f>
        <v>340.37</v>
      </c>
      <c r="E1298" s="1">
        <f>IFERROR(__xludf.DUMMYFUNCTION("""COMPUTED_VALUE"""),343.05)</f>
        <v>343.05</v>
      </c>
      <c r="F1298" s="1">
        <f>IFERROR(__xludf.DUMMYFUNCTION("""COMPUTED_VALUE"""),3.8542188E7)</f>
        <v>38542188</v>
      </c>
    </row>
    <row r="1299">
      <c r="A1299" s="2">
        <f>IFERROR(__xludf.DUMMYFUNCTION("""COMPUTED_VALUE"""),33273.666666666664)</f>
        <v>33273.66667</v>
      </c>
      <c r="B1299" s="1">
        <f>IFERROR(__xludf.DUMMYFUNCTION("""COMPUTED_VALUE"""),343.05)</f>
        <v>343.05</v>
      </c>
      <c r="C1299" s="1">
        <f>IFERROR(__xludf.DUMMYFUNCTION("""COMPUTED_VALUE"""),348.71)</f>
        <v>348.71</v>
      </c>
      <c r="D1299" s="1">
        <f>IFERROR(__xludf.DUMMYFUNCTION("""COMPUTED_VALUE"""),342.96)</f>
        <v>342.96</v>
      </c>
      <c r="E1299" s="1">
        <f>IFERROR(__xludf.DUMMYFUNCTION("""COMPUTED_VALUE"""),348.34)</f>
        <v>348.34</v>
      </c>
      <c r="F1299" s="1">
        <f>IFERROR(__xludf.DUMMYFUNCTION("""COMPUTED_VALUE"""),3.9179688E7)</f>
        <v>39179688</v>
      </c>
    </row>
    <row r="1300">
      <c r="A1300" s="2">
        <f>IFERROR(__xludf.DUMMYFUNCTION("""COMPUTED_VALUE"""),33274.666666666664)</f>
        <v>33274.66667</v>
      </c>
      <c r="B1300" s="1">
        <f>IFERROR(__xludf.DUMMYFUNCTION("""COMPUTED_VALUE"""),348.34)</f>
        <v>348.34</v>
      </c>
      <c r="C1300" s="1">
        <f>IFERROR(__xludf.DUMMYFUNCTION("""COMPUTED_VALUE"""),351.84)</f>
        <v>351.84</v>
      </c>
      <c r="D1300" s="1">
        <f>IFERROR(__xludf.DUMMYFUNCTION("""COMPUTED_VALUE"""),347.21)</f>
        <v>347.21</v>
      </c>
      <c r="E1300" s="1">
        <f>IFERROR(__xludf.DUMMYFUNCTION("""COMPUTED_VALUE"""),351.26)</f>
        <v>351.26</v>
      </c>
      <c r="F1300" s="1">
        <f>IFERROR(__xludf.DUMMYFUNCTION("""COMPUTED_VALUE"""),4.5401564E7)</f>
        <v>45401564</v>
      </c>
    </row>
    <row r="1301">
      <c r="A1301" s="2">
        <f>IFERROR(__xludf.DUMMYFUNCTION("""COMPUTED_VALUE"""),33275.666666666664)</f>
        <v>33275.66667</v>
      </c>
      <c r="B1301" s="1">
        <f>IFERROR(__xludf.DUMMYFUNCTION("""COMPUTED_VALUE"""),351.26)</f>
        <v>351.26</v>
      </c>
      <c r="C1301" s="1">
        <f>IFERROR(__xludf.DUMMYFUNCTION("""COMPUTED_VALUE"""),358.07)</f>
        <v>358.07</v>
      </c>
      <c r="D1301" s="1">
        <f>IFERROR(__xludf.DUMMYFUNCTION("""COMPUTED_VALUE"""),349.58)</f>
        <v>349.58</v>
      </c>
      <c r="E1301" s="1">
        <f>IFERROR(__xludf.DUMMYFUNCTION("""COMPUTED_VALUE"""),358.07)</f>
        <v>358.07</v>
      </c>
      <c r="F1301" s="1">
        <f>IFERROR(__xludf.DUMMYFUNCTION("""COMPUTED_VALUE"""),4.3271876E7)</f>
        <v>43271876</v>
      </c>
    </row>
    <row r="1302">
      <c r="A1302" s="2">
        <f>IFERROR(__xludf.DUMMYFUNCTION("""COMPUTED_VALUE"""),33276.666666666664)</f>
        <v>33276.66667</v>
      </c>
      <c r="B1302" s="1">
        <f>IFERROR(__xludf.DUMMYFUNCTION("""COMPUTED_VALUE"""),358.07)</f>
        <v>358.07</v>
      </c>
      <c r="C1302" s="1">
        <f>IFERROR(__xludf.DUMMYFUNCTION("""COMPUTED_VALUE"""),363.43)</f>
        <v>363.43</v>
      </c>
      <c r="D1302" s="1">
        <f>IFERROR(__xludf.DUMMYFUNCTION("""COMPUTED_VALUE"""),355.53)</f>
        <v>355.53</v>
      </c>
      <c r="E1302" s="1">
        <f>IFERROR(__xludf.DUMMYFUNCTION("""COMPUTED_VALUE"""),356.52)</f>
        <v>356.52</v>
      </c>
      <c r="F1302" s="1">
        <f>IFERROR(__xludf.DUMMYFUNCTION("""COMPUTED_VALUE"""),4.5654688E7)</f>
        <v>45654688</v>
      </c>
    </row>
    <row r="1303">
      <c r="A1303" s="2">
        <f>IFERROR(__xludf.DUMMYFUNCTION("""COMPUTED_VALUE"""),33277.666666666664)</f>
        <v>33277.66667</v>
      </c>
      <c r="B1303" s="1">
        <f>IFERROR(__xludf.DUMMYFUNCTION("""COMPUTED_VALUE"""),356.52)</f>
        <v>356.52</v>
      </c>
      <c r="C1303" s="1">
        <f>IFERROR(__xludf.DUMMYFUNCTION("""COMPUTED_VALUE"""),359.35)</f>
        <v>359.35</v>
      </c>
      <c r="D1303" s="1">
        <f>IFERROR(__xludf.DUMMYFUNCTION("""COMPUTED_VALUE"""),356.02)</f>
        <v>356.02</v>
      </c>
      <c r="E1303" s="1">
        <f>IFERROR(__xludf.DUMMYFUNCTION("""COMPUTED_VALUE"""),359.35)</f>
        <v>359.35</v>
      </c>
      <c r="F1303" s="1">
        <f>IFERROR(__xludf.DUMMYFUNCTION("""COMPUTED_VALUE"""),2.9348438E7)</f>
        <v>29348438</v>
      </c>
    </row>
    <row r="1304">
      <c r="A1304" s="2">
        <f>IFERROR(__xludf.DUMMYFUNCTION("""COMPUTED_VALUE"""),33280.666666666664)</f>
        <v>33280.66667</v>
      </c>
      <c r="B1304" s="1">
        <f>IFERROR(__xludf.DUMMYFUNCTION("""COMPUTED_VALUE"""),359.36)</f>
        <v>359.36</v>
      </c>
      <c r="C1304" s="1">
        <f>IFERROR(__xludf.DUMMYFUNCTION("""COMPUTED_VALUE"""),368.58)</f>
        <v>368.58</v>
      </c>
      <c r="D1304" s="1">
        <f>IFERROR(__xludf.DUMMYFUNCTION("""COMPUTED_VALUE"""),359.32)</f>
        <v>359.32</v>
      </c>
      <c r="E1304" s="1">
        <f>IFERROR(__xludf.DUMMYFUNCTION("""COMPUTED_VALUE"""),368.58)</f>
        <v>368.58</v>
      </c>
      <c r="F1304" s="1">
        <f>IFERROR(__xludf.DUMMYFUNCTION("""COMPUTED_VALUE"""),4.1460936E7)</f>
        <v>41460936</v>
      </c>
    </row>
    <row r="1305">
      <c r="A1305" s="2">
        <f>IFERROR(__xludf.DUMMYFUNCTION("""COMPUTED_VALUE"""),33281.666666666664)</f>
        <v>33281.66667</v>
      </c>
      <c r="B1305" s="1">
        <f>IFERROR(__xludf.DUMMYFUNCTION("""COMPUTED_VALUE"""),368.58)</f>
        <v>368.58</v>
      </c>
      <c r="C1305" s="1">
        <f>IFERROR(__xludf.DUMMYFUNCTION("""COMPUTED_VALUE"""),370.54)</f>
        <v>370.54</v>
      </c>
      <c r="D1305" s="1">
        <f>IFERROR(__xludf.DUMMYFUNCTION("""COMPUTED_VALUE"""),365.5)</f>
        <v>365.5</v>
      </c>
      <c r="E1305" s="1">
        <f>IFERROR(__xludf.DUMMYFUNCTION("""COMPUTED_VALUE"""),365.5)</f>
        <v>365.5</v>
      </c>
      <c r="F1305" s="1">
        <f>IFERROR(__xludf.DUMMYFUNCTION("""COMPUTED_VALUE"""),4.0025E7)</f>
        <v>40025000</v>
      </c>
    </row>
    <row r="1306">
      <c r="A1306" s="2">
        <f>IFERROR(__xludf.DUMMYFUNCTION("""COMPUTED_VALUE"""),33282.666666666664)</f>
        <v>33282.66667</v>
      </c>
      <c r="B1306" s="1">
        <f>IFERROR(__xludf.DUMMYFUNCTION("""COMPUTED_VALUE"""),365.5)</f>
        <v>365.5</v>
      </c>
      <c r="C1306" s="1">
        <f>IFERROR(__xludf.DUMMYFUNCTION("""COMPUTED_VALUE"""),369.49)</f>
        <v>369.49</v>
      </c>
      <c r="D1306" s="1">
        <f>IFERROR(__xludf.DUMMYFUNCTION("""COMPUTED_VALUE"""),364.64)</f>
        <v>364.64</v>
      </c>
      <c r="E1306" s="1">
        <f>IFERROR(__xludf.DUMMYFUNCTION("""COMPUTED_VALUE"""),369.02)</f>
        <v>369.02</v>
      </c>
      <c r="F1306" s="1">
        <f>IFERROR(__xludf.DUMMYFUNCTION("""COMPUTED_VALUE"""),3.280625E7)</f>
        <v>32806250</v>
      </c>
    </row>
    <row r="1307">
      <c r="A1307" s="2">
        <f>IFERROR(__xludf.DUMMYFUNCTION("""COMPUTED_VALUE"""),33283.666666666664)</f>
        <v>33283.66667</v>
      </c>
      <c r="B1307" s="1">
        <f>IFERROR(__xludf.DUMMYFUNCTION("""COMPUTED_VALUE"""),369.02)</f>
        <v>369.02</v>
      </c>
      <c r="C1307" s="1">
        <f>IFERROR(__xludf.DUMMYFUNCTION("""COMPUTED_VALUE"""),370.26)</f>
        <v>370.26</v>
      </c>
      <c r="D1307" s="1">
        <f>IFERROR(__xludf.DUMMYFUNCTION("""COMPUTED_VALUE"""),362.77)</f>
        <v>362.77</v>
      </c>
      <c r="E1307" s="1">
        <f>IFERROR(__xludf.DUMMYFUNCTION("""COMPUTED_VALUE"""),364.22)</f>
        <v>364.22</v>
      </c>
      <c r="F1307" s="1">
        <f>IFERROR(__xludf.DUMMYFUNCTION("""COMPUTED_VALUE"""),3.6054688E7)</f>
        <v>36054688</v>
      </c>
    </row>
    <row r="1308">
      <c r="A1308" s="2">
        <f>IFERROR(__xludf.DUMMYFUNCTION("""COMPUTED_VALUE"""),33284.666666666664)</f>
        <v>33284.66667</v>
      </c>
      <c r="B1308" s="1">
        <f>IFERROR(__xludf.DUMMYFUNCTION("""COMPUTED_VALUE"""),364.23)</f>
        <v>364.23</v>
      </c>
      <c r="C1308" s="1">
        <f>IFERROR(__xludf.DUMMYFUNCTION("""COMPUTED_VALUE"""),369.49)</f>
        <v>369.49</v>
      </c>
      <c r="D1308" s="1">
        <f>IFERROR(__xludf.DUMMYFUNCTION("""COMPUTED_VALUE"""),364.23)</f>
        <v>364.23</v>
      </c>
      <c r="E1308" s="1">
        <f>IFERROR(__xludf.DUMMYFUNCTION("""COMPUTED_VALUE"""),369.06)</f>
        <v>369.06</v>
      </c>
      <c r="F1308" s="1">
        <f>IFERROR(__xludf.DUMMYFUNCTION("""COMPUTED_VALUE"""),3.57E7)</f>
        <v>35700000</v>
      </c>
    </row>
    <row r="1309">
      <c r="A1309" s="2">
        <f>IFERROR(__xludf.DUMMYFUNCTION("""COMPUTED_VALUE"""),33288.666666666664)</f>
        <v>33288.66667</v>
      </c>
      <c r="B1309" s="1">
        <f>IFERROR(__xludf.DUMMYFUNCTION("""COMPUTED_VALUE"""),369.06)</f>
        <v>369.06</v>
      </c>
      <c r="C1309" s="1">
        <f>IFERROR(__xludf.DUMMYFUNCTION("""COMPUTED_VALUE"""),370.11)</f>
        <v>370.11</v>
      </c>
      <c r="D1309" s="1">
        <f>IFERROR(__xludf.DUMMYFUNCTION("""COMPUTED_VALUE"""),367.05)</f>
        <v>367.05</v>
      </c>
      <c r="E1309" s="1">
        <f>IFERROR(__xludf.DUMMYFUNCTION("""COMPUTED_VALUE"""),369.39)</f>
        <v>369.39</v>
      </c>
      <c r="F1309" s="1">
        <f>IFERROR(__xludf.DUMMYFUNCTION("""COMPUTED_VALUE"""),2.9671876E7)</f>
        <v>29671876</v>
      </c>
    </row>
    <row r="1310">
      <c r="A1310" s="2">
        <f>IFERROR(__xludf.DUMMYFUNCTION("""COMPUTED_VALUE"""),33289.666666666664)</f>
        <v>33289.66667</v>
      </c>
      <c r="B1310" s="1">
        <f>IFERROR(__xludf.DUMMYFUNCTION("""COMPUTED_VALUE"""),369.37)</f>
        <v>369.37</v>
      </c>
      <c r="C1310" s="1">
        <f>IFERROR(__xludf.DUMMYFUNCTION("""COMPUTED_VALUE"""),369.37)</f>
        <v>369.37</v>
      </c>
      <c r="D1310" s="1">
        <f>IFERROR(__xludf.DUMMYFUNCTION("""COMPUTED_VALUE"""),364.38)</f>
        <v>364.38</v>
      </c>
      <c r="E1310" s="1">
        <f>IFERROR(__xludf.DUMMYFUNCTION("""COMPUTED_VALUE"""),365.14)</f>
        <v>365.14</v>
      </c>
      <c r="F1310" s="1">
        <f>IFERROR(__xludf.DUMMYFUNCTION("""COMPUTED_VALUE"""),2.90125E7)</f>
        <v>29012500</v>
      </c>
    </row>
    <row r="1311">
      <c r="A1311" s="2">
        <f>IFERROR(__xludf.DUMMYFUNCTION("""COMPUTED_VALUE"""),33290.666666666664)</f>
        <v>33290.66667</v>
      </c>
      <c r="B1311" s="1">
        <f>IFERROR(__xludf.DUMMYFUNCTION("""COMPUTED_VALUE"""),365.14)</f>
        <v>365.14</v>
      </c>
      <c r="C1311" s="1">
        <f>IFERROR(__xludf.DUMMYFUNCTION("""COMPUTED_VALUE"""),366.79)</f>
        <v>366.79</v>
      </c>
      <c r="D1311" s="1">
        <f>IFERROR(__xludf.DUMMYFUNCTION("""COMPUTED_VALUE"""),364.5)</f>
        <v>364.5</v>
      </c>
      <c r="E1311" s="1">
        <f>IFERROR(__xludf.DUMMYFUNCTION("""COMPUTED_VALUE"""),364.97)</f>
        <v>364.97</v>
      </c>
      <c r="F1311" s="1">
        <f>IFERROR(__xludf.DUMMYFUNCTION("""COMPUTED_VALUE"""),2.8245312E7)</f>
        <v>28245312</v>
      </c>
    </row>
    <row r="1312">
      <c r="A1312" s="2">
        <f>IFERROR(__xludf.DUMMYFUNCTION("""COMPUTED_VALUE"""),33291.666666666664)</f>
        <v>33291.66667</v>
      </c>
      <c r="B1312" s="1">
        <f>IFERROR(__xludf.DUMMYFUNCTION("""COMPUTED_VALUE"""),364.97)</f>
        <v>364.97</v>
      </c>
      <c r="C1312" s="1">
        <f>IFERROR(__xludf.DUMMYFUNCTION("""COMPUTED_VALUE"""),370.96)</f>
        <v>370.96</v>
      </c>
      <c r="D1312" s="1">
        <f>IFERROR(__xludf.DUMMYFUNCTION("""COMPUTED_VALUE"""),364.23)</f>
        <v>364.23</v>
      </c>
      <c r="E1312" s="1">
        <f>IFERROR(__xludf.DUMMYFUNCTION("""COMPUTED_VALUE"""),365.65)</f>
        <v>365.65</v>
      </c>
      <c r="F1312" s="1">
        <f>IFERROR(__xludf.DUMMYFUNCTION("""COMPUTED_VALUE"""),3.4181248E7)</f>
        <v>34181248</v>
      </c>
    </row>
    <row r="1313">
      <c r="A1313" s="2">
        <f>IFERROR(__xludf.DUMMYFUNCTION("""COMPUTED_VALUE"""),33294.666666666664)</f>
        <v>33294.66667</v>
      </c>
      <c r="B1313" s="1">
        <f>IFERROR(__xludf.DUMMYFUNCTION("""COMPUTED_VALUE"""),365.65)</f>
        <v>365.65</v>
      </c>
      <c r="C1313" s="1">
        <f>IFERROR(__xludf.DUMMYFUNCTION("""COMPUTED_VALUE"""),370.19)</f>
        <v>370.19</v>
      </c>
      <c r="D1313" s="1">
        <f>IFERROR(__xludf.DUMMYFUNCTION("""COMPUTED_VALUE"""),365.16)</f>
        <v>365.16</v>
      </c>
      <c r="E1313" s="1">
        <f>IFERROR(__xludf.DUMMYFUNCTION("""COMPUTED_VALUE"""),367.26)</f>
        <v>367.26</v>
      </c>
      <c r="F1313" s="1">
        <f>IFERROR(__xludf.DUMMYFUNCTION("""COMPUTED_VALUE"""),3.0284376E7)</f>
        <v>30284376</v>
      </c>
    </row>
    <row r="1314">
      <c r="A1314" s="2">
        <f>IFERROR(__xludf.DUMMYFUNCTION("""COMPUTED_VALUE"""),33295.666666666664)</f>
        <v>33295.66667</v>
      </c>
      <c r="B1314" s="1">
        <f>IFERROR(__xludf.DUMMYFUNCTION("""COMPUTED_VALUE"""),367.26)</f>
        <v>367.26</v>
      </c>
      <c r="C1314" s="1">
        <f>IFERROR(__xludf.DUMMYFUNCTION("""COMPUTED_VALUE"""),367.26)</f>
        <v>367.26</v>
      </c>
      <c r="D1314" s="1">
        <f>IFERROR(__xludf.DUMMYFUNCTION("""COMPUTED_VALUE"""),362.19)</f>
        <v>362.19</v>
      </c>
      <c r="E1314" s="1">
        <f>IFERROR(__xludf.DUMMYFUNCTION("""COMPUTED_VALUE"""),362.81)</f>
        <v>362.81</v>
      </c>
      <c r="F1314" s="1">
        <f>IFERROR(__xludf.DUMMYFUNCTION("""COMPUTED_VALUE"""),2.5651562E7)</f>
        <v>25651562</v>
      </c>
    </row>
    <row r="1315">
      <c r="A1315" s="2">
        <f>IFERROR(__xludf.DUMMYFUNCTION("""COMPUTED_VALUE"""),33296.666666666664)</f>
        <v>33296.66667</v>
      </c>
      <c r="B1315" s="1">
        <f>IFERROR(__xludf.DUMMYFUNCTION("""COMPUTED_VALUE"""),362.81)</f>
        <v>362.81</v>
      </c>
      <c r="C1315" s="1">
        <f>IFERROR(__xludf.DUMMYFUNCTION("""COMPUTED_VALUE"""),368.38)</f>
        <v>368.38</v>
      </c>
      <c r="D1315" s="1">
        <f>IFERROR(__xludf.DUMMYFUNCTION("""COMPUTED_VALUE"""),362.81)</f>
        <v>362.81</v>
      </c>
      <c r="E1315" s="1">
        <f>IFERROR(__xludf.DUMMYFUNCTION("""COMPUTED_VALUE"""),367.74)</f>
        <v>367.74</v>
      </c>
      <c r="F1315" s="1">
        <f>IFERROR(__xludf.DUMMYFUNCTION("""COMPUTED_VALUE"""),3.3032812E7)</f>
        <v>33032812</v>
      </c>
    </row>
    <row r="1316">
      <c r="A1316" s="2">
        <f>IFERROR(__xludf.DUMMYFUNCTION("""COMPUTED_VALUE"""),33297.666666666664)</f>
        <v>33297.66667</v>
      </c>
      <c r="B1316" s="1">
        <f>IFERROR(__xludf.DUMMYFUNCTION("""COMPUTED_VALUE"""),367.73)</f>
        <v>367.73</v>
      </c>
      <c r="C1316" s="1">
        <f>IFERROR(__xludf.DUMMYFUNCTION("""COMPUTED_VALUE"""),369.91)</f>
        <v>369.91</v>
      </c>
      <c r="D1316" s="1">
        <f>IFERROR(__xludf.DUMMYFUNCTION("""COMPUTED_VALUE"""),365.95)</f>
        <v>365.95</v>
      </c>
      <c r="E1316" s="1">
        <f>IFERROR(__xludf.DUMMYFUNCTION("""COMPUTED_VALUE"""),367.07)</f>
        <v>367.07</v>
      </c>
      <c r="F1316" s="1">
        <f>IFERROR(__xludf.DUMMYFUNCTION("""COMPUTED_VALUE"""),3.4845312E7)</f>
        <v>34845312</v>
      </c>
    </row>
    <row r="1317">
      <c r="A1317" s="2">
        <f>IFERROR(__xludf.DUMMYFUNCTION("""COMPUTED_VALUE"""),33298.666666666664)</f>
        <v>33298.66667</v>
      </c>
      <c r="B1317" s="1">
        <f>IFERROR(__xludf.DUMMYFUNCTION("""COMPUTED_VALUE"""),367.07)</f>
        <v>367.07</v>
      </c>
      <c r="C1317" s="1">
        <f>IFERROR(__xludf.DUMMYFUNCTION("""COMPUTED_VALUE"""),370.47)</f>
        <v>370.47</v>
      </c>
      <c r="D1317" s="1">
        <f>IFERROR(__xludf.DUMMYFUNCTION("""COMPUTED_VALUE"""),363.73)</f>
        <v>363.73</v>
      </c>
      <c r="E1317" s="1">
        <f>IFERROR(__xludf.DUMMYFUNCTION("""COMPUTED_VALUE"""),370.47)</f>
        <v>370.47</v>
      </c>
      <c r="F1317" s="1">
        <f>IFERROR(__xludf.DUMMYFUNCTION("""COMPUTED_VALUE"""),3.4610936E7)</f>
        <v>34610936</v>
      </c>
    </row>
    <row r="1318">
      <c r="A1318" s="2">
        <f>IFERROR(__xludf.DUMMYFUNCTION("""COMPUTED_VALUE"""),33301.666666666664)</f>
        <v>33301.66667</v>
      </c>
      <c r="B1318" s="1">
        <f>IFERROR(__xludf.DUMMYFUNCTION("""COMPUTED_VALUE"""),370.47)</f>
        <v>370.47</v>
      </c>
      <c r="C1318" s="1">
        <f>IFERROR(__xludf.DUMMYFUNCTION("""COMPUTED_VALUE"""),371.99)</f>
        <v>371.99</v>
      </c>
      <c r="D1318" s="1">
        <f>IFERROR(__xludf.DUMMYFUNCTION("""COMPUTED_VALUE"""),369.07)</f>
        <v>369.07</v>
      </c>
      <c r="E1318" s="1">
        <f>IFERROR(__xludf.DUMMYFUNCTION("""COMPUTED_VALUE"""),369.33)</f>
        <v>369.33</v>
      </c>
      <c r="F1318" s="1">
        <f>IFERROR(__xludf.DUMMYFUNCTION("""COMPUTED_VALUE"""),3.1223438E7)</f>
        <v>31223438</v>
      </c>
    </row>
    <row r="1319">
      <c r="A1319" s="2">
        <f>IFERROR(__xludf.DUMMYFUNCTION("""COMPUTED_VALUE"""),33302.666666666664)</f>
        <v>33302.66667</v>
      </c>
      <c r="B1319" s="1">
        <f>IFERROR(__xludf.DUMMYFUNCTION("""COMPUTED_VALUE"""),369.33)</f>
        <v>369.33</v>
      </c>
      <c r="C1319" s="1">
        <f>IFERROR(__xludf.DUMMYFUNCTION("""COMPUTED_VALUE"""),377.89)</f>
        <v>377.89</v>
      </c>
      <c r="D1319" s="1">
        <f>IFERROR(__xludf.DUMMYFUNCTION("""COMPUTED_VALUE"""),369.33)</f>
        <v>369.33</v>
      </c>
      <c r="E1319" s="1">
        <f>IFERROR(__xludf.DUMMYFUNCTION("""COMPUTED_VALUE"""),376.72)</f>
        <v>376.72</v>
      </c>
      <c r="F1319" s="1">
        <f>IFERROR(__xludf.DUMMYFUNCTION("""COMPUTED_VALUE"""),3.9640624E7)</f>
        <v>39640624</v>
      </c>
    </row>
    <row r="1320">
      <c r="A1320" s="2">
        <f>IFERROR(__xludf.DUMMYFUNCTION("""COMPUTED_VALUE"""),33303.666666666664)</f>
        <v>33303.66667</v>
      </c>
      <c r="B1320" s="1">
        <f>IFERROR(__xludf.DUMMYFUNCTION("""COMPUTED_VALUE"""),376.72)</f>
        <v>376.72</v>
      </c>
      <c r="C1320" s="1">
        <f>IFERROR(__xludf.DUMMYFUNCTION("""COMPUTED_VALUE"""),379.66)</f>
        <v>379.66</v>
      </c>
      <c r="D1320" s="1">
        <f>IFERROR(__xludf.DUMMYFUNCTION("""COMPUTED_VALUE"""),375.02)</f>
        <v>375.02</v>
      </c>
      <c r="E1320" s="1">
        <f>IFERROR(__xludf.DUMMYFUNCTION("""COMPUTED_VALUE"""),376.17)</f>
        <v>376.17</v>
      </c>
      <c r="F1320" s="1">
        <f>IFERROR(__xludf.DUMMYFUNCTION("""COMPUTED_VALUE"""),4.0982812E7)</f>
        <v>40982812</v>
      </c>
    </row>
    <row r="1321">
      <c r="A1321" s="2">
        <f>IFERROR(__xludf.DUMMYFUNCTION("""COMPUTED_VALUE"""),33304.666666666664)</f>
        <v>33304.66667</v>
      </c>
      <c r="B1321" s="1">
        <f>IFERROR(__xludf.DUMMYFUNCTION("""COMPUTED_VALUE"""),376.16)</f>
        <v>376.16</v>
      </c>
      <c r="C1321" s="1">
        <f>IFERROR(__xludf.DUMMYFUNCTION("""COMPUTED_VALUE"""),377.49)</f>
        <v>377.49</v>
      </c>
      <c r="D1321" s="1">
        <f>IFERROR(__xludf.DUMMYFUNCTION("""COMPUTED_VALUE"""),375.58)</f>
        <v>375.58</v>
      </c>
      <c r="E1321" s="1">
        <f>IFERROR(__xludf.DUMMYFUNCTION("""COMPUTED_VALUE"""),375.91)</f>
        <v>375.91</v>
      </c>
      <c r="F1321" s="1">
        <f>IFERROR(__xludf.DUMMYFUNCTION("""COMPUTED_VALUE"""),3.0790624E7)</f>
        <v>30790624</v>
      </c>
    </row>
    <row r="1322">
      <c r="A1322" s="2">
        <f>IFERROR(__xludf.DUMMYFUNCTION("""COMPUTED_VALUE"""),33305.666666666664)</f>
        <v>33305.66667</v>
      </c>
      <c r="B1322" s="1">
        <f>IFERROR(__xludf.DUMMYFUNCTION("""COMPUTED_VALUE"""),375.91)</f>
        <v>375.91</v>
      </c>
      <c r="C1322" s="1">
        <f>IFERROR(__xludf.DUMMYFUNCTION("""COMPUTED_VALUE"""),378.69)</f>
        <v>378.69</v>
      </c>
      <c r="D1322" s="1">
        <f>IFERROR(__xludf.DUMMYFUNCTION("""COMPUTED_VALUE"""),374.43)</f>
        <v>374.43</v>
      </c>
      <c r="E1322" s="1">
        <f>IFERROR(__xludf.DUMMYFUNCTION("""COMPUTED_VALUE"""),374.95)</f>
        <v>374.95</v>
      </c>
      <c r="F1322" s="1">
        <f>IFERROR(__xludf.DUMMYFUNCTION("""COMPUTED_VALUE"""),3.2320312E7)</f>
        <v>32320312</v>
      </c>
    </row>
    <row r="1323">
      <c r="A1323" s="2">
        <f>IFERROR(__xludf.DUMMYFUNCTION("""COMPUTED_VALUE"""),33308.666666666664)</f>
        <v>33308.66667</v>
      </c>
      <c r="B1323" s="1">
        <f>IFERROR(__xludf.DUMMYFUNCTION("""COMPUTED_VALUE"""),374.94)</f>
        <v>374.94</v>
      </c>
      <c r="C1323" s="1">
        <f>IFERROR(__xludf.DUMMYFUNCTION("""COMPUTED_VALUE"""),375.1)</f>
        <v>375.1</v>
      </c>
      <c r="D1323" s="1">
        <f>IFERROR(__xludf.DUMMYFUNCTION("""COMPUTED_VALUE"""),372.52)</f>
        <v>372.52</v>
      </c>
      <c r="E1323" s="1">
        <f>IFERROR(__xludf.DUMMYFUNCTION("""COMPUTED_VALUE"""),372.96)</f>
        <v>372.96</v>
      </c>
      <c r="F1323" s="1">
        <f>IFERROR(__xludf.DUMMYFUNCTION("""COMPUTED_VALUE"""),2.525E7)</f>
        <v>25250000</v>
      </c>
    </row>
    <row r="1324">
      <c r="A1324" s="2">
        <f>IFERROR(__xludf.DUMMYFUNCTION("""COMPUTED_VALUE"""),33309.666666666664)</f>
        <v>33309.66667</v>
      </c>
      <c r="B1324" s="1">
        <f>IFERROR(__xludf.DUMMYFUNCTION("""COMPUTED_VALUE"""),372.96)</f>
        <v>372.96</v>
      </c>
      <c r="C1324" s="1">
        <f>IFERROR(__xludf.DUMMYFUNCTION("""COMPUTED_VALUE"""),374.35)</f>
        <v>374.35</v>
      </c>
      <c r="D1324" s="1">
        <f>IFERROR(__xludf.DUMMYFUNCTION("""COMPUTED_VALUE"""),369.55)</f>
        <v>369.55</v>
      </c>
      <c r="E1324" s="1">
        <f>IFERROR(__xludf.DUMMYFUNCTION("""COMPUTED_VALUE"""),370.03)</f>
        <v>370.03</v>
      </c>
      <c r="F1324" s="1">
        <f>IFERROR(__xludf.DUMMYFUNCTION("""COMPUTED_VALUE"""),2.756875E7)</f>
        <v>27568750</v>
      </c>
    </row>
    <row r="1325">
      <c r="A1325" s="2">
        <f>IFERROR(__xludf.DUMMYFUNCTION("""COMPUTED_VALUE"""),33310.666666666664)</f>
        <v>33310.66667</v>
      </c>
      <c r="B1325" s="1">
        <f>IFERROR(__xludf.DUMMYFUNCTION("""COMPUTED_VALUE"""),370.03)</f>
        <v>370.03</v>
      </c>
      <c r="C1325" s="1">
        <f>IFERROR(__xludf.DUMMYFUNCTION("""COMPUTED_VALUE"""),374.65)</f>
        <v>374.65</v>
      </c>
      <c r="D1325" s="1">
        <f>IFERROR(__xludf.DUMMYFUNCTION("""COMPUTED_VALUE"""),370.03)</f>
        <v>370.03</v>
      </c>
      <c r="E1325" s="1">
        <f>IFERROR(__xludf.DUMMYFUNCTION("""COMPUTED_VALUE"""),374.57)</f>
        <v>374.57</v>
      </c>
      <c r="F1325" s="1">
        <f>IFERROR(__xludf.DUMMYFUNCTION("""COMPUTED_VALUE"""),2.75E7)</f>
        <v>27500000</v>
      </c>
    </row>
    <row r="1326">
      <c r="A1326" s="2">
        <f>IFERROR(__xludf.DUMMYFUNCTION("""COMPUTED_VALUE"""),33311.666666666664)</f>
        <v>33311.66667</v>
      </c>
      <c r="B1326" s="1">
        <f>IFERROR(__xludf.DUMMYFUNCTION("""COMPUTED_VALUE"""),374.59)</f>
        <v>374.59</v>
      </c>
      <c r="C1326" s="1">
        <f>IFERROR(__xludf.DUMMYFUNCTION("""COMPUTED_VALUE"""),378.28)</f>
        <v>378.28</v>
      </c>
      <c r="D1326" s="1">
        <f>IFERROR(__xludf.DUMMYFUNCTION("""COMPUTED_VALUE"""),371.76)</f>
        <v>371.76</v>
      </c>
      <c r="E1326" s="1">
        <f>IFERROR(__xludf.DUMMYFUNCTION("""COMPUTED_VALUE"""),373.5)</f>
        <v>373.5</v>
      </c>
      <c r="F1326" s="1">
        <f>IFERROR(__xludf.DUMMYFUNCTION("""COMPUTED_VALUE"""),3.6260936E7)</f>
        <v>36260936</v>
      </c>
    </row>
    <row r="1327">
      <c r="A1327" s="2">
        <f>IFERROR(__xludf.DUMMYFUNCTION("""COMPUTED_VALUE"""),33312.666666666664)</f>
        <v>33312.66667</v>
      </c>
      <c r="B1327" s="1">
        <f>IFERROR(__xludf.DUMMYFUNCTION("""COMPUTED_VALUE"""),373.5)</f>
        <v>373.5</v>
      </c>
      <c r="C1327" s="1">
        <f>IFERROR(__xludf.DUMMYFUNCTION("""COMPUTED_VALUE"""),374.58)</f>
        <v>374.58</v>
      </c>
      <c r="D1327" s="1">
        <f>IFERROR(__xludf.DUMMYFUNCTION("""COMPUTED_VALUE"""),370.21)</f>
        <v>370.21</v>
      </c>
      <c r="E1327" s="1">
        <f>IFERROR(__xludf.DUMMYFUNCTION("""COMPUTED_VALUE"""),373.59)</f>
        <v>373.59</v>
      </c>
      <c r="F1327" s="1">
        <f>IFERROR(__xludf.DUMMYFUNCTION("""COMPUTED_VALUE"""),3.7132812E7)</f>
        <v>37132812</v>
      </c>
    </row>
    <row r="1328">
      <c r="A1328" s="2">
        <f>IFERROR(__xludf.DUMMYFUNCTION("""COMPUTED_VALUE"""),33315.666666666664)</f>
        <v>33315.66667</v>
      </c>
      <c r="B1328" s="1">
        <f>IFERROR(__xludf.DUMMYFUNCTION("""COMPUTED_VALUE"""),373.59)</f>
        <v>373.59</v>
      </c>
      <c r="C1328" s="1">
        <f>IFERROR(__xludf.DUMMYFUNCTION("""COMPUTED_VALUE"""),374.09)</f>
        <v>374.09</v>
      </c>
      <c r="D1328" s="1">
        <f>IFERROR(__xludf.DUMMYFUNCTION("""COMPUTED_VALUE"""),369.46)</f>
        <v>369.46</v>
      </c>
      <c r="E1328" s="1">
        <f>IFERROR(__xludf.DUMMYFUNCTION("""COMPUTED_VALUE"""),372.11)</f>
        <v>372.11</v>
      </c>
      <c r="F1328" s="1">
        <f>IFERROR(__xludf.DUMMYFUNCTION("""COMPUTED_VALUE"""),2.5484376E7)</f>
        <v>25484376</v>
      </c>
    </row>
    <row r="1329">
      <c r="A1329" s="2">
        <f>IFERROR(__xludf.DUMMYFUNCTION("""COMPUTED_VALUE"""),33316.666666666664)</f>
        <v>33316.66667</v>
      </c>
      <c r="B1329" s="1">
        <f>IFERROR(__xludf.DUMMYFUNCTION("""COMPUTED_VALUE"""),372.11)</f>
        <v>372.11</v>
      </c>
      <c r="C1329" s="1">
        <f>IFERROR(__xludf.DUMMYFUNCTION("""COMPUTED_VALUE"""),372.11)</f>
        <v>372.11</v>
      </c>
      <c r="D1329" s="1">
        <f>IFERROR(__xludf.DUMMYFUNCTION("""COMPUTED_VALUE"""),366.54)</f>
        <v>366.54</v>
      </c>
      <c r="E1329" s="1">
        <f>IFERROR(__xludf.DUMMYFUNCTION("""COMPUTED_VALUE"""),366.59)</f>
        <v>366.59</v>
      </c>
      <c r="F1329" s="1">
        <f>IFERROR(__xludf.DUMMYFUNCTION("""COMPUTED_VALUE"""),2.7667188E7)</f>
        <v>27667188</v>
      </c>
    </row>
    <row r="1330">
      <c r="A1330" s="2">
        <f>IFERROR(__xludf.DUMMYFUNCTION("""COMPUTED_VALUE"""),33317.666666666664)</f>
        <v>33317.66667</v>
      </c>
      <c r="B1330" s="1">
        <f>IFERROR(__xludf.DUMMYFUNCTION("""COMPUTED_VALUE"""),366.59)</f>
        <v>366.59</v>
      </c>
      <c r="C1330" s="1">
        <f>IFERROR(__xludf.DUMMYFUNCTION("""COMPUTED_VALUE"""),368.85)</f>
        <v>368.85</v>
      </c>
      <c r="D1330" s="1">
        <f>IFERROR(__xludf.DUMMYFUNCTION("""COMPUTED_VALUE"""),365.8)</f>
        <v>365.8</v>
      </c>
      <c r="E1330" s="1">
        <f>IFERROR(__xludf.DUMMYFUNCTION("""COMPUTED_VALUE"""),367.92)</f>
        <v>367.92</v>
      </c>
      <c r="F1330" s="1">
        <f>IFERROR(__xludf.DUMMYFUNCTION("""COMPUTED_VALUE"""),3.0751562E7)</f>
        <v>30751562</v>
      </c>
    </row>
    <row r="1331">
      <c r="A1331" s="2">
        <f>IFERROR(__xludf.DUMMYFUNCTION("""COMPUTED_VALUE"""),33318.666666666664)</f>
        <v>33318.66667</v>
      </c>
      <c r="B1331" s="1">
        <f>IFERROR(__xludf.DUMMYFUNCTION("""COMPUTED_VALUE"""),367.94)</f>
        <v>367.94</v>
      </c>
      <c r="C1331" s="1">
        <f>IFERROR(__xludf.DUMMYFUNCTION("""COMPUTED_VALUE"""),371.01)</f>
        <v>371.01</v>
      </c>
      <c r="D1331" s="1">
        <f>IFERROR(__xludf.DUMMYFUNCTION("""COMPUTED_VALUE"""),366.51)</f>
        <v>366.51</v>
      </c>
      <c r="E1331" s="1">
        <f>IFERROR(__xludf.DUMMYFUNCTION("""COMPUTED_VALUE"""),366.58)</f>
        <v>366.58</v>
      </c>
      <c r="F1331" s="1">
        <f>IFERROR(__xludf.DUMMYFUNCTION("""COMPUTED_VALUE"""),3.1223438E7)</f>
        <v>31223438</v>
      </c>
    </row>
    <row r="1332">
      <c r="A1332" s="2">
        <f>IFERROR(__xludf.DUMMYFUNCTION("""COMPUTED_VALUE"""),33319.666666666664)</f>
        <v>33319.66667</v>
      </c>
      <c r="B1332" s="1">
        <f>IFERROR(__xludf.DUMMYFUNCTION("""COMPUTED_VALUE"""),366.58)</f>
        <v>366.58</v>
      </c>
      <c r="C1332" s="1">
        <f>IFERROR(__xludf.DUMMYFUNCTION("""COMPUTED_VALUE"""),368.22)</f>
        <v>368.22</v>
      </c>
      <c r="D1332" s="1">
        <f>IFERROR(__xludf.DUMMYFUNCTION("""COMPUTED_VALUE"""),365.58)</f>
        <v>365.58</v>
      </c>
      <c r="E1332" s="1">
        <f>IFERROR(__xludf.DUMMYFUNCTION("""COMPUTED_VALUE"""),367.48)</f>
        <v>367.48</v>
      </c>
      <c r="F1332" s="1">
        <f>IFERROR(__xludf.DUMMYFUNCTION("""COMPUTED_VALUE"""),2.5139062E7)</f>
        <v>25139062</v>
      </c>
    </row>
    <row r="1333">
      <c r="A1333" s="2">
        <f>IFERROR(__xludf.DUMMYFUNCTION("""COMPUTED_VALUE"""),33322.666666666664)</f>
        <v>33322.66667</v>
      </c>
      <c r="B1333" s="1">
        <f>IFERROR(__xludf.DUMMYFUNCTION("""COMPUTED_VALUE"""),367.48)</f>
        <v>367.48</v>
      </c>
      <c r="C1333" s="1">
        <f>IFERROR(__xludf.DUMMYFUNCTION("""COMPUTED_VALUE"""),371.31)</f>
        <v>371.31</v>
      </c>
      <c r="D1333" s="1">
        <f>IFERROR(__xludf.DUMMYFUNCTION("""COMPUTED_VALUE"""),367.46)</f>
        <v>367.46</v>
      </c>
      <c r="E1333" s="1">
        <f>IFERROR(__xludf.DUMMYFUNCTION("""COMPUTED_VALUE"""),369.83)</f>
        <v>369.83</v>
      </c>
      <c r="F1333" s="1">
        <f>IFERROR(__xludf.DUMMYFUNCTION("""COMPUTED_VALUE"""),2.405E7)</f>
        <v>24050000</v>
      </c>
    </row>
    <row r="1334">
      <c r="A1334" s="2">
        <f>IFERROR(__xludf.DUMMYFUNCTION("""COMPUTED_VALUE"""),33323.666666666664)</f>
        <v>33323.66667</v>
      </c>
      <c r="B1334" s="1">
        <f>IFERROR(__xludf.DUMMYFUNCTION("""COMPUTED_VALUE"""),369.83)</f>
        <v>369.83</v>
      </c>
      <c r="C1334" s="1">
        <f>IFERROR(__xludf.DUMMYFUNCTION("""COMPUTED_VALUE"""),376.3)</f>
        <v>376.3</v>
      </c>
      <c r="D1334" s="1">
        <f>IFERROR(__xludf.DUMMYFUNCTION("""COMPUTED_VALUE"""),369.37)</f>
        <v>369.37</v>
      </c>
      <c r="E1334" s="1">
        <f>IFERROR(__xludf.DUMMYFUNCTION("""COMPUTED_VALUE"""),376.3)</f>
        <v>376.3</v>
      </c>
      <c r="F1334" s="1">
        <f>IFERROR(__xludf.DUMMYFUNCTION("""COMPUTED_VALUE"""),3.105E7)</f>
        <v>31050000</v>
      </c>
    </row>
    <row r="1335">
      <c r="A1335" s="2">
        <f>IFERROR(__xludf.DUMMYFUNCTION("""COMPUTED_VALUE"""),33324.666666666664)</f>
        <v>33324.66667</v>
      </c>
      <c r="B1335" s="1">
        <f>IFERROR(__xludf.DUMMYFUNCTION("""COMPUTED_VALUE"""),376.28)</f>
        <v>376.28</v>
      </c>
      <c r="C1335" s="1">
        <f>IFERROR(__xludf.DUMMYFUNCTION("""COMPUTED_VALUE"""),378.48)</f>
        <v>378.48</v>
      </c>
      <c r="D1335" s="1">
        <f>IFERROR(__xludf.DUMMYFUNCTION("""COMPUTED_VALUE"""),374.73)</f>
        <v>374.73</v>
      </c>
      <c r="E1335" s="1">
        <f>IFERROR(__xludf.DUMMYFUNCTION("""COMPUTED_VALUE"""),375.35)</f>
        <v>375.35</v>
      </c>
      <c r="F1335" s="1">
        <f>IFERROR(__xludf.DUMMYFUNCTION("""COMPUTED_VALUE"""),3.1535938E7)</f>
        <v>31535938</v>
      </c>
    </row>
    <row r="1336">
      <c r="A1336" s="2">
        <f>IFERROR(__xludf.DUMMYFUNCTION("""COMPUTED_VALUE"""),33325.666666666664)</f>
        <v>33325.66667</v>
      </c>
      <c r="B1336" s="1">
        <f>IFERROR(__xludf.DUMMYFUNCTION("""COMPUTED_VALUE"""),375.35)</f>
        <v>375.35</v>
      </c>
      <c r="C1336" s="1">
        <f>IFERROR(__xludf.DUMMYFUNCTION("""COMPUTED_VALUE"""),376.6)</f>
        <v>376.6</v>
      </c>
      <c r="D1336" s="1">
        <f>IFERROR(__xludf.DUMMYFUNCTION("""COMPUTED_VALUE"""),374.4)</f>
        <v>374.4</v>
      </c>
      <c r="E1336" s="1">
        <f>IFERROR(__xludf.DUMMYFUNCTION("""COMPUTED_VALUE"""),375.22)</f>
        <v>375.22</v>
      </c>
      <c r="F1336" s="1">
        <f>IFERROR(__xludf.DUMMYFUNCTION("""COMPUTED_VALUE"""),2.3554688E7)</f>
        <v>23554688</v>
      </c>
    </row>
    <row r="1337">
      <c r="A1337" s="2">
        <f>IFERROR(__xludf.DUMMYFUNCTION("""COMPUTED_VALUE"""),33329.666666666664)</f>
        <v>33329.66667</v>
      </c>
      <c r="B1337" s="1">
        <f>IFERROR(__xludf.DUMMYFUNCTION("""COMPUTED_VALUE"""),375.22)</f>
        <v>375.22</v>
      </c>
      <c r="C1337" s="1">
        <f>IFERROR(__xludf.DUMMYFUNCTION("""COMPUTED_VALUE"""),375.22)</f>
        <v>375.22</v>
      </c>
      <c r="D1337" s="1">
        <f>IFERROR(__xludf.DUMMYFUNCTION("""COMPUTED_VALUE"""),370.27)</f>
        <v>370.27</v>
      </c>
      <c r="E1337" s="1">
        <f>IFERROR(__xludf.DUMMYFUNCTION("""COMPUTED_VALUE"""),371.3)</f>
        <v>371.3</v>
      </c>
      <c r="F1337" s="1">
        <f>IFERROR(__xludf.DUMMYFUNCTION("""COMPUTED_VALUE"""),2.2501562E7)</f>
        <v>22501562</v>
      </c>
    </row>
    <row r="1338">
      <c r="A1338" s="2">
        <f>IFERROR(__xludf.DUMMYFUNCTION("""COMPUTED_VALUE"""),33330.666666666664)</f>
        <v>33330.66667</v>
      </c>
      <c r="B1338" s="1">
        <f>IFERROR(__xludf.DUMMYFUNCTION("""COMPUTED_VALUE"""),371.3)</f>
        <v>371.3</v>
      </c>
      <c r="C1338" s="1">
        <f>IFERROR(__xludf.DUMMYFUNCTION("""COMPUTED_VALUE"""),379.5)</f>
        <v>379.5</v>
      </c>
      <c r="D1338" s="1">
        <f>IFERROR(__xludf.DUMMYFUNCTION("""COMPUTED_VALUE"""),371.3)</f>
        <v>371.3</v>
      </c>
      <c r="E1338" s="1">
        <f>IFERROR(__xludf.DUMMYFUNCTION("""COMPUTED_VALUE"""),379.5)</f>
        <v>379.5</v>
      </c>
      <c r="F1338" s="1">
        <f>IFERROR(__xludf.DUMMYFUNCTION("""COMPUTED_VALUE"""),2.9614062E7)</f>
        <v>29614062</v>
      </c>
    </row>
    <row r="1339">
      <c r="A1339" s="2">
        <f>IFERROR(__xludf.DUMMYFUNCTION("""COMPUTED_VALUE"""),33331.666666666664)</f>
        <v>33331.66667</v>
      </c>
      <c r="B1339" s="1">
        <f>IFERROR(__xludf.DUMMYFUNCTION("""COMPUTED_VALUE"""),379.5)</f>
        <v>379.5</v>
      </c>
      <c r="C1339" s="1">
        <f>IFERROR(__xludf.DUMMYFUNCTION("""COMPUTED_VALUE"""),381.56)</f>
        <v>381.56</v>
      </c>
      <c r="D1339" s="1">
        <f>IFERROR(__xludf.DUMMYFUNCTION("""COMPUTED_VALUE"""),378.49)</f>
        <v>378.49</v>
      </c>
      <c r="E1339" s="1">
        <f>IFERROR(__xludf.DUMMYFUNCTION("""COMPUTED_VALUE"""),378.94)</f>
        <v>378.94</v>
      </c>
      <c r="F1339" s="1">
        <f>IFERROR(__xludf.DUMMYFUNCTION("""COMPUTED_VALUE"""),3.339375E7)</f>
        <v>33393750</v>
      </c>
    </row>
    <row r="1340">
      <c r="A1340" s="2">
        <f>IFERROR(__xludf.DUMMYFUNCTION("""COMPUTED_VALUE"""),33332.666666666664)</f>
        <v>33332.66667</v>
      </c>
      <c r="B1340" s="1">
        <f>IFERROR(__xludf.DUMMYFUNCTION("""COMPUTED_VALUE"""),378.94)</f>
        <v>378.94</v>
      </c>
      <c r="C1340" s="1">
        <f>IFERROR(__xludf.DUMMYFUNCTION("""COMPUTED_VALUE"""),381.88)</f>
        <v>381.88</v>
      </c>
      <c r="D1340" s="1">
        <f>IFERROR(__xludf.DUMMYFUNCTION("""COMPUTED_VALUE"""),377.05)</f>
        <v>377.05</v>
      </c>
      <c r="E1340" s="1">
        <f>IFERROR(__xludf.DUMMYFUNCTION("""COMPUTED_VALUE"""),379.77)</f>
        <v>379.77</v>
      </c>
      <c r="F1340" s="1">
        <f>IFERROR(__xludf.DUMMYFUNCTION("""COMPUTED_VALUE"""),3.095625E7)</f>
        <v>30956250</v>
      </c>
    </row>
    <row r="1341">
      <c r="A1341" s="2">
        <f>IFERROR(__xludf.DUMMYFUNCTION("""COMPUTED_VALUE"""),33333.666666666664)</f>
        <v>33333.66667</v>
      </c>
      <c r="B1341" s="1">
        <f>IFERROR(__xludf.DUMMYFUNCTION("""COMPUTED_VALUE"""),379.78)</f>
        <v>379.78</v>
      </c>
      <c r="C1341" s="1">
        <f>IFERROR(__xludf.DUMMYFUNCTION("""COMPUTED_VALUE"""),381.12)</f>
        <v>381.12</v>
      </c>
      <c r="D1341" s="1">
        <f>IFERROR(__xludf.DUMMYFUNCTION("""COMPUTED_VALUE"""),374.15)</f>
        <v>374.15</v>
      </c>
      <c r="E1341" s="1">
        <f>IFERROR(__xludf.DUMMYFUNCTION("""COMPUTED_VALUE"""),375.36)</f>
        <v>375.36</v>
      </c>
      <c r="F1341" s="1">
        <f>IFERROR(__xludf.DUMMYFUNCTION("""COMPUTED_VALUE"""),2.9282812E7)</f>
        <v>29282812</v>
      </c>
    </row>
    <row r="1342">
      <c r="A1342" s="2">
        <f>IFERROR(__xludf.DUMMYFUNCTION("""COMPUTED_VALUE"""),33336.666666666664)</f>
        <v>33336.66667</v>
      </c>
      <c r="B1342" s="1">
        <f>IFERROR(__xludf.DUMMYFUNCTION("""COMPUTED_VALUE"""),375.35)</f>
        <v>375.35</v>
      </c>
      <c r="C1342" s="1">
        <f>IFERROR(__xludf.DUMMYFUNCTION("""COMPUTED_VALUE"""),378.76)</f>
        <v>378.76</v>
      </c>
      <c r="D1342" s="1">
        <f>IFERROR(__xludf.DUMMYFUNCTION("""COMPUTED_VALUE"""),374.69)</f>
        <v>374.69</v>
      </c>
      <c r="E1342" s="1">
        <f>IFERROR(__xludf.DUMMYFUNCTION("""COMPUTED_VALUE"""),378.66)</f>
        <v>378.66</v>
      </c>
      <c r="F1342" s="1">
        <f>IFERROR(__xludf.DUMMYFUNCTION("""COMPUTED_VALUE"""),2.1653124E7)</f>
        <v>21653124</v>
      </c>
    </row>
    <row r="1343">
      <c r="A1343" s="2">
        <f>IFERROR(__xludf.DUMMYFUNCTION("""COMPUTED_VALUE"""),33337.666666666664)</f>
        <v>33337.66667</v>
      </c>
      <c r="B1343" s="1">
        <f>IFERROR(__xludf.DUMMYFUNCTION("""COMPUTED_VALUE"""),378.65)</f>
        <v>378.65</v>
      </c>
      <c r="C1343" s="1">
        <f>IFERROR(__xludf.DUMMYFUNCTION("""COMPUTED_VALUE"""),379.02)</f>
        <v>379.02</v>
      </c>
      <c r="D1343" s="1">
        <f>IFERROR(__xludf.DUMMYFUNCTION("""COMPUTED_VALUE"""),373.11)</f>
        <v>373.11</v>
      </c>
      <c r="E1343" s="1">
        <f>IFERROR(__xludf.DUMMYFUNCTION("""COMPUTED_VALUE"""),373.56)</f>
        <v>373.56</v>
      </c>
      <c r="F1343" s="1">
        <f>IFERROR(__xludf.DUMMYFUNCTION("""COMPUTED_VALUE"""),2.6553124E7)</f>
        <v>26553124</v>
      </c>
    </row>
    <row r="1344">
      <c r="A1344" s="2">
        <f>IFERROR(__xludf.DUMMYFUNCTION("""COMPUTED_VALUE"""),33338.666666666664)</f>
        <v>33338.66667</v>
      </c>
      <c r="B1344" s="1">
        <f>IFERROR(__xludf.DUMMYFUNCTION("""COMPUTED_VALUE"""),373.57)</f>
        <v>373.57</v>
      </c>
      <c r="C1344" s="1">
        <f>IFERROR(__xludf.DUMMYFUNCTION("""COMPUTED_VALUE"""),374.83)</f>
        <v>374.83</v>
      </c>
      <c r="D1344" s="1">
        <f>IFERROR(__xludf.DUMMYFUNCTION("""COMPUTED_VALUE"""),371.21)</f>
        <v>371.21</v>
      </c>
      <c r="E1344" s="1">
        <f>IFERROR(__xludf.DUMMYFUNCTION("""COMPUTED_VALUE"""),373.15)</f>
        <v>373.15</v>
      </c>
      <c r="F1344" s="1">
        <f>IFERROR(__xludf.DUMMYFUNCTION("""COMPUTED_VALUE"""),2.6240624E7)</f>
        <v>26240624</v>
      </c>
    </row>
    <row r="1345">
      <c r="A1345" s="2">
        <f>IFERROR(__xludf.DUMMYFUNCTION("""COMPUTED_VALUE"""),33339.666666666664)</f>
        <v>33339.66667</v>
      </c>
      <c r="B1345" s="1">
        <f>IFERROR(__xludf.DUMMYFUNCTION("""COMPUTED_VALUE"""),373.15)</f>
        <v>373.15</v>
      </c>
      <c r="C1345" s="1">
        <f>IFERROR(__xludf.DUMMYFUNCTION("""COMPUTED_VALUE"""),379.53)</f>
        <v>379.53</v>
      </c>
      <c r="D1345" s="1">
        <f>IFERROR(__xludf.DUMMYFUNCTION("""COMPUTED_VALUE"""),373.15)</f>
        <v>373.15</v>
      </c>
      <c r="E1345" s="1">
        <f>IFERROR(__xludf.DUMMYFUNCTION("""COMPUTED_VALUE"""),377.63)</f>
        <v>377.63</v>
      </c>
      <c r="F1345" s="1">
        <f>IFERROR(__xludf.DUMMYFUNCTION("""COMPUTED_VALUE"""),3.0714062E7)</f>
        <v>30714062</v>
      </c>
    </row>
    <row r="1346">
      <c r="A1346" s="2">
        <f>IFERROR(__xludf.DUMMYFUNCTION("""COMPUTED_VALUE"""),33340.666666666664)</f>
        <v>33340.66667</v>
      </c>
      <c r="B1346" s="1">
        <f>IFERROR(__xludf.DUMMYFUNCTION("""COMPUTED_VALUE"""),377.65)</f>
        <v>377.65</v>
      </c>
      <c r="C1346" s="1">
        <f>IFERROR(__xludf.DUMMYFUNCTION("""COMPUTED_VALUE"""),381.07)</f>
        <v>381.07</v>
      </c>
      <c r="D1346" s="1">
        <f>IFERROR(__xludf.DUMMYFUNCTION("""COMPUTED_VALUE"""),376.89)</f>
        <v>376.89</v>
      </c>
      <c r="E1346" s="1">
        <f>IFERROR(__xludf.DUMMYFUNCTION("""COMPUTED_VALUE"""),380.4)</f>
        <v>380.4</v>
      </c>
      <c r="F1346" s="1">
        <f>IFERROR(__xludf.DUMMYFUNCTION("""COMPUTED_VALUE"""),3.1032812E7)</f>
        <v>31032812</v>
      </c>
    </row>
    <row r="1347">
      <c r="A1347" s="2">
        <f>IFERROR(__xludf.DUMMYFUNCTION("""COMPUTED_VALUE"""),33343.666666666664)</f>
        <v>33343.66667</v>
      </c>
      <c r="B1347" s="1">
        <f>IFERROR(__xludf.DUMMYFUNCTION("""COMPUTED_VALUE"""),380.4)</f>
        <v>380.4</v>
      </c>
      <c r="C1347" s="1">
        <f>IFERROR(__xludf.DUMMYFUNCTION("""COMPUTED_VALUE"""),382.32)</f>
        <v>382.32</v>
      </c>
      <c r="D1347" s="1">
        <f>IFERROR(__xludf.DUMMYFUNCTION("""COMPUTED_VALUE"""),378.78)</f>
        <v>378.78</v>
      </c>
      <c r="E1347" s="1">
        <f>IFERROR(__xludf.DUMMYFUNCTION("""COMPUTED_VALUE"""),381.19)</f>
        <v>381.19</v>
      </c>
      <c r="F1347" s="1">
        <f>IFERROR(__xludf.DUMMYFUNCTION("""COMPUTED_VALUE"""),2.528125E7)</f>
        <v>25281250</v>
      </c>
    </row>
    <row r="1348">
      <c r="A1348" s="2">
        <f>IFERROR(__xludf.DUMMYFUNCTION("""COMPUTED_VALUE"""),33344.666666666664)</f>
        <v>33344.66667</v>
      </c>
      <c r="B1348" s="1">
        <f>IFERROR(__xludf.DUMMYFUNCTION("""COMPUTED_VALUE"""),381.19)</f>
        <v>381.19</v>
      </c>
      <c r="C1348" s="1">
        <f>IFERROR(__xludf.DUMMYFUNCTION("""COMPUTED_VALUE"""),387.62)</f>
        <v>387.62</v>
      </c>
      <c r="D1348" s="1">
        <f>IFERROR(__xludf.DUMMYFUNCTION("""COMPUTED_VALUE"""),379.64)</f>
        <v>379.64</v>
      </c>
      <c r="E1348" s="1">
        <f>IFERROR(__xludf.DUMMYFUNCTION("""COMPUTED_VALUE"""),387.62)</f>
        <v>387.62</v>
      </c>
      <c r="F1348" s="1">
        <f>IFERROR(__xludf.DUMMYFUNCTION("""COMPUTED_VALUE"""),3.35125E7)</f>
        <v>33512500</v>
      </c>
    </row>
    <row r="1349">
      <c r="A1349" s="2">
        <f>IFERROR(__xludf.DUMMYFUNCTION("""COMPUTED_VALUE"""),33345.666666666664)</f>
        <v>33345.66667</v>
      </c>
      <c r="B1349" s="1">
        <f>IFERROR(__xludf.DUMMYFUNCTION("""COMPUTED_VALUE"""),387.62)</f>
        <v>387.62</v>
      </c>
      <c r="C1349" s="1">
        <f>IFERROR(__xludf.DUMMYFUNCTION("""COMPUTED_VALUE"""),391.26)</f>
        <v>391.26</v>
      </c>
      <c r="D1349" s="1">
        <f>IFERROR(__xludf.DUMMYFUNCTION("""COMPUTED_VALUE"""),387.3)</f>
        <v>387.3</v>
      </c>
      <c r="E1349" s="1">
        <f>IFERROR(__xludf.DUMMYFUNCTION("""COMPUTED_VALUE"""),390.45)</f>
        <v>390.45</v>
      </c>
      <c r="F1349" s="1">
        <f>IFERROR(__xludf.DUMMYFUNCTION("""COMPUTED_VALUE"""),3.8582812E7)</f>
        <v>38582812</v>
      </c>
    </row>
    <row r="1350">
      <c r="A1350" s="2">
        <f>IFERROR(__xludf.DUMMYFUNCTION("""COMPUTED_VALUE"""),33346.666666666664)</f>
        <v>33346.66667</v>
      </c>
      <c r="B1350" s="1">
        <f>IFERROR(__xludf.DUMMYFUNCTION("""COMPUTED_VALUE"""),390.45)</f>
        <v>390.45</v>
      </c>
      <c r="C1350" s="1">
        <f>IFERROR(__xludf.DUMMYFUNCTION("""COMPUTED_VALUE"""),390.97)</f>
        <v>390.97</v>
      </c>
      <c r="D1350" s="1">
        <f>IFERROR(__xludf.DUMMYFUNCTION("""COMPUTED_VALUE"""),388.13)</f>
        <v>388.13</v>
      </c>
      <c r="E1350" s="1">
        <f>IFERROR(__xludf.DUMMYFUNCTION("""COMPUTED_VALUE"""),388.46)</f>
        <v>388.46</v>
      </c>
      <c r="F1350" s="1">
        <f>IFERROR(__xludf.DUMMYFUNCTION("""COMPUTED_VALUE"""),3.3970312E7)</f>
        <v>33970312</v>
      </c>
    </row>
    <row r="1351">
      <c r="A1351" s="2">
        <f>IFERROR(__xludf.DUMMYFUNCTION("""COMPUTED_VALUE"""),33347.666666666664)</f>
        <v>33347.66667</v>
      </c>
      <c r="B1351" s="1">
        <f>IFERROR(__xludf.DUMMYFUNCTION("""COMPUTED_VALUE"""),388.46)</f>
        <v>388.46</v>
      </c>
      <c r="C1351" s="1">
        <f>IFERROR(__xludf.DUMMYFUNCTION("""COMPUTED_VALUE"""),388.46)</f>
        <v>388.46</v>
      </c>
      <c r="D1351" s="1">
        <f>IFERROR(__xludf.DUMMYFUNCTION("""COMPUTED_VALUE"""),383.9)</f>
        <v>383.9</v>
      </c>
      <c r="E1351" s="1">
        <f>IFERROR(__xludf.DUMMYFUNCTION("""COMPUTED_VALUE"""),384.2)</f>
        <v>384.2</v>
      </c>
      <c r="F1351" s="1">
        <f>IFERROR(__xludf.DUMMYFUNCTION("""COMPUTED_VALUE"""),3.055E7)</f>
        <v>30550000</v>
      </c>
    </row>
    <row r="1352">
      <c r="A1352" s="2">
        <f>IFERROR(__xludf.DUMMYFUNCTION("""COMPUTED_VALUE"""),33350.666666666664)</f>
        <v>33350.66667</v>
      </c>
      <c r="B1352" s="1">
        <f>IFERROR(__xludf.DUMMYFUNCTION("""COMPUTED_VALUE"""),384.19)</f>
        <v>384.19</v>
      </c>
      <c r="C1352" s="1">
        <f>IFERROR(__xludf.DUMMYFUNCTION("""COMPUTED_VALUE"""),384.19)</f>
        <v>384.19</v>
      </c>
      <c r="D1352" s="1">
        <f>IFERROR(__xludf.DUMMYFUNCTION("""COMPUTED_VALUE"""),380.16)</f>
        <v>380.16</v>
      </c>
      <c r="E1352" s="1">
        <f>IFERROR(__xludf.DUMMYFUNCTION("""COMPUTED_VALUE"""),380.95)</f>
        <v>380.95</v>
      </c>
      <c r="F1352" s="1">
        <f>IFERROR(__xludf.DUMMYFUNCTION("""COMPUTED_VALUE"""),2.5689062E7)</f>
        <v>25689062</v>
      </c>
    </row>
    <row r="1353">
      <c r="A1353" s="2">
        <f>IFERROR(__xludf.DUMMYFUNCTION("""COMPUTED_VALUE"""),33351.666666666664)</f>
        <v>33351.66667</v>
      </c>
      <c r="B1353" s="1">
        <f>IFERROR(__xludf.DUMMYFUNCTION("""COMPUTED_VALUE"""),380.95)</f>
        <v>380.95</v>
      </c>
      <c r="C1353" s="1">
        <f>IFERROR(__xludf.DUMMYFUNCTION("""COMPUTED_VALUE"""),383.55)</f>
        <v>383.55</v>
      </c>
      <c r="D1353" s="1">
        <f>IFERROR(__xludf.DUMMYFUNCTION("""COMPUTED_VALUE"""),379.67)</f>
        <v>379.67</v>
      </c>
      <c r="E1353" s="1">
        <f>IFERROR(__xludf.DUMMYFUNCTION("""COMPUTED_VALUE"""),381.76)</f>
        <v>381.76</v>
      </c>
      <c r="F1353" s="1">
        <f>IFERROR(__xludf.DUMMYFUNCTION("""COMPUTED_VALUE"""),2.6225E7)</f>
        <v>26225000</v>
      </c>
    </row>
    <row r="1354">
      <c r="A1354" s="2">
        <f>IFERROR(__xludf.DUMMYFUNCTION("""COMPUTED_VALUE"""),33352.666666666664)</f>
        <v>33352.66667</v>
      </c>
      <c r="B1354" s="1">
        <f>IFERROR(__xludf.DUMMYFUNCTION("""COMPUTED_VALUE"""),381.76)</f>
        <v>381.76</v>
      </c>
      <c r="C1354" s="1">
        <f>IFERROR(__xludf.DUMMYFUNCTION("""COMPUTED_VALUE"""),383.02)</f>
        <v>383.02</v>
      </c>
      <c r="D1354" s="1">
        <f>IFERROR(__xludf.DUMMYFUNCTION("""COMPUTED_VALUE"""),379.99)</f>
        <v>379.99</v>
      </c>
      <c r="E1354" s="1">
        <f>IFERROR(__xludf.DUMMYFUNCTION("""COMPUTED_VALUE"""),382.76)</f>
        <v>382.76</v>
      </c>
      <c r="F1354" s="1">
        <f>IFERROR(__xludf.DUMMYFUNCTION("""COMPUTED_VALUE"""),2.60625E7)</f>
        <v>26062500</v>
      </c>
    </row>
    <row r="1355">
      <c r="A1355" s="2">
        <f>IFERROR(__xludf.DUMMYFUNCTION("""COMPUTED_VALUE"""),33353.666666666664)</f>
        <v>33353.66667</v>
      </c>
      <c r="B1355" s="1">
        <f>IFERROR(__xludf.DUMMYFUNCTION("""COMPUTED_VALUE"""),382.89)</f>
        <v>382.89</v>
      </c>
      <c r="C1355" s="1">
        <f>IFERROR(__xludf.DUMMYFUNCTION("""COMPUTED_VALUE"""),382.89)</f>
        <v>382.89</v>
      </c>
      <c r="D1355" s="1">
        <f>IFERROR(__xludf.DUMMYFUNCTION("""COMPUTED_VALUE"""),378.43)</f>
        <v>378.43</v>
      </c>
      <c r="E1355" s="1">
        <f>IFERROR(__xludf.DUMMYFUNCTION("""COMPUTED_VALUE"""),379.25)</f>
        <v>379.25</v>
      </c>
      <c r="F1355" s="1">
        <f>IFERROR(__xludf.DUMMYFUNCTION("""COMPUTED_VALUE"""),2.6084376E7)</f>
        <v>26084376</v>
      </c>
    </row>
    <row r="1356">
      <c r="A1356" s="2">
        <f>IFERROR(__xludf.DUMMYFUNCTION("""COMPUTED_VALUE"""),33354.666666666664)</f>
        <v>33354.66667</v>
      </c>
      <c r="B1356" s="1">
        <f>IFERROR(__xludf.DUMMYFUNCTION("""COMPUTED_VALUE"""),379.25)</f>
        <v>379.25</v>
      </c>
      <c r="C1356" s="1">
        <f>IFERROR(__xludf.DUMMYFUNCTION("""COMPUTED_VALUE"""),380.11)</f>
        <v>380.11</v>
      </c>
      <c r="D1356" s="1">
        <f>IFERROR(__xludf.DUMMYFUNCTION("""COMPUTED_VALUE"""),376.77)</f>
        <v>376.77</v>
      </c>
      <c r="E1356" s="1">
        <f>IFERROR(__xludf.DUMMYFUNCTION("""COMPUTED_VALUE"""),379.02)</f>
        <v>379.02</v>
      </c>
      <c r="F1356" s="1">
        <f>IFERROR(__xludf.DUMMYFUNCTION("""COMPUTED_VALUE"""),2.4148438E7)</f>
        <v>24148438</v>
      </c>
    </row>
    <row r="1357">
      <c r="A1357" s="2">
        <f>IFERROR(__xludf.DUMMYFUNCTION("""COMPUTED_VALUE"""),33357.666666666664)</f>
        <v>33357.66667</v>
      </c>
      <c r="B1357" s="1">
        <f>IFERROR(__xludf.DUMMYFUNCTION("""COMPUTED_VALUE"""),379.01)</f>
        <v>379.01</v>
      </c>
      <c r="C1357" s="1">
        <f>IFERROR(__xludf.DUMMYFUNCTION("""COMPUTED_VALUE"""),380.96)</f>
        <v>380.96</v>
      </c>
      <c r="D1357" s="1">
        <f>IFERROR(__xludf.DUMMYFUNCTION("""COMPUTED_VALUE"""),373.66)</f>
        <v>373.66</v>
      </c>
      <c r="E1357" s="1">
        <f>IFERROR(__xludf.DUMMYFUNCTION("""COMPUTED_VALUE"""),373.66)</f>
        <v>373.66</v>
      </c>
      <c r="F1357" s="1">
        <f>IFERROR(__xludf.DUMMYFUNCTION("""COMPUTED_VALUE"""),2.3415624E7)</f>
        <v>23415624</v>
      </c>
    </row>
    <row r="1358">
      <c r="A1358" s="2">
        <f>IFERROR(__xludf.DUMMYFUNCTION("""COMPUTED_VALUE"""),33358.666666666664)</f>
        <v>33358.66667</v>
      </c>
      <c r="B1358" s="1">
        <f>IFERROR(__xludf.DUMMYFUNCTION("""COMPUTED_VALUE"""),373.66)</f>
        <v>373.66</v>
      </c>
      <c r="C1358" s="1">
        <f>IFERROR(__xludf.DUMMYFUNCTION("""COMPUTED_VALUE"""),377.86)</f>
        <v>377.86</v>
      </c>
      <c r="D1358" s="1">
        <f>IFERROR(__xludf.DUMMYFUNCTION("""COMPUTED_VALUE"""),373.01)</f>
        <v>373.01</v>
      </c>
      <c r="E1358" s="1">
        <f>IFERROR(__xludf.DUMMYFUNCTION("""COMPUTED_VALUE"""),375.34)</f>
        <v>375.34</v>
      </c>
      <c r="F1358" s="1">
        <f>IFERROR(__xludf.DUMMYFUNCTION("""COMPUTED_VALUE"""),3.2223438E7)</f>
        <v>32223438</v>
      </c>
    </row>
    <row r="1359">
      <c r="A1359" s="2">
        <f>IFERROR(__xludf.DUMMYFUNCTION("""COMPUTED_VALUE"""),33359.666666666664)</f>
        <v>33359.66667</v>
      </c>
      <c r="B1359" s="1">
        <f>IFERROR(__xludf.DUMMYFUNCTION("""COMPUTED_VALUE"""),375.35)</f>
        <v>375.35</v>
      </c>
      <c r="C1359" s="1">
        <f>IFERROR(__xludf.DUMMYFUNCTION("""COMPUTED_VALUE"""),380.46)</f>
        <v>380.46</v>
      </c>
      <c r="D1359" s="1">
        <f>IFERROR(__xludf.DUMMYFUNCTION("""COMPUTED_VALUE"""),375.27)</f>
        <v>375.27</v>
      </c>
      <c r="E1359" s="1">
        <f>IFERROR(__xludf.DUMMYFUNCTION("""COMPUTED_VALUE"""),380.29)</f>
        <v>380.29</v>
      </c>
      <c r="F1359" s="1">
        <f>IFERROR(__xludf.DUMMYFUNCTION("""COMPUTED_VALUE"""),2.8421876E7)</f>
        <v>28421876</v>
      </c>
    </row>
    <row r="1360">
      <c r="A1360" s="2">
        <f>IFERROR(__xludf.DUMMYFUNCTION("""COMPUTED_VALUE"""),33360.666666666664)</f>
        <v>33360.66667</v>
      </c>
      <c r="B1360" s="1">
        <f>IFERROR(__xludf.DUMMYFUNCTION("""COMPUTED_VALUE"""),380.29)</f>
        <v>380.29</v>
      </c>
      <c r="C1360" s="1">
        <f>IFERROR(__xludf.DUMMYFUNCTION("""COMPUTED_VALUE"""),382.14)</f>
        <v>382.14</v>
      </c>
      <c r="D1360" s="1">
        <f>IFERROR(__xludf.DUMMYFUNCTION("""COMPUTED_VALUE"""),379.82)</f>
        <v>379.82</v>
      </c>
      <c r="E1360" s="1">
        <f>IFERROR(__xludf.DUMMYFUNCTION("""COMPUTED_VALUE"""),380.52)</f>
        <v>380.52</v>
      </c>
      <c r="F1360" s="1">
        <f>IFERROR(__xludf.DUMMYFUNCTION("""COMPUTED_VALUE"""),2.9232812E7)</f>
        <v>29232812</v>
      </c>
    </row>
    <row r="1361">
      <c r="A1361" s="2">
        <f>IFERROR(__xludf.DUMMYFUNCTION("""COMPUTED_VALUE"""),33361.666666666664)</f>
        <v>33361.66667</v>
      </c>
      <c r="B1361" s="1">
        <f>IFERROR(__xludf.DUMMYFUNCTION("""COMPUTED_VALUE"""),380.52)</f>
        <v>380.52</v>
      </c>
      <c r="C1361" s="1">
        <f>IFERROR(__xludf.DUMMYFUNCTION("""COMPUTED_VALUE"""),381.0)</f>
        <v>381</v>
      </c>
      <c r="D1361" s="1">
        <f>IFERROR(__xludf.DUMMYFUNCTION("""COMPUTED_VALUE"""),378.82)</f>
        <v>378.82</v>
      </c>
      <c r="E1361" s="1">
        <f>IFERROR(__xludf.DUMMYFUNCTION("""COMPUTED_VALUE"""),380.8)</f>
        <v>380.8</v>
      </c>
      <c r="F1361" s="1">
        <f>IFERROR(__xludf.DUMMYFUNCTION("""COMPUTED_VALUE"""),2.4710938E7)</f>
        <v>24710938</v>
      </c>
    </row>
    <row r="1362">
      <c r="A1362" s="2">
        <f>IFERROR(__xludf.DUMMYFUNCTION("""COMPUTED_VALUE"""),33364.666666666664)</f>
        <v>33364.66667</v>
      </c>
      <c r="B1362" s="1">
        <f>IFERROR(__xludf.DUMMYFUNCTION("""COMPUTED_VALUE"""),380.78)</f>
        <v>380.78</v>
      </c>
      <c r="C1362" s="1">
        <f>IFERROR(__xludf.DUMMYFUNCTION("""COMPUTED_VALUE"""),380.78)</f>
        <v>380.78</v>
      </c>
      <c r="D1362" s="1">
        <f>IFERROR(__xludf.DUMMYFUNCTION("""COMPUTED_VALUE"""),377.86)</f>
        <v>377.86</v>
      </c>
      <c r="E1362" s="1">
        <f>IFERROR(__xludf.DUMMYFUNCTION("""COMPUTED_VALUE"""),380.08)</f>
        <v>380.08</v>
      </c>
      <c r="F1362" s="1">
        <f>IFERROR(__xludf.DUMMYFUNCTION("""COMPUTED_VALUE"""),2.0173438E7)</f>
        <v>20173438</v>
      </c>
    </row>
    <row r="1363">
      <c r="A1363" s="2">
        <f>IFERROR(__xludf.DUMMYFUNCTION("""COMPUTED_VALUE"""),33365.666666666664)</f>
        <v>33365.66667</v>
      </c>
      <c r="B1363" s="1">
        <f>IFERROR(__xludf.DUMMYFUNCTION("""COMPUTED_VALUE"""),380.08)</f>
        <v>380.08</v>
      </c>
      <c r="C1363" s="1">
        <f>IFERROR(__xludf.DUMMYFUNCTION("""COMPUTED_VALUE"""),380.91)</f>
        <v>380.91</v>
      </c>
      <c r="D1363" s="1">
        <f>IFERROR(__xludf.DUMMYFUNCTION("""COMPUTED_VALUE"""),377.31)</f>
        <v>377.31</v>
      </c>
      <c r="E1363" s="1">
        <f>IFERROR(__xludf.DUMMYFUNCTION("""COMPUTED_VALUE"""),377.32)</f>
        <v>377.32</v>
      </c>
      <c r="F1363" s="1">
        <f>IFERROR(__xludf.DUMMYFUNCTION("""COMPUTED_VALUE"""),2.3951562E7)</f>
        <v>23951562</v>
      </c>
    </row>
    <row r="1364">
      <c r="A1364" s="2">
        <f>IFERROR(__xludf.DUMMYFUNCTION("""COMPUTED_VALUE"""),33366.666666666664)</f>
        <v>33366.66667</v>
      </c>
      <c r="B1364" s="1">
        <f>IFERROR(__xludf.DUMMYFUNCTION("""COMPUTED_VALUE"""),377.33)</f>
        <v>377.33</v>
      </c>
      <c r="C1364" s="1">
        <f>IFERROR(__xludf.DUMMYFUNCTION("""COMPUTED_VALUE"""),379.26)</f>
        <v>379.26</v>
      </c>
      <c r="D1364" s="1">
        <f>IFERROR(__xludf.DUMMYFUNCTION("""COMPUTED_VALUE"""),376.21)</f>
        <v>376.21</v>
      </c>
      <c r="E1364" s="1">
        <f>IFERROR(__xludf.DUMMYFUNCTION("""COMPUTED_VALUE"""),378.51)</f>
        <v>378.51</v>
      </c>
      <c r="F1364" s="1">
        <f>IFERROR(__xludf.DUMMYFUNCTION("""COMPUTED_VALUE"""),2.456875E7)</f>
        <v>24568750</v>
      </c>
    </row>
    <row r="1365">
      <c r="A1365" s="2">
        <f>IFERROR(__xludf.DUMMYFUNCTION("""COMPUTED_VALUE"""),33367.666666666664)</f>
        <v>33367.66667</v>
      </c>
      <c r="B1365" s="1">
        <f>IFERROR(__xludf.DUMMYFUNCTION("""COMPUTED_VALUE"""),378.51)</f>
        <v>378.51</v>
      </c>
      <c r="C1365" s="1">
        <f>IFERROR(__xludf.DUMMYFUNCTION("""COMPUTED_VALUE"""),383.56)</f>
        <v>383.56</v>
      </c>
      <c r="D1365" s="1">
        <f>IFERROR(__xludf.DUMMYFUNCTION("""COMPUTED_VALUE"""),378.51)</f>
        <v>378.51</v>
      </c>
      <c r="E1365" s="1">
        <f>IFERROR(__xludf.DUMMYFUNCTION("""COMPUTED_VALUE"""),383.25)</f>
        <v>383.25</v>
      </c>
      <c r="F1365" s="1">
        <f>IFERROR(__xludf.DUMMYFUNCTION("""COMPUTED_VALUE"""),2.8196876E7)</f>
        <v>28196876</v>
      </c>
    </row>
    <row r="1366">
      <c r="A1366" s="2">
        <f>IFERROR(__xludf.DUMMYFUNCTION("""COMPUTED_VALUE"""),33368.666666666664)</f>
        <v>33368.66667</v>
      </c>
      <c r="B1366" s="1">
        <f>IFERROR(__xludf.DUMMYFUNCTION("""COMPUTED_VALUE"""),383.26)</f>
        <v>383.26</v>
      </c>
      <c r="C1366" s="1">
        <f>IFERROR(__xludf.DUMMYFUNCTION("""COMPUTED_VALUE"""),383.91)</f>
        <v>383.91</v>
      </c>
      <c r="D1366" s="1">
        <f>IFERROR(__xludf.DUMMYFUNCTION("""COMPUTED_VALUE"""),375.61)</f>
        <v>375.61</v>
      </c>
      <c r="E1366" s="1">
        <f>IFERROR(__xludf.DUMMYFUNCTION("""COMPUTED_VALUE"""),375.74)</f>
        <v>375.74</v>
      </c>
      <c r="F1366" s="1">
        <f>IFERROR(__xludf.DUMMYFUNCTION("""COMPUTED_VALUE"""),2.6989062E7)</f>
        <v>26989062</v>
      </c>
    </row>
    <row r="1367">
      <c r="A1367" s="2">
        <f>IFERROR(__xludf.DUMMYFUNCTION("""COMPUTED_VALUE"""),33371.666666666664)</f>
        <v>33371.66667</v>
      </c>
      <c r="B1367" s="1">
        <f>IFERROR(__xludf.DUMMYFUNCTION("""COMPUTED_VALUE"""),375.74)</f>
        <v>375.74</v>
      </c>
      <c r="C1367" s="1">
        <f>IFERROR(__xludf.DUMMYFUNCTION("""COMPUTED_VALUE"""),377.02)</f>
        <v>377.02</v>
      </c>
      <c r="D1367" s="1">
        <f>IFERROR(__xludf.DUMMYFUNCTION("""COMPUTED_VALUE"""),374.62)</f>
        <v>374.62</v>
      </c>
      <c r="E1367" s="1">
        <f>IFERROR(__xludf.DUMMYFUNCTION("""COMPUTED_VALUE"""),376.76)</f>
        <v>376.76</v>
      </c>
      <c r="F1367" s="1">
        <f>IFERROR(__xludf.DUMMYFUNCTION("""COMPUTED_VALUE"""),2.0253124E7)</f>
        <v>20253124</v>
      </c>
    </row>
    <row r="1368">
      <c r="A1368" s="2">
        <f>IFERROR(__xludf.DUMMYFUNCTION("""COMPUTED_VALUE"""),33372.666666666664)</f>
        <v>33372.66667</v>
      </c>
      <c r="B1368" s="1">
        <f>IFERROR(__xludf.DUMMYFUNCTION("""COMPUTED_VALUE"""),375.51)</f>
        <v>375.51</v>
      </c>
      <c r="C1368" s="1">
        <f>IFERROR(__xludf.DUMMYFUNCTION("""COMPUTED_VALUE"""),375.53)</f>
        <v>375.53</v>
      </c>
      <c r="D1368" s="1">
        <f>IFERROR(__xludf.DUMMYFUNCTION("""COMPUTED_VALUE"""),370.82)</f>
        <v>370.82</v>
      </c>
      <c r="E1368" s="1">
        <f>IFERROR(__xludf.DUMMYFUNCTION("""COMPUTED_VALUE"""),371.62)</f>
        <v>371.62</v>
      </c>
      <c r="F1368" s="1">
        <f>IFERROR(__xludf.DUMMYFUNCTION("""COMPUTED_VALUE"""),3.2482812E7)</f>
        <v>32482812</v>
      </c>
    </row>
    <row r="1369">
      <c r="A1369" s="2">
        <f>IFERROR(__xludf.DUMMYFUNCTION("""COMPUTED_VALUE"""),33373.666666666664)</f>
        <v>33373.66667</v>
      </c>
      <c r="B1369" s="1">
        <f>IFERROR(__xludf.DUMMYFUNCTION("""COMPUTED_VALUE"""),371.55)</f>
        <v>371.55</v>
      </c>
      <c r="C1369" s="1">
        <f>IFERROR(__xludf.DUMMYFUNCTION("""COMPUTED_VALUE"""),372.47)</f>
        <v>372.47</v>
      </c>
      <c r="D1369" s="1">
        <f>IFERROR(__xludf.DUMMYFUNCTION("""COMPUTED_VALUE"""),365.83)</f>
        <v>365.83</v>
      </c>
      <c r="E1369" s="1">
        <f>IFERROR(__xludf.DUMMYFUNCTION("""COMPUTED_VALUE"""),368.57)</f>
        <v>368.57</v>
      </c>
      <c r="F1369" s="1">
        <f>IFERROR(__xludf.DUMMYFUNCTION("""COMPUTED_VALUE"""),3.0173438E7)</f>
        <v>30173438</v>
      </c>
    </row>
    <row r="1370">
      <c r="A1370" s="2">
        <f>IFERROR(__xludf.DUMMYFUNCTION("""COMPUTED_VALUE"""),33374.666666666664)</f>
        <v>33374.66667</v>
      </c>
      <c r="B1370" s="1">
        <f>IFERROR(__xludf.DUMMYFUNCTION("""COMPUTED_VALUE"""),368.57)</f>
        <v>368.57</v>
      </c>
      <c r="C1370" s="1">
        <f>IFERROR(__xludf.DUMMYFUNCTION("""COMPUTED_VALUE"""),372.51)</f>
        <v>372.51</v>
      </c>
      <c r="D1370" s="1">
        <f>IFERROR(__xludf.DUMMYFUNCTION("""COMPUTED_VALUE"""),368.57)</f>
        <v>368.57</v>
      </c>
      <c r="E1370" s="1">
        <f>IFERROR(__xludf.DUMMYFUNCTION("""COMPUTED_VALUE"""),372.19)</f>
        <v>372.19</v>
      </c>
      <c r="F1370" s="1">
        <f>IFERROR(__xludf.DUMMYFUNCTION("""COMPUTED_VALUE"""),2.4134376E7)</f>
        <v>24134376</v>
      </c>
    </row>
    <row r="1371">
      <c r="A1371" s="2">
        <f>IFERROR(__xludf.DUMMYFUNCTION("""COMPUTED_VALUE"""),33375.666666666664)</f>
        <v>33375.66667</v>
      </c>
      <c r="B1371" s="1">
        <f>IFERROR(__xludf.DUMMYFUNCTION("""COMPUTED_VALUE"""),372.19)</f>
        <v>372.19</v>
      </c>
      <c r="C1371" s="1">
        <f>IFERROR(__xludf.DUMMYFUNCTION("""COMPUTED_VALUE"""),373.01)</f>
        <v>373.01</v>
      </c>
      <c r="D1371" s="1">
        <f>IFERROR(__xludf.DUMMYFUNCTION("""COMPUTED_VALUE"""),369.44)</f>
        <v>369.44</v>
      </c>
      <c r="E1371" s="1">
        <f>IFERROR(__xludf.DUMMYFUNCTION("""COMPUTED_VALUE"""),372.39)</f>
        <v>372.39</v>
      </c>
      <c r="F1371" s="1">
        <f>IFERROR(__xludf.DUMMYFUNCTION("""COMPUTED_VALUE"""),2.7220312E7)</f>
        <v>27220312</v>
      </c>
    </row>
    <row r="1372">
      <c r="A1372" s="2">
        <f>IFERROR(__xludf.DUMMYFUNCTION("""COMPUTED_VALUE"""),33378.666666666664)</f>
        <v>33378.66667</v>
      </c>
      <c r="B1372" s="1">
        <f>IFERROR(__xludf.DUMMYFUNCTION("""COMPUTED_VALUE"""),372.39)</f>
        <v>372.39</v>
      </c>
      <c r="C1372" s="1">
        <f>IFERROR(__xludf.DUMMYFUNCTION("""COMPUTED_VALUE"""),373.65)</f>
        <v>373.65</v>
      </c>
      <c r="D1372" s="1">
        <f>IFERROR(__xludf.DUMMYFUNCTION("""COMPUTED_VALUE"""),371.26)</f>
        <v>371.26</v>
      </c>
      <c r="E1372" s="1">
        <f>IFERROR(__xludf.DUMMYFUNCTION("""COMPUTED_VALUE"""),372.28)</f>
        <v>372.28</v>
      </c>
      <c r="F1372" s="1">
        <f>IFERROR(__xludf.DUMMYFUNCTION("""COMPUTED_VALUE"""),1.7110938E7)</f>
        <v>17110938</v>
      </c>
    </row>
    <row r="1373">
      <c r="A1373" s="2">
        <f>IFERROR(__xludf.DUMMYFUNCTION("""COMPUTED_VALUE"""),33379.666666666664)</f>
        <v>33379.66667</v>
      </c>
      <c r="B1373" s="1">
        <f>IFERROR(__xludf.DUMMYFUNCTION("""COMPUTED_VALUE"""),372.28)</f>
        <v>372.28</v>
      </c>
      <c r="C1373" s="1">
        <f>IFERROR(__xludf.DUMMYFUNCTION("""COMPUTED_VALUE"""),376.66)</f>
        <v>376.66</v>
      </c>
      <c r="D1373" s="1">
        <f>IFERROR(__xludf.DUMMYFUNCTION("""COMPUTED_VALUE"""),372.28)</f>
        <v>372.28</v>
      </c>
      <c r="E1373" s="1">
        <f>IFERROR(__xludf.DUMMYFUNCTION("""COMPUTED_VALUE"""),375.35)</f>
        <v>375.35</v>
      </c>
      <c r="F1373" s="1">
        <f>IFERROR(__xludf.DUMMYFUNCTION("""COMPUTED_VALUE"""),2.7596876E7)</f>
        <v>27596876</v>
      </c>
    </row>
    <row r="1374">
      <c r="A1374" s="2">
        <f>IFERROR(__xludf.DUMMYFUNCTION("""COMPUTED_VALUE"""),33380.666666666664)</f>
        <v>33380.66667</v>
      </c>
      <c r="B1374" s="1">
        <f>IFERROR(__xludf.DUMMYFUNCTION("""COMPUTED_VALUE"""),375.35)</f>
        <v>375.35</v>
      </c>
      <c r="C1374" s="1">
        <f>IFERROR(__xludf.DUMMYFUNCTION("""COMPUTED_VALUE"""),376.5)</f>
        <v>376.5</v>
      </c>
      <c r="D1374" s="1">
        <f>IFERROR(__xludf.DUMMYFUNCTION("""COMPUTED_VALUE"""),374.4)</f>
        <v>374.4</v>
      </c>
      <c r="E1374" s="1">
        <f>IFERROR(__xludf.DUMMYFUNCTION("""COMPUTED_VALUE"""),376.19)</f>
        <v>376.19</v>
      </c>
      <c r="F1374" s="1">
        <f>IFERROR(__xludf.DUMMYFUNCTION("""COMPUTED_VALUE"""),2.4892188E7)</f>
        <v>24892188</v>
      </c>
    </row>
    <row r="1375">
      <c r="A1375" s="2">
        <f>IFERROR(__xludf.DUMMYFUNCTION("""COMPUTED_VALUE"""),33381.666666666664)</f>
        <v>33381.66667</v>
      </c>
      <c r="B1375" s="1">
        <f>IFERROR(__xludf.DUMMYFUNCTION("""COMPUTED_VALUE"""),376.19)</f>
        <v>376.19</v>
      </c>
      <c r="C1375" s="1">
        <f>IFERROR(__xludf.DUMMYFUNCTION("""COMPUTED_VALUE"""),378.07)</f>
        <v>378.07</v>
      </c>
      <c r="D1375" s="1">
        <f>IFERROR(__xludf.DUMMYFUNCTION("""COMPUTED_VALUE"""),373.55)</f>
        <v>373.55</v>
      </c>
      <c r="E1375" s="1">
        <f>IFERROR(__xludf.DUMMYFUNCTION("""COMPUTED_VALUE"""),374.96)</f>
        <v>374.96</v>
      </c>
      <c r="F1375" s="1">
        <f>IFERROR(__xludf.DUMMYFUNCTION("""COMPUTED_VALUE"""),2.704375E7)</f>
        <v>27043750</v>
      </c>
    </row>
    <row r="1376">
      <c r="A1376" s="2">
        <f>IFERROR(__xludf.DUMMYFUNCTION("""COMPUTED_VALUE"""),33382.666666666664)</f>
        <v>33382.66667</v>
      </c>
      <c r="B1376" s="1">
        <f>IFERROR(__xludf.DUMMYFUNCTION("""COMPUTED_VALUE"""),374.97)</f>
        <v>374.97</v>
      </c>
      <c r="C1376" s="1">
        <f>IFERROR(__xludf.DUMMYFUNCTION("""COMPUTED_VALUE"""),378.08)</f>
        <v>378.08</v>
      </c>
      <c r="D1376" s="1">
        <f>IFERROR(__xludf.DUMMYFUNCTION("""COMPUTED_VALUE"""),374.97)</f>
        <v>374.97</v>
      </c>
      <c r="E1376" s="1">
        <f>IFERROR(__xludf.DUMMYFUNCTION("""COMPUTED_VALUE"""),377.49)</f>
        <v>377.49</v>
      </c>
      <c r="F1376" s="1">
        <f>IFERROR(__xludf.DUMMYFUNCTION("""COMPUTED_VALUE"""),1.9475E7)</f>
        <v>19475000</v>
      </c>
    </row>
    <row r="1377">
      <c r="A1377" s="2">
        <f>IFERROR(__xludf.DUMMYFUNCTION("""COMPUTED_VALUE"""),33386.666666666664)</f>
        <v>33386.66667</v>
      </c>
      <c r="B1377" s="1">
        <f>IFERROR(__xludf.DUMMYFUNCTION("""COMPUTED_VALUE"""),377.49)</f>
        <v>377.49</v>
      </c>
      <c r="C1377" s="1">
        <f>IFERROR(__xludf.DUMMYFUNCTION("""COMPUTED_VALUE"""),382.1)</f>
        <v>382.1</v>
      </c>
      <c r="D1377" s="1">
        <f>IFERROR(__xludf.DUMMYFUNCTION("""COMPUTED_VALUE"""),377.12)</f>
        <v>377.12</v>
      </c>
      <c r="E1377" s="1">
        <f>IFERROR(__xludf.DUMMYFUNCTION("""COMPUTED_VALUE"""),381.94)</f>
        <v>381.94</v>
      </c>
      <c r="F1377" s="1">
        <f>IFERROR(__xludf.DUMMYFUNCTION("""COMPUTED_VALUE"""),2.5367188E7)</f>
        <v>25367188</v>
      </c>
    </row>
    <row r="1378">
      <c r="A1378" s="2">
        <f>IFERROR(__xludf.DUMMYFUNCTION("""COMPUTED_VALUE"""),33387.666666666664)</f>
        <v>33387.66667</v>
      </c>
      <c r="B1378" s="1">
        <f>IFERROR(__xludf.DUMMYFUNCTION("""COMPUTED_VALUE"""),381.94)</f>
        <v>381.94</v>
      </c>
      <c r="C1378" s="1">
        <f>IFERROR(__xludf.DUMMYFUNCTION("""COMPUTED_VALUE"""),383.66)</f>
        <v>383.66</v>
      </c>
      <c r="D1378" s="1">
        <f>IFERROR(__xludf.DUMMYFUNCTION("""COMPUTED_VALUE"""),381.37)</f>
        <v>381.37</v>
      </c>
      <c r="E1378" s="1">
        <f>IFERROR(__xludf.DUMMYFUNCTION("""COMPUTED_VALUE"""),382.79)</f>
        <v>382.79</v>
      </c>
      <c r="F1378" s="1">
        <f>IFERROR(__xludf.DUMMYFUNCTION("""COMPUTED_VALUE"""),2.9445312E7)</f>
        <v>29445312</v>
      </c>
    </row>
    <row r="1379">
      <c r="A1379" s="2">
        <f>IFERROR(__xludf.DUMMYFUNCTION("""COMPUTED_VALUE"""),33388.666666666664)</f>
        <v>33388.66667</v>
      </c>
      <c r="B1379" s="1">
        <f>IFERROR(__xludf.DUMMYFUNCTION("""COMPUTED_VALUE"""),382.79)</f>
        <v>382.79</v>
      </c>
      <c r="C1379" s="1">
        <f>IFERROR(__xludf.DUMMYFUNCTION("""COMPUTED_VALUE"""),388.17)</f>
        <v>388.17</v>
      </c>
      <c r="D1379" s="1">
        <f>IFERROR(__xludf.DUMMYFUNCTION("""COMPUTED_VALUE"""),382.5)</f>
        <v>382.5</v>
      </c>
      <c r="E1379" s="1">
        <f>IFERROR(__xludf.DUMMYFUNCTION("""COMPUTED_VALUE"""),386.96)</f>
        <v>386.96</v>
      </c>
      <c r="F1379" s="1">
        <f>IFERROR(__xludf.DUMMYFUNCTION("""COMPUTED_VALUE"""),3.6631248E7)</f>
        <v>36631248</v>
      </c>
    </row>
    <row r="1380">
      <c r="A1380" s="2">
        <f>IFERROR(__xludf.DUMMYFUNCTION("""COMPUTED_VALUE"""),33389.666666666664)</f>
        <v>33389.66667</v>
      </c>
      <c r="B1380" s="1">
        <f>IFERROR(__xludf.DUMMYFUNCTION("""COMPUTED_VALUE"""),386.96)</f>
        <v>386.96</v>
      </c>
      <c r="C1380" s="1">
        <f>IFERROR(__xludf.DUMMYFUNCTION("""COMPUTED_VALUE"""),389.85)</f>
        <v>389.85</v>
      </c>
      <c r="D1380" s="1">
        <f>IFERROR(__xludf.DUMMYFUNCTION("""COMPUTED_VALUE"""),385.01)</f>
        <v>385.01</v>
      </c>
      <c r="E1380" s="1">
        <f>IFERROR(__xludf.DUMMYFUNCTION("""COMPUTED_VALUE"""),389.83)</f>
        <v>389.83</v>
      </c>
      <c r="F1380" s="1">
        <f>IFERROR(__xludf.DUMMYFUNCTION("""COMPUTED_VALUE"""),3.6256248E7)</f>
        <v>36256248</v>
      </c>
    </row>
    <row r="1381">
      <c r="A1381" s="2">
        <f>IFERROR(__xludf.DUMMYFUNCTION("""COMPUTED_VALUE"""),33392.666666666664)</f>
        <v>33392.66667</v>
      </c>
      <c r="B1381" s="1">
        <f>IFERROR(__xludf.DUMMYFUNCTION("""COMPUTED_VALUE"""),389.81)</f>
        <v>389.81</v>
      </c>
      <c r="C1381" s="1">
        <f>IFERROR(__xludf.DUMMYFUNCTION("""COMPUTED_VALUE"""),389.81)</f>
        <v>389.81</v>
      </c>
      <c r="D1381" s="1">
        <f>IFERROR(__xludf.DUMMYFUNCTION("""COMPUTED_VALUE"""),386.97)</f>
        <v>386.97</v>
      </c>
      <c r="E1381" s="1">
        <f>IFERROR(__xludf.DUMMYFUNCTION("""COMPUTED_VALUE"""),388.06)</f>
        <v>388.06</v>
      </c>
      <c r="F1381" s="1">
        <f>IFERROR(__xludf.DUMMYFUNCTION("""COMPUTED_VALUE"""),2.7185938E7)</f>
        <v>27185938</v>
      </c>
    </row>
    <row r="1382">
      <c r="A1382" s="2">
        <f>IFERROR(__xludf.DUMMYFUNCTION("""COMPUTED_VALUE"""),33393.666666666664)</f>
        <v>33393.66667</v>
      </c>
      <c r="B1382" s="1">
        <f>IFERROR(__xludf.DUMMYFUNCTION("""COMPUTED_VALUE"""),388.06)</f>
        <v>388.06</v>
      </c>
      <c r="C1382" s="1">
        <f>IFERROR(__xludf.DUMMYFUNCTION("""COMPUTED_VALUE"""),388.06)</f>
        <v>388.06</v>
      </c>
      <c r="D1382" s="1">
        <f>IFERROR(__xludf.DUMMYFUNCTION("""COMPUTED_VALUE"""),385.14)</f>
        <v>385.14</v>
      </c>
      <c r="E1382" s="1">
        <f>IFERROR(__xludf.DUMMYFUNCTION("""COMPUTED_VALUE"""),387.74)</f>
        <v>387.74</v>
      </c>
      <c r="F1382" s="1">
        <f>IFERROR(__xludf.DUMMYFUNCTION("""COMPUTED_VALUE"""),2.8195312E7)</f>
        <v>28195312</v>
      </c>
    </row>
    <row r="1383">
      <c r="A1383" s="2">
        <f>IFERROR(__xludf.DUMMYFUNCTION("""COMPUTED_VALUE"""),33394.666666666664)</f>
        <v>33394.66667</v>
      </c>
      <c r="B1383" s="1">
        <f>IFERROR(__xludf.DUMMYFUNCTION("""COMPUTED_VALUE"""),387.74)</f>
        <v>387.74</v>
      </c>
      <c r="C1383" s="1">
        <f>IFERROR(__xludf.DUMMYFUNCTION("""COMPUTED_VALUE"""),388.23)</f>
        <v>388.23</v>
      </c>
      <c r="D1383" s="1">
        <f>IFERROR(__xludf.DUMMYFUNCTION("""COMPUTED_VALUE"""),384.45)</f>
        <v>384.45</v>
      </c>
      <c r="E1383" s="1">
        <f>IFERROR(__xludf.DUMMYFUNCTION("""COMPUTED_VALUE"""),385.09)</f>
        <v>385.09</v>
      </c>
      <c r="F1383" s="1">
        <f>IFERROR(__xludf.DUMMYFUNCTION("""COMPUTED_VALUE"""),2.915E7)</f>
        <v>29150000</v>
      </c>
    </row>
    <row r="1384">
      <c r="A1384" s="2">
        <f>IFERROR(__xludf.DUMMYFUNCTION("""COMPUTED_VALUE"""),33395.666666666664)</f>
        <v>33395.66667</v>
      </c>
      <c r="B1384" s="1">
        <f>IFERROR(__xludf.DUMMYFUNCTION("""COMPUTED_VALUE"""),385.1)</f>
        <v>385.1</v>
      </c>
      <c r="C1384" s="1">
        <f>IFERROR(__xludf.DUMMYFUNCTION("""COMPUTED_VALUE"""),385.85)</f>
        <v>385.85</v>
      </c>
      <c r="D1384" s="1">
        <f>IFERROR(__xludf.DUMMYFUNCTION("""COMPUTED_VALUE"""),383.13)</f>
        <v>383.13</v>
      </c>
      <c r="E1384" s="1">
        <f>IFERROR(__xludf.DUMMYFUNCTION("""COMPUTED_VALUE"""),383.63)</f>
        <v>383.63</v>
      </c>
      <c r="F1384" s="1">
        <f>IFERROR(__xludf.DUMMYFUNCTION("""COMPUTED_VALUE"""),2.6290624E7)</f>
        <v>26290624</v>
      </c>
    </row>
    <row r="1385">
      <c r="A1385" s="2">
        <f>IFERROR(__xludf.DUMMYFUNCTION("""COMPUTED_VALUE"""),33396.666666666664)</f>
        <v>33396.66667</v>
      </c>
      <c r="B1385" s="1">
        <f>IFERROR(__xludf.DUMMYFUNCTION("""COMPUTED_VALUE"""),383.63)</f>
        <v>383.63</v>
      </c>
      <c r="C1385" s="1">
        <f>IFERROR(__xludf.DUMMYFUNCTION("""COMPUTED_VALUE"""),383.63)</f>
        <v>383.63</v>
      </c>
      <c r="D1385" s="1">
        <f>IFERROR(__xludf.DUMMYFUNCTION("""COMPUTED_VALUE"""),378.76)</f>
        <v>378.76</v>
      </c>
      <c r="E1385" s="1">
        <f>IFERROR(__xludf.DUMMYFUNCTION("""COMPUTED_VALUE"""),379.43)</f>
        <v>379.43</v>
      </c>
      <c r="F1385" s="1">
        <f>IFERROR(__xludf.DUMMYFUNCTION("""COMPUTED_VALUE"""),2.6495312E7)</f>
        <v>26495312</v>
      </c>
    </row>
    <row r="1386">
      <c r="A1386" s="2">
        <f>IFERROR(__xludf.DUMMYFUNCTION("""COMPUTED_VALUE"""),33399.666666666664)</f>
        <v>33399.66667</v>
      </c>
      <c r="B1386" s="1">
        <f>IFERROR(__xludf.DUMMYFUNCTION("""COMPUTED_VALUE"""),379.43)</f>
        <v>379.43</v>
      </c>
      <c r="C1386" s="1">
        <f>IFERROR(__xludf.DUMMYFUNCTION("""COMPUTED_VALUE"""),379.75)</f>
        <v>379.75</v>
      </c>
      <c r="D1386" s="1">
        <f>IFERROR(__xludf.DUMMYFUNCTION("""COMPUTED_VALUE"""),377.95)</f>
        <v>377.95</v>
      </c>
      <c r="E1386" s="1">
        <f>IFERROR(__xludf.DUMMYFUNCTION("""COMPUTED_VALUE"""),378.57)</f>
        <v>378.57</v>
      </c>
      <c r="F1386" s="1">
        <f>IFERROR(__xludf.DUMMYFUNCTION("""COMPUTED_VALUE"""),1.995625E7)</f>
        <v>19956250</v>
      </c>
    </row>
    <row r="1387">
      <c r="A1387" s="2">
        <f>IFERROR(__xludf.DUMMYFUNCTION("""COMPUTED_VALUE"""),33400.666666666664)</f>
        <v>33400.66667</v>
      </c>
      <c r="B1387" s="1">
        <f>IFERROR(__xludf.DUMMYFUNCTION("""COMPUTED_VALUE"""),378.57)</f>
        <v>378.57</v>
      </c>
      <c r="C1387" s="1">
        <f>IFERROR(__xludf.DUMMYFUNCTION("""COMPUTED_VALUE"""),381.63)</f>
        <v>381.63</v>
      </c>
      <c r="D1387" s="1">
        <f>IFERROR(__xludf.DUMMYFUNCTION("""COMPUTED_VALUE"""),378.57)</f>
        <v>378.57</v>
      </c>
      <c r="E1387" s="1">
        <f>IFERROR(__xludf.DUMMYFUNCTION("""COMPUTED_VALUE"""),381.05)</f>
        <v>381.05</v>
      </c>
      <c r="F1387" s="1">
        <f>IFERROR(__xludf.DUMMYFUNCTION("""COMPUTED_VALUE"""),2.5251562E7)</f>
        <v>25251562</v>
      </c>
    </row>
    <row r="1388">
      <c r="A1388" s="2">
        <f>IFERROR(__xludf.DUMMYFUNCTION("""COMPUTED_VALUE"""),33401.666666666664)</f>
        <v>33401.66667</v>
      </c>
      <c r="B1388" s="1">
        <f>IFERROR(__xludf.DUMMYFUNCTION("""COMPUTED_VALUE"""),381.05)</f>
        <v>381.05</v>
      </c>
      <c r="C1388" s="1">
        <f>IFERROR(__xludf.DUMMYFUNCTION("""COMPUTED_VALUE"""),381.05)</f>
        <v>381.05</v>
      </c>
      <c r="D1388" s="1">
        <f>IFERROR(__xludf.DUMMYFUNCTION("""COMPUTED_VALUE"""),374.46)</f>
        <v>374.46</v>
      </c>
      <c r="E1388" s="1">
        <f>IFERROR(__xludf.DUMMYFUNCTION("""COMPUTED_VALUE"""),376.65)</f>
        <v>376.65</v>
      </c>
      <c r="F1388" s="1">
        <f>IFERROR(__xludf.DUMMYFUNCTION("""COMPUTED_VALUE"""),2.5959376E7)</f>
        <v>25959376</v>
      </c>
    </row>
    <row r="1389">
      <c r="A1389" s="2">
        <f>IFERROR(__xludf.DUMMYFUNCTION("""COMPUTED_VALUE"""),33402.666666666664)</f>
        <v>33402.66667</v>
      </c>
      <c r="B1389" s="1">
        <f>IFERROR(__xludf.DUMMYFUNCTION("""COMPUTED_VALUE"""),376.65)</f>
        <v>376.65</v>
      </c>
      <c r="C1389" s="1">
        <f>IFERROR(__xludf.DUMMYFUNCTION("""COMPUTED_VALUE"""),377.9)</f>
        <v>377.9</v>
      </c>
      <c r="D1389" s="1">
        <f>IFERROR(__xludf.DUMMYFUNCTION("""COMPUTED_VALUE"""),376.08)</f>
        <v>376.08</v>
      </c>
      <c r="E1389" s="1">
        <f>IFERROR(__xludf.DUMMYFUNCTION("""COMPUTED_VALUE"""),377.63)</f>
        <v>377.63</v>
      </c>
      <c r="F1389" s="1">
        <f>IFERROR(__xludf.DUMMYFUNCTION("""COMPUTED_VALUE"""),2.2757812E7)</f>
        <v>22757812</v>
      </c>
    </row>
    <row r="1390">
      <c r="A1390" s="2">
        <f>IFERROR(__xludf.DUMMYFUNCTION("""COMPUTED_VALUE"""),33403.666666666664)</f>
        <v>33403.66667</v>
      </c>
      <c r="B1390" s="1">
        <f>IFERROR(__xludf.DUMMYFUNCTION("""COMPUTED_VALUE"""),377.63)</f>
        <v>377.63</v>
      </c>
      <c r="C1390" s="1">
        <f>IFERROR(__xludf.DUMMYFUNCTION("""COMPUTED_VALUE"""),382.3)</f>
        <v>382.3</v>
      </c>
      <c r="D1390" s="1">
        <f>IFERROR(__xludf.DUMMYFUNCTION("""COMPUTED_VALUE"""),377.63)</f>
        <v>377.63</v>
      </c>
      <c r="E1390" s="1">
        <f>IFERROR(__xludf.DUMMYFUNCTION("""COMPUTED_VALUE"""),382.29)</f>
        <v>382.29</v>
      </c>
      <c r="F1390" s="1">
        <f>IFERROR(__xludf.DUMMYFUNCTION("""COMPUTED_VALUE"""),2.6242188E7)</f>
        <v>26242188</v>
      </c>
    </row>
    <row r="1391">
      <c r="A1391" s="2">
        <f>IFERROR(__xludf.DUMMYFUNCTION("""COMPUTED_VALUE"""),33406.666666666664)</f>
        <v>33406.66667</v>
      </c>
      <c r="B1391" s="1">
        <f>IFERROR(__xludf.DUMMYFUNCTION("""COMPUTED_VALUE"""),382.3)</f>
        <v>382.3</v>
      </c>
      <c r="C1391" s="1">
        <f>IFERROR(__xludf.DUMMYFUNCTION("""COMPUTED_VALUE"""),382.31)</f>
        <v>382.31</v>
      </c>
      <c r="D1391" s="1">
        <f>IFERROR(__xludf.DUMMYFUNCTION("""COMPUTED_VALUE"""),380.13)</f>
        <v>380.13</v>
      </c>
      <c r="E1391" s="1">
        <f>IFERROR(__xludf.DUMMYFUNCTION("""COMPUTED_VALUE"""),380.13)</f>
        <v>380.13</v>
      </c>
      <c r="F1391" s="1">
        <f>IFERROR(__xludf.DUMMYFUNCTION("""COMPUTED_VALUE"""),2.0973438E7)</f>
        <v>20973438</v>
      </c>
    </row>
    <row r="1392">
      <c r="A1392" s="2">
        <f>IFERROR(__xludf.DUMMYFUNCTION("""COMPUTED_VALUE"""),33407.666666666664)</f>
        <v>33407.66667</v>
      </c>
      <c r="B1392" s="1">
        <f>IFERROR(__xludf.DUMMYFUNCTION("""COMPUTED_VALUE"""),380.13)</f>
        <v>380.13</v>
      </c>
      <c r="C1392" s="1">
        <f>IFERROR(__xludf.DUMMYFUNCTION("""COMPUTED_VALUE"""),381.83)</f>
        <v>381.83</v>
      </c>
      <c r="D1392" s="1">
        <f>IFERROR(__xludf.DUMMYFUNCTION("""COMPUTED_VALUE"""),377.99)</f>
        <v>377.99</v>
      </c>
      <c r="E1392" s="1">
        <f>IFERROR(__xludf.DUMMYFUNCTION("""COMPUTED_VALUE"""),378.59)</f>
        <v>378.59</v>
      </c>
      <c r="F1392" s="1">
        <f>IFERROR(__xludf.DUMMYFUNCTION("""COMPUTED_VALUE"""),2.425E7)</f>
        <v>24250000</v>
      </c>
    </row>
    <row r="1393">
      <c r="A1393" s="2">
        <f>IFERROR(__xludf.DUMMYFUNCTION("""COMPUTED_VALUE"""),33408.666666666664)</f>
        <v>33408.66667</v>
      </c>
      <c r="B1393" s="1">
        <f>IFERROR(__xludf.DUMMYFUNCTION("""COMPUTED_VALUE"""),378.57)</f>
        <v>378.57</v>
      </c>
      <c r="C1393" s="1">
        <f>IFERROR(__xludf.DUMMYFUNCTION("""COMPUTED_VALUE"""),378.57)</f>
        <v>378.57</v>
      </c>
      <c r="D1393" s="1">
        <f>IFERROR(__xludf.DUMMYFUNCTION("""COMPUTED_VALUE"""),374.36)</f>
        <v>374.36</v>
      </c>
      <c r="E1393" s="1">
        <f>IFERROR(__xludf.DUMMYFUNCTION("""COMPUTED_VALUE"""),375.09)</f>
        <v>375.09</v>
      </c>
      <c r="F1393" s="1">
        <f>IFERROR(__xludf.DUMMYFUNCTION("""COMPUTED_VALUE"""),2.444375E7)</f>
        <v>24443750</v>
      </c>
    </row>
    <row r="1394">
      <c r="A1394" s="2">
        <f>IFERROR(__xludf.DUMMYFUNCTION("""COMPUTED_VALUE"""),33409.666666666664)</f>
        <v>33409.66667</v>
      </c>
      <c r="B1394" s="1">
        <f>IFERROR(__xludf.DUMMYFUNCTION("""COMPUTED_VALUE"""),375.09)</f>
        <v>375.09</v>
      </c>
      <c r="C1394" s="1">
        <f>IFERROR(__xludf.DUMMYFUNCTION("""COMPUTED_VALUE"""),376.29)</f>
        <v>376.29</v>
      </c>
      <c r="D1394" s="1">
        <f>IFERROR(__xludf.DUMMYFUNCTION("""COMPUTED_VALUE"""),373.87)</f>
        <v>373.87</v>
      </c>
      <c r="E1394" s="1">
        <f>IFERROR(__xludf.DUMMYFUNCTION("""COMPUTED_VALUE"""),375.42)</f>
        <v>375.42</v>
      </c>
      <c r="F1394" s="1">
        <f>IFERROR(__xludf.DUMMYFUNCTION("""COMPUTED_VALUE"""),2.5621876E7)</f>
        <v>25621876</v>
      </c>
    </row>
    <row r="1395">
      <c r="A1395" s="2">
        <f>IFERROR(__xludf.DUMMYFUNCTION("""COMPUTED_VALUE"""),33410.666666666664)</f>
        <v>33410.66667</v>
      </c>
      <c r="B1395" s="1">
        <f>IFERROR(__xludf.DUMMYFUNCTION("""COMPUTED_VALUE"""),375.42)</f>
        <v>375.42</v>
      </c>
      <c r="C1395" s="1">
        <f>IFERROR(__xludf.DUMMYFUNCTION("""COMPUTED_VALUE"""),377.75)</f>
        <v>377.75</v>
      </c>
      <c r="D1395" s="1">
        <f>IFERROR(__xludf.DUMMYFUNCTION("""COMPUTED_VALUE"""),375.33)</f>
        <v>375.33</v>
      </c>
      <c r="E1395" s="1">
        <f>IFERROR(__xludf.DUMMYFUNCTION("""COMPUTED_VALUE"""),377.75)</f>
        <v>377.75</v>
      </c>
      <c r="F1395" s="1">
        <f>IFERROR(__xludf.DUMMYFUNCTION("""COMPUTED_VALUE"""),3.0204688E7)</f>
        <v>30204688</v>
      </c>
    </row>
    <row r="1396">
      <c r="A1396" s="2">
        <f>IFERROR(__xludf.DUMMYFUNCTION("""COMPUTED_VALUE"""),33413.666666666664)</f>
        <v>33413.66667</v>
      </c>
      <c r="B1396" s="1">
        <f>IFERROR(__xludf.DUMMYFUNCTION("""COMPUTED_VALUE"""),377.74)</f>
        <v>377.74</v>
      </c>
      <c r="C1396" s="1">
        <f>IFERROR(__xludf.DUMMYFUNCTION("""COMPUTED_VALUE"""),377.74)</f>
        <v>377.74</v>
      </c>
      <c r="D1396" s="1">
        <f>IFERROR(__xludf.DUMMYFUNCTION("""COMPUTED_VALUE"""),370.73)</f>
        <v>370.73</v>
      </c>
      <c r="E1396" s="1">
        <f>IFERROR(__xludf.DUMMYFUNCTION("""COMPUTED_VALUE"""),370.94)</f>
        <v>370.94</v>
      </c>
      <c r="F1396" s="1">
        <f>IFERROR(__xludf.DUMMYFUNCTION("""COMPUTED_VALUE"""),2.1553124E7)</f>
        <v>21553124</v>
      </c>
    </row>
    <row r="1397">
      <c r="A1397" s="2">
        <f>IFERROR(__xludf.DUMMYFUNCTION("""COMPUTED_VALUE"""),33414.666666666664)</f>
        <v>33414.66667</v>
      </c>
      <c r="B1397" s="1">
        <f>IFERROR(__xludf.DUMMYFUNCTION("""COMPUTED_VALUE"""),370.94)</f>
        <v>370.94</v>
      </c>
      <c r="C1397" s="1">
        <f>IFERROR(__xludf.DUMMYFUNCTION("""COMPUTED_VALUE"""),372.62)</f>
        <v>372.62</v>
      </c>
      <c r="D1397" s="1">
        <f>IFERROR(__xludf.DUMMYFUNCTION("""COMPUTED_VALUE"""),369.56)</f>
        <v>369.56</v>
      </c>
      <c r="E1397" s="1">
        <f>IFERROR(__xludf.DUMMYFUNCTION("""COMPUTED_VALUE"""),370.65)</f>
        <v>370.65</v>
      </c>
      <c r="F1397" s="1">
        <f>IFERROR(__xludf.DUMMYFUNCTION("""COMPUTED_VALUE"""),2.4329688E7)</f>
        <v>24329688</v>
      </c>
    </row>
    <row r="1398">
      <c r="A1398" s="2">
        <f>IFERROR(__xludf.DUMMYFUNCTION("""COMPUTED_VALUE"""),33415.666666666664)</f>
        <v>33415.66667</v>
      </c>
      <c r="B1398" s="1">
        <f>IFERROR(__xludf.DUMMYFUNCTION("""COMPUTED_VALUE"""),370.65)</f>
        <v>370.65</v>
      </c>
      <c r="C1398" s="1">
        <f>IFERROR(__xludf.DUMMYFUNCTION("""COMPUTED_VALUE"""),372.73)</f>
        <v>372.73</v>
      </c>
      <c r="D1398" s="1">
        <f>IFERROR(__xludf.DUMMYFUNCTION("""COMPUTED_VALUE"""),368.34)</f>
        <v>368.34</v>
      </c>
      <c r="E1398" s="1">
        <f>IFERROR(__xludf.DUMMYFUNCTION("""COMPUTED_VALUE"""),371.59)</f>
        <v>371.59</v>
      </c>
      <c r="F1398" s="1">
        <f>IFERROR(__xludf.DUMMYFUNCTION("""COMPUTED_VALUE"""),2.9245312E7)</f>
        <v>29245312</v>
      </c>
    </row>
    <row r="1399">
      <c r="A1399" s="2">
        <f>IFERROR(__xludf.DUMMYFUNCTION("""COMPUTED_VALUE"""),33416.666666666664)</f>
        <v>33416.66667</v>
      </c>
      <c r="B1399" s="1">
        <f>IFERROR(__xludf.DUMMYFUNCTION("""COMPUTED_VALUE"""),371.59)</f>
        <v>371.59</v>
      </c>
      <c r="C1399" s="1">
        <f>IFERROR(__xludf.DUMMYFUNCTION("""COMPUTED_VALUE"""),374.4)</f>
        <v>374.4</v>
      </c>
      <c r="D1399" s="1">
        <f>IFERROR(__xludf.DUMMYFUNCTION("""COMPUTED_VALUE"""),371.59)</f>
        <v>371.59</v>
      </c>
      <c r="E1399" s="1">
        <f>IFERROR(__xludf.DUMMYFUNCTION("""COMPUTED_VALUE"""),374.4)</f>
        <v>374.4</v>
      </c>
      <c r="F1399" s="1">
        <f>IFERROR(__xludf.DUMMYFUNCTION("""COMPUTED_VALUE"""),2.548125E7)</f>
        <v>25481250</v>
      </c>
    </row>
    <row r="1400">
      <c r="A1400" s="2">
        <f>IFERROR(__xludf.DUMMYFUNCTION("""COMPUTED_VALUE"""),33417.666666666664)</f>
        <v>33417.66667</v>
      </c>
      <c r="B1400" s="1">
        <f>IFERROR(__xludf.DUMMYFUNCTION("""COMPUTED_VALUE"""),374.4)</f>
        <v>374.4</v>
      </c>
      <c r="C1400" s="1">
        <f>IFERROR(__xludf.DUMMYFUNCTION("""COMPUTED_VALUE"""),374.4)</f>
        <v>374.4</v>
      </c>
      <c r="D1400" s="1">
        <f>IFERROR(__xludf.DUMMYFUNCTION("""COMPUTED_VALUE"""),367.98)</f>
        <v>367.98</v>
      </c>
      <c r="E1400" s="1">
        <f>IFERROR(__xludf.DUMMYFUNCTION("""COMPUTED_VALUE"""),371.16)</f>
        <v>371.16</v>
      </c>
      <c r="F1400" s="1">
        <f>IFERROR(__xludf.DUMMYFUNCTION("""COMPUTED_VALUE"""),2.5589062E7)</f>
        <v>25589062</v>
      </c>
    </row>
    <row r="1401">
      <c r="A1401" s="2">
        <f>IFERROR(__xludf.DUMMYFUNCTION("""COMPUTED_VALUE"""),33420.666666666664)</f>
        <v>33420.66667</v>
      </c>
      <c r="B1401" s="1">
        <f>IFERROR(__xludf.DUMMYFUNCTION("""COMPUTED_VALUE"""),371.18)</f>
        <v>371.18</v>
      </c>
      <c r="C1401" s="1">
        <f>IFERROR(__xludf.DUMMYFUNCTION("""COMPUTED_VALUE"""),377.92)</f>
        <v>377.92</v>
      </c>
      <c r="D1401" s="1">
        <f>IFERROR(__xludf.DUMMYFUNCTION("""COMPUTED_VALUE"""),371.18)</f>
        <v>371.18</v>
      </c>
      <c r="E1401" s="1">
        <f>IFERROR(__xludf.DUMMYFUNCTION("""COMPUTED_VALUE"""),377.92)</f>
        <v>377.92</v>
      </c>
      <c r="F1401" s="1">
        <f>IFERROR(__xludf.DUMMYFUNCTION("""COMPUTED_VALUE"""),2.616875E7)</f>
        <v>26168750</v>
      </c>
    </row>
    <row r="1402">
      <c r="A1402" s="2">
        <f>IFERROR(__xludf.DUMMYFUNCTION("""COMPUTED_VALUE"""),33421.666666666664)</f>
        <v>33421.66667</v>
      </c>
      <c r="B1402" s="1">
        <f>IFERROR(__xludf.DUMMYFUNCTION("""COMPUTED_VALUE"""),377.92)</f>
        <v>377.92</v>
      </c>
      <c r="C1402" s="1">
        <f>IFERROR(__xludf.DUMMYFUNCTION("""COMPUTED_VALUE"""),377.93)</f>
        <v>377.93</v>
      </c>
      <c r="D1402" s="1">
        <f>IFERROR(__xludf.DUMMYFUNCTION("""COMPUTED_VALUE"""),376.62)</f>
        <v>376.62</v>
      </c>
      <c r="E1402" s="1">
        <f>IFERROR(__xludf.DUMMYFUNCTION("""COMPUTED_VALUE"""),377.47)</f>
        <v>377.47</v>
      </c>
      <c r="F1402" s="1">
        <f>IFERROR(__xludf.DUMMYFUNCTION("""COMPUTED_VALUE"""),2.4576562E7)</f>
        <v>24576562</v>
      </c>
    </row>
    <row r="1403">
      <c r="A1403" s="2">
        <f>IFERROR(__xludf.DUMMYFUNCTION("""COMPUTED_VALUE"""),33422.666666666664)</f>
        <v>33422.66667</v>
      </c>
      <c r="B1403" s="1">
        <f>IFERROR(__xludf.DUMMYFUNCTION("""COMPUTED_VALUE"""),377.47)</f>
        <v>377.47</v>
      </c>
      <c r="C1403" s="1">
        <f>IFERROR(__xludf.DUMMYFUNCTION("""COMPUTED_VALUE"""),377.47)</f>
        <v>377.47</v>
      </c>
      <c r="D1403" s="1">
        <f>IFERROR(__xludf.DUMMYFUNCTION("""COMPUTED_VALUE"""),372.08)</f>
        <v>372.08</v>
      </c>
      <c r="E1403" s="1">
        <f>IFERROR(__xludf.DUMMYFUNCTION("""COMPUTED_VALUE"""),373.33)</f>
        <v>373.33</v>
      </c>
      <c r="F1403" s="1">
        <f>IFERROR(__xludf.DUMMYFUNCTION("""COMPUTED_VALUE"""),2.1965624E7)</f>
        <v>21965624</v>
      </c>
    </row>
    <row r="1404">
      <c r="A1404" s="2">
        <f>IFERROR(__xludf.DUMMYFUNCTION("""COMPUTED_VALUE"""),33424.666666666664)</f>
        <v>33424.66667</v>
      </c>
      <c r="B1404" s="1">
        <f>IFERROR(__xludf.DUMMYFUNCTION("""COMPUTED_VALUE"""),373.34)</f>
        <v>373.34</v>
      </c>
      <c r="C1404" s="1">
        <f>IFERROR(__xludf.DUMMYFUNCTION("""COMPUTED_VALUE"""),375.51)</f>
        <v>375.51</v>
      </c>
      <c r="D1404" s="1">
        <f>IFERROR(__xludf.DUMMYFUNCTION("""COMPUTED_VALUE"""),372.17)</f>
        <v>372.17</v>
      </c>
      <c r="E1404" s="1">
        <f>IFERROR(__xludf.DUMMYFUNCTION("""COMPUTED_VALUE"""),374.08)</f>
        <v>374.08</v>
      </c>
      <c r="F1404" s="1">
        <f>IFERROR(__xludf.DUMMYFUNCTION("""COMPUTED_VALUE"""),1.0923438E7)</f>
        <v>10923438</v>
      </c>
    </row>
    <row r="1405">
      <c r="A1405" s="2">
        <f>IFERROR(__xludf.DUMMYFUNCTION("""COMPUTED_VALUE"""),33427.666666666664)</f>
        <v>33427.66667</v>
      </c>
      <c r="B1405" s="1">
        <f>IFERROR(__xludf.DUMMYFUNCTION("""COMPUTED_VALUE"""),374.09)</f>
        <v>374.09</v>
      </c>
      <c r="C1405" s="1">
        <f>IFERROR(__xludf.DUMMYFUNCTION("""COMPUTED_VALUE"""),377.94)</f>
        <v>377.94</v>
      </c>
      <c r="D1405" s="1">
        <f>IFERROR(__xludf.DUMMYFUNCTION("""COMPUTED_VALUE"""),370.92)</f>
        <v>370.92</v>
      </c>
      <c r="E1405" s="1">
        <f>IFERROR(__xludf.DUMMYFUNCTION("""COMPUTED_VALUE"""),377.94)</f>
        <v>377.94</v>
      </c>
      <c r="F1405" s="1">
        <f>IFERROR(__xludf.DUMMYFUNCTION("""COMPUTED_VALUE"""),2.1614062E7)</f>
        <v>21614062</v>
      </c>
    </row>
    <row r="1406">
      <c r="A1406" s="2">
        <f>IFERROR(__xludf.DUMMYFUNCTION("""COMPUTED_VALUE"""),33428.666666666664)</f>
        <v>33428.66667</v>
      </c>
      <c r="B1406" s="1">
        <f>IFERROR(__xludf.DUMMYFUNCTION("""COMPUTED_VALUE"""),377.94)</f>
        <v>377.94</v>
      </c>
      <c r="C1406" s="1">
        <f>IFERROR(__xludf.DUMMYFUNCTION("""COMPUTED_VALUE"""),378.58)</f>
        <v>378.58</v>
      </c>
      <c r="D1406" s="1">
        <f>IFERROR(__xludf.DUMMYFUNCTION("""COMPUTED_VALUE"""),375.37)</f>
        <v>375.37</v>
      </c>
      <c r="E1406" s="1">
        <f>IFERROR(__xludf.DUMMYFUNCTION("""COMPUTED_VALUE"""),376.11)</f>
        <v>376.11</v>
      </c>
      <c r="F1406" s="1">
        <f>IFERROR(__xludf.DUMMYFUNCTION("""COMPUTED_VALUE"""),2.3721876E7)</f>
        <v>23721876</v>
      </c>
    </row>
    <row r="1407">
      <c r="A1407" s="2">
        <f>IFERROR(__xludf.DUMMYFUNCTION("""COMPUTED_VALUE"""),33429.666666666664)</f>
        <v>33429.66667</v>
      </c>
      <c r="B1407" s="1">
        <f>IFERROR(__xludf.DUMMYFUNCTION("""COMPUTED_VALUE"""),376.11)</f>
        <v>376.11</v>
      </c>
      <c r="C1407" s="1">
        <f>IFERROR(__xludf.DUMMYFUNCTION("""COMPUTED_VALUE"""),380.35)</f>
        <v>380.35</v>
      </c>
      <c r="D1407" s="1">
        <f>IFERROR(__xludf.DUMMYFUNCTION("""COMPUTED_VALUE"""),375.2)</f>
        <v>375.2</v>
      </c>
      <c r="E1407" s="1">
        <f>IFERROR(__xludf.DUMMYFUNCTION("""COMPUTED_VALUE"""),375.74)</f>
        <v>375.74</v>
      </c>
      <c r="F1407" s="1">
        <f>IFERROR(__xludf.DUMMYFUNCTION("""COMPUTED_VALUE"""),2.7857812E7)</f>
        <v>27857812</v>
      </c>
    </row>
    <row r="1408">
      <c r="A1408" s="2">
        <f>IFERROR(__xludf.DUMMYFUNCTION("""COMPUTED_VALUE"""),33430.666666666664)</f>
        <v>33430.66667</v>
      </c>
      <c r="B1408" s="1">
        <f>IFERROR(__xludf.DUMMYFUNCTION("""COMPUTED_VALUE"""),375.73)</f>
        <v>375.73</v>
      </c>
      <c r="C1408" s="1">
        <f>IFERROR(__xludf.DUMMYFUNCTION("""COMPUTED_VALUE"""),377.68)</f>
        <v>377.68</v>
      </c>
      <c r="D1408" s="1">
        <f>IFERROR(__xludf.DUMMYFUNCTION("""COMPUTED_VALUE"""),375.51)</f>
        <v>375.51</v>
      </c>
      <c r="E1408" s="1">
        <f>IFERROR(__xludf.DUMMYFUNCTION("""COMPUTED_VALUE"""),376.97)</f>
        <v>376.97</v>
      </c>
      <c r="F1408" s="1">
        <f>IFERROR(__xludf.DUMMYFUNCTION("""COMPUTED_VALUE"""),2.4676562E7)</f>
        <v>24676562</v>
      </c>
    </row>
    <row r="1409">
      <c r="A1409" s="2">
        <f>IFERROR(__xludf.DUMMYFUNCTION("""COMPUTED_VALUE"""),33431.666666666664)</f>
        <v>33431.66667</v>
      </c>
      <c r="B1409" s="1">
        <f>IFERROR(__xludf.DUMMYFUNCTION("""COMPUTED_VALUE"""),376.97)</f>
        <v>376.97</v>
      </c>
      <c r="C1409" s="1">
        <f>IFERROR(__xludf.DUMMYFUNCTION("""COMPUTED_VALUE"""),381.41)</f>
        <v>381.41</v>
      </c>
      <c r="D1409" s="1">
        <f>IFERROR(__xludf.DUMMYFUNCTION("""COMPUTED_VALUE"""),375.79)</f>
        <v>375.79</v>
      </c>
      <c r="E1409" s="1">
        <f>IFERROR(__xludf.DUMMYFUNCTION("""COMPUTED_VALUE"""),380.25)</f>
        <v>380.25</v>
      </c>
      <c r="F1409" s="1">
        <f>IFERROR(__xludf.DUMMYFUNCTION("""COMPUTED_VALUE"""),2.7307812E7)</f>
        <v>27307812</v>
      </c>
    </row>
    <row r="1410">
      <c r="A1410" s="2">
        <f>IFERROR(__xludf.DUMMYFUNCTION("""COMPUTED_VALUE"""),33434.666666666664)</f>
        <v>33434.66667</v>
      </c>
      <c r="B1410" s="1">
        <f>IFERROR(__xludf.DUMMYFUNCTION("""COMPUTED_VALUE"""),380.28)</f>
        <v>380.28</v>
      </c>
      <c r="C1410" s="1">
        <f>IFERROR(__xludf.DUMMYFUNCTION("""COMPUTED_VALUE"""),383.0)</f>
        <v>383</v>
      </c>
      <c r="D1410" s="1">
        <f>IFERROR(__xludf.DUMMYFUNCTION("""COMPUTED_VALUE"""),380.24)</f>
        <v>380.24</v>
      </c>
      <c r="E1410" s="1">
        <f>IFERROR(__xludf.DUMMYFUNCTION("""COMPUTED_VALUE"""),382.39)</f>
        <v>382.39</v>
      </c>
      <c r="F1410" s="1">
        <f>IFERROR(__xludf.DUMMYFUNCTION("""COMPUTED_VALUE"""),2.5273438E7)</f>
        <v>25273438</v>
      </c>
    </row>
    <row r="1411">
      <c r="A1411" s="2">
        <f>IFERROR(__xludf.DUMMYFUNCTION("""COMPUTED_VALUE"""),33435.666666666664)</f>
        <v>33435.66667</v>
      </c>
      <c r="B1411" s="1">
        <f>IFERROR(__xludf.DUMMYFUNCTION("""COMPUTED_VALUE"""),382.39)</f>
        <v>382.39</v>
      </c>
      <c r="C1411" s="1">
        <f>IFERROR(__xludf.DUMMYFUNCTION("""COMPUTED_VALUE"""),382.94)</f>
        <v>382.94</v>
      </c>
      <c r="D1411" s="1">
        <f>IFERROR(__xludf.DUMMYFUNCTION("""COMPUTED_VALUE"""),380.8)</f>
        <v>380.8</v>
      </c>
      <c r="E1411" s="1">
        <f>IFERROR(__xludf.DUMMYFUNCTION("""COMPUTED_VALUE"""),381.54)</f>
        <v>381.54</v>
      </c>
      <c r="F1411" s="1">
        <f>IFERROR(__xludf.DUMMYFUNCTION("""COMPUTED_VALUE"""),2.8592188E7)</f>
        <v>28592188</v>
      </c>
    </row>
    <row r="1412">
      <c r="A1412" s="2">
        <f>IFERROR(__xludf.DUMMYFUNCTION("""COMPUTED_VALUE"""),33436.666666666664)</f>
        <v>33436.66667</v>
      </c>
      <c r="B1412" s="1">
        <f>IFERROR(__xludf.DUMMYFUNCTION("""COMPUTED_VALUE"""),381.5)</f>
        <v>381.5</v>
      </c>
      <c r="C1412" s="1">
        <f>IFERROR(__xludf.DUMMYFUNCTION("""COMPUTED_VALUE"""),382.86)</f>
        <v>382.86</v>
      </c>
      <c r="D1412" s="1">
        <f>IFERROR(__xludf.DUMMYFUNCTION("""COMPUTED_VALUE"""),381.13)</f>
        <v>381.13</v>
      </c>
      <c r="E1412" s="1">
        <f>IFERROR(__xludf.DUMMYFUNCTION("""COMPUTED_VALUE"""),381.18)</f>
        <v>381.18</v>
      </c>
      <c r="F1412" s="1">
        <f>IFERROR(__xludf.DUMMYFUNCTION("""COMPUTED_VALUE"""),3.0540624E7)</f>
        <v>30540624</v>
      </c>
    </row>
    <row r="1413">
      <c r="A1413" s="2">
        <f>IFERROR(__xludf.DUMMYFUNCTION("""COMPUTED_VALUE"""),33437.666666666664)</f>
        <v>33437.66667</v>
      </c>
      <c r="B1413" s="1">
        <f>IFERROR(__xludf.DUMMYFUNCTION("""COMPUTED_VALUE"""),381.18)</f>
        <v>381.18</v>
      </c>
      <c r="C1413" s="1">
        <f>IFERROR(__xludf.DUMMYFUNCTION("""COMPUTED_VALUE"""),385.37)</f>
        <v>385.37</v>
      </c>
      <c r="D1413" s="1">
        <f>IFERROR(__xludf.DUMMYFUNCTION("""COMPUTED_VALUE"""),381.18)</f>
        <v>381.18</v>
      </c>
      <c r="E1413" s="1">
        <f>IFERROR(__xludf.DUMMYFUNCTION("""COMPUTED_VALUE"""),385.37)</f>
        <v>385.37</v>
      </c>
      <c r="F1413" s="1">
        <f>IFERROR(__xludf.DUMMYFUNCTION("""COMPUTED_VALUE"""),3.1395312E7)</f>
        <v>31395312</v>
      </c>
    </row>
    <row r="1414">
      <c r="A1414" s="2">
        <f>IFERROR(__xludf.DUMMYFUNCTION("""COMPUTED_VALUE"""),33438.666666666664)</f>
        <v>33438.66667</v>
      </c>
      <c r="B1414" s="1">
        <f>IFERROR(__xludf.DUMMYFUNCTION("""COMPUTED_VALUE"""),385.38)</f>
        <v>385.38</v>
      </c>
      <c r="C1414" s="1">
        <f>IFERROR(__xludf.DUMMYFUNCTION("""COMPUTED_VALUE"""),385.83)</f>
        <v>385.83</v>
      </c>
      <c r="D1414" s="1">
        <f>IFERROR(__xludf.DUMMYFUNCTION("""COMPUTED_VALUE"""),383.65)</f>
        <v>383.65</v>
      </c>
      <c r="E1414" s="1">
        <f>IFERROR(__xludf.DUMMYFUNCTION("""COMPUTED_VALUE"""),384.22)</f>
        <v>384.22</v>
      </c>
      <c r="F1414" s="1">
        <f>IFERROR(__xludf.DUMMYFUNCTION("""COMPUTED_VALUE"""),2.9796876E7)</f>
        <v>29796876</v>
      </c>
    </row>
    <row r="1415">
      <c r="A1415" s="2">
        <f>IFERROR(__xludf.DUMMYFUNCTION("""COMPUTED_VALUE"""),33441.666666666664)</f>
        <v>33441.66667</v>
      </c>
      <c r="B1415" s="1">
        <f>IFERROR(__xludf.DUMMYFUNCTION("""COMPUTED_VALUE"""),384.21)</f>
        <v>384.21</v>
      </c>
      <c r="C1415" s="1">
        <f>IFERROR(__xludf.DUMMYFUNCTION("""COMPUTED_VALUE"""),384.55)</f>
        <v>384.55</v>
      </c>
      <c r="D1415" s="1">
        <f>IFERROR(__xludf.DUMMYFUNCTION("""COMPUTED_VALUE"""),381.84)</f>
        <v>381.84</v>
      </c>
      <c r="E1415" s="1">
        <f>IFERROR(__xludf.DUMMYFUNCTION("""COMPUTED_VALUE"""),382.88)</f>
        <v>382.88</v>
      </c>
      <c r="F1415" s="1">
        <f>IFERROR(__xludf.DUMMYFUNCTION("""COMPUTED_VALUE"""),2.3289062E7)</f>
        <v>23289062</v>
      </c>
    </row>
    <row r="1416">
      <c r="A1416" s="2">
        <f>IFERROR(__xludf.DUMMYFUNCTION("""COMPUTED_VALUE"""),33442.666666666664)</f>
        <v>33442.66667</v>
      </c>
      <c r="B1416" s="1">
        <f>IFERROR(__xludf.DUMMYFUNCTION("""COMPUTED_VALUE"""),382.88)</f>
        <v>382.88</v>
      </c>
      <c r="C1416" s="1">
        <f>IFERROR(__xludf.DUMMYFUNCTION("""COMPUTED_VALUE"""),384.86)</f>
        <v>384.86</v>
      </c>
      <c r="D1416" s="1">
        <f>IFERROR(__xludf.DUMMYFUNCTION("""COMPUTED_VALUE"""),379.39)</f>
        <v>379.39</v>
      </c>
      <c r="E1416" s="1">
        <f>IFERROR(__xludf.DUMMYFUNCTION("""COMPUTED_VALUE"""),379.42)</f>
        <v>379.42</v>
      </c>
      <c r="F1416" s="1">
        <f>IFERROR(__xludf.DUMMYFUNCTION("""COMPUTED_VALUE"""),2.5029688E7)</f>
        <v>25029688</v>
      </c>
    </row>
    <row r="1417">
      <c r="A1417" s="2">
        <f>IFERROR(__xludf.DUMMYFUNCTION("""COMPUTED_VALUE"""),33443.666666666664)</f>
        <v>33443.66667</v>
      </c>
      <c r="B1417" s="1">
        <f>IFERROR(__xludf.DUMMYFUNCTION("""COMPUTED_VALUE"""),379.42)</f>
        <v>379.42</v>
      </c>
      <c r="C1417" s="1">
        <f>IFERROR(__xludf.DUMMYFUNCTION("""COMPUTED_VALUE"""),380.46)</f>
        <v>380.46</v>
      </c>
      <c r="D1417" s="1">
        <f>IFERROR(__xludf.DUMMYFUNCTION("""COMPUTED_VALUE"""),378.29)</f>
        <v>378.29</v>
      </c>
      <c r="E1417" s="1">
        <f>IFERROR(__xludf.DUMMYFUNCTION("""COMPUTED_VALUE"""),378.64)</f>
        <v>378.64</v>
      </c>
      <c r="F1417" s="1">
        <f>IFERROR(__xludf.DUMMYFUNCTION("""COMPUTED_VALUE"""),2.4796876E7)</f>
        <v>24796876</v>
      </c>
    </row>
    <row r="1418">
      <c r="A1418" s="2">
        <f>IFERROR(__xludf.DUMMYFUNCTION("""COMPUTED_VALUE"""),33444.666666666664)</f>
        <v>33444.66667</v>
      </c>
      <c r="B1418" s="1">
        <f>IFERROR(__xludf.DUMMYFUNCTION("""COMPUTED_VALUE"""),378.64)</f>
        <v>378.64</v>
      </c>
      <c r="C1418" s="1">
        <f>IFERROR(__xludf.DUMMYFUNCTION("""COMPUTED_VALUE"""),381.13)</f>
        <v>381.13</v>
      </c>
      <c r="D1418" s="1">
        <f>IFERROR(__xludf.DUMMYFUNCTION("""COMPUTED_VALUE"""),378.15)</f>
        <v>378.15</v>
      </c>
      <c r="E1418" s="1">
        <f>IFERROR(__xludf.DUMMYFUNCTION("""COMPUTED_VALUE"""),380.96)</f>
        <v>380.96</v>
      </c>
      <c r="F1418" s="1">
        <f>IFERROR(__xludf.DUMMYFUNCTION("""COMPUTED_VALUE"""),2.278125E7)</f>
        <v>22781250</v>
      </c>
    </row>
    <row r="1419">
      <c r="A1419" s="2">
        <f>IFERROR(__xludf.DUMMYFUNCTION("""COMPUTED_VALUE"""),33445.666666666664)</f>
        <v>33445.66667</v>
      </c>
      <c r="B1419" s="1">
        <f>IFERROR(__xludf.DUMMYFUNCTION("""COMPUTED_VALUE"""),380.96)</f>
        <v>380.96</v>
      </c>
      <c r="C1419" s="1">
        <f>IFERROR(__xludf.DUMMYFUNCTION("""COMPUTED_VALUE"""),381.76)</f>
        <v>381.76</v>
      </c>
      <c r="D1419" s="1">
        <f>IFERROR(__xludf.DUMMYFUNCTION("""COMPUTED_VALUE"""),379.81)</f>
        <v>379.81</v>
      </c>
      <c r="E1419" s="1">
        <f>IFERROR(__xludf.DUMMYFUNCTION("""COMPUTED_VALUE"""),380.93)</f>
        <v>380.93</v>
      </c>
      <c r="F1419" s="1">
        <f>IFERROR(__xludf.DUMMYFUNCTION("""COMPUTED_VALUE"""),1.99625E7)</f>
        <v>19962500</v>
      </c>
    </row>
    <row r="1420">
      <c r="A1420" s="2">
        <f>IFERROR(__xludf.DUMMYFUNCTION("""COMPUTED_VALUE"""),33448.666666666664)</f>
        <v>33448.66667</v>
      </c>
      <c r="B1420" s="1">
        <f>IFERROR(__xludf.DUMMYFUNCTION("""COMPUTED_VALUE"""),380.93)</f>
        <v>380.93</v>
      </c>
      <c r="C1420" s="1">
        <f>IFERROR(__xludf.DUMMYFUNCTION("""COMPUTED_VALUE"""),383.15)</f>
        <v>383.15</v>
      </c>
      <c r="D1420" s="1">
        <f>IFERROR(__xludf.DUMMYFUNCTION("""COMPUTED_VALUE"""),380.45)</f>
        <v>380.45</v>
      </c>
      <c r="E1420" s="1">
        <f>IFERROR(__xludf.DUMMYFUNCTION("""COMPUTED_VALUE"""),383.15)</f>
        <v>383.15</v>
      </c>
      <c r="F1420" s="1">
        <f>IFERROR(__xludf.DUMMYFUNCTION("""COMPUTED_VALUE"""),2.125E7)</f>
        <v>21250000</v>
      </c>
    </row>
    <row r="1421">
      <c r="A1421" s="2">
        <f>IFERROR(__xludf.DUMMYFUNCTION("""COMPUTED_VALUE"""),33449.666666666664)</f>
        <v>33449.66667</v>
      </c>
      <c r="B1421" s="1">
        <f>IFERROR(__xludf.DUMMYFUNCTION("""COMPUTED_VALUE"""),383.15)</f>
        <v>383.15</v>
      </c>
      <c r="C1421" s="1">
        <f>IFERROR(__xludf.DUMMYFUNCTION("""COMPUTED_VALUE"""),386.92)</f>
        <v>386.92</v>
      </c>
      <c r="D1421" s="1">
        <f>IFERROR(__xludf.DUMMYFUNCTION("""COMPUTED_VALUE"""),383.15)</f>
        <v>383.15</v>
      </c>
      <c r="E1421" s="1">
        <f>IFERROR(__xludf.DUMMYFUNCTION("""COMPUTED_VALUE"""),386.69)</f>
        <v>386.69</v>
      </c>
      <c r="F1421" s="1">
        <f>IFERROR(__xludf.DUMMYFUNCTION("""COMPUTED_VALUE"""),2.6407812E7)</f>
        <v>26407812</v>
      </c>
    </row>
    <row r="1422">
      <c r="A1422" s="2">
        <f>IFERROR(__xludf.DUMMYFUNCTION("""COMPUTED_VALUE"""),33450.666666666664)</f>
        <v>33450.66667</v>
      </c>
      <c r="B1422" s="1">
        <f>IFERROR(__xludf.DUMMYFUNCTION("""COMPUTED_VALUE"""),386.69)</f>
        <v>386.69</v>
      </c>
      <c r="C1422" s="1">
        <f>IFERROR(__xludf.DUMMYFUNCTION("""COMPUTED_VALUE"""),387.81)</f>
        <v>387.81</v>
      </c>
      <c r="D1422" s="1">
        <f>IFERROR(__xludf.DUMMYFUNCTION("""COMPUTED_VALUE"""),386.19)</f>
        <v>386.19</v>
      </c>
      <c r="E1422" s="1">
        <f>IFERROR(__xludf.DUMMYFUNCTION("""COMPUTED_VALUE"""),387.81)</f>
        <v>387.81</v>
      </c>
      <c r="F1422" s="1">
        <f>IFERROR(__xludf.DUMMYFUNCTION("""COMPUTED_VALUE"""),2.6067188E7)</f>
        <v>26067188</v>
      </c>
    </row>
    <row r="1423">
      <c r="A1423" s="2">
        <f>IFERROR(__xludf.DUMMYFUNCTION("""COMPUTED_VALUE"""),33451.666666666664)</f>
        <v>33451.66667</v>
      </c>
      <c r="B1423" s="1">
        <f>IFERROR(__xludf.DUMMYFUNCTION("""COMPUTED_VALUE"""),387.81)</f>
        <v>387.81</v>
      </c>
      <c r="C1423" s="1">
        <f>IFERROR(__xludf.DUMMYFUNCTION("""COMPUTED_VALUE"""),387.95)</f>
        <v>387.95</v>
      </c>
      <c r="D1423" s="1">
        <f>IFERROR(__xludf.DUMMYFUNCTION("""COMPUTED_VALUE"""),386.48)</f>
        <v>386.48</v>
      </c>
      <c r="E1423" s="1">
        <f>IFERROR(__xludf.DUMMYFUNCTION("""COMPUTED_VALUE"""),387.12)</f>
        <v>387.12</v>
      </c>
      <c r="F1423" s="1">
        <f>IFERROR(__xludf.DUMMYFUNCTION("""COMPUTED_VALUE"""),2.6657812E7)</f>
        <v>26657812</v>
      </c>
    </row>
    <row r="1424">
      <c r="A1424" s="2">
        <f>IFERROR(__xludf.DUMMYFUNCTION("""COMPUTED_VALUE"""),33452.666666666664)</f>
        <v>33452.66667</v>
      </c>
      <c r="B1424" s="1">
        <f>IFERROR(__xludf.DUMMYFUNCTION("""COMPUTED_VALUE"""),387.12)</f>
        <v>387.12</v>
      </c>
      <c r="C1424" s="1">
        <f>IFERROR(__xludf.DUMMYFUNCTION("""COMPUTED_VALUE"""),389.56)</f>
        <v>389.56</v>
      </c>
      <c r="D1424" s="1">
        <f>IFERROR(__xludf.DUMMYFUNCTION("""COMPUTED_VALUE"""),386.05)</f>
        <v>386.05</v>
      </c>
      <c r="E1424" s="1">
        <f>IFERROR(__xludf.DUMMYFUNCTION("""COMPUTED_VALUE"""),387.18)</f>
        <v>387.18</v>
      </c>
      <c r="F1424" s="1">
        <f>IFERROR(__xludf.DUMMYFUNCTION("""COMPUTED_VALUE"""),2.5354688E7)</f>
        <v>25354688</v>
      </c>
    </row>
    <row r="1425">
      <c r="A1425" s="2">
        <f>IFERROR(__xludf.DUMMYFUNCTION("""COMPUTED_VALUE"""),33455.666666666664)</f>
        <v>33455.66667</v>
      </c>
      <c r="B1425" s="1">
        <f>IFERROR(__xludf.DUMMYFUNCTION("""COMPUTED_VALUE"""),387.17)</f>
        <v>387.17</v>
      </c>
      <c r="C1425" s="1">
        <f>IFERROR(__xludf.DUMMYFUNCTION("""COMPUTED_VALUE"""),387.17)</f>
        <v>387.17</v>
      </c>
      <c r="D1425" s="1">
        <f>IFERROR(__xludf.DUMMYFUNCTION("""COMPUTED_VALUE"""),384.48)</f>
        <v>384.48</v>
      </c>
      <c r="E1425" s="1">
        <f>IFERROR(__xludf.DUMMYFUNCTION("""COMPUTED_VALUE"""),385.06)</f>
        <v>385.06</v>
      </c>
      <c r="F1425" s="1">
        <f>IFERROR(__xludf.DUMMYFUNCTION("""COMPUTED_VALUE"""),2.0007812E7)</f>
        <v>20007812</v>
      </c>
    </row>
    <row r="1426">
      <c r="A1426" s="2">
        <f>IFERROR(__xludf.DUMMYFUNCTION("""COMPUTED_VALUE"""),33456.666666666664)</f>
        <v>33456.66667</v>
      </c>
      <c r="B1426" s="1">
        <f>IFERROR(__xludf.DUMMYFUNCTION("""COMPUTED_VALUE"""),385.06)</f>
        <v>385.06</v>
      </c>
      <c r="C1426" s="1">
        <f>IFERROR(__xludf.DUMMYFUNCTION("""COMPUTED_VALUE"""),390.8)</f>
        <v>390.8</v>
      </c>
      <c r="D1426" s="1">
        <f>IFERROR(__xludf.DUMMYFUNCTION("""COMPUTED_VALUE"""),384.29)</f>
        <v>384.29</v>
      </c>
      <c r="E1426" s="1">
        <f>IFERROR(__xludf.DUMMYFUNCTION("""COMPUTED_VALUE"""),390.62)</f>
        <v>390.62</v>
      </c>
      <c r="F1426" s="1">
        <f>IFERROR(__xludf.DUMMYFUNCTION("""COMPUTED_VALUE"""),2.7259376E7)</f>
        <v>27259376</v>
      </c>
    </row>
    <row r="1427">
      <c r="A1427" s="2">
        <f>IFERROR(__xludf.DUMMYFUNCTION("""COMPUTED_VALUE"""),33457.666666666664)</f>
        <v>33457.66667</v>
      </c>
      <c r="B1427" s="1">
        <f>IFERROR(__xludf.DUMMYFUNCTION("""COMPUTED_VALUE"""),390.62)</f>
        <v>390.62</v>
      </c>
      <c r="C1427" s="1">
        <f>IFERROR(__xludf.DUMMYFUNCTION("""COMPUTED_VALUE"""),391.59)</f>
        <v>391.59</v>
      </c>
      <c r="D1427" s="1">
        <f>IFERROR(__xludf.DUMMYFUNCTION("""COMPUTED_VALUE"""),389.86)</f>
        <v>389.86</v>
      </c>
      <c r="E1427" s="1">
        <f>IFERROR(__xludf.DUMMYFUNCTION("""COMPUTED_VALUE"""),390.56)</f>
        <v>390.56</v>
      </c>
      <c r="F1427" s="1">
        <f>IFERROR(__xludf.DUMMYFUNCTION("""COMPUTED_VALUE"""),2.6909376E7)</f>
        <v>26909376</v>
      </c>
    </row>
    <row r="1428">
      <c r="A1428" s="2">
        <f>IFERROR(__xludf.DUMMYFUNCTION("""COMPUTED_VALUE"""),33458.666666666664)</f>
        <v>33458.66667</v>
      </c>
      <c r="B1428" s="1">
        <f>IFERROR(__xludf.DUMMYFUNCTION("""COMPUTED_VALUE"""),390.56)</f>
        <v>390.56</v>
      </c>
      <c r="C1428" s="1">
        <f>IFERROR(__xludf.DUMMYFUNCTION("""COMPUTED_VALUE"""),391.8)</f>
        <v>391.8</v>
      </c>
      <c r="D1428" s="1">
        <f>IFERROR(__xludf.DUMMYFUNCTION("""COMPUTED_VALUE"""),388.15)</f>
        <v>388.15</v>
      </c>
      <c r="E1428" s="1">
        <f>IFERROR(__xludf.DUMMYFUNCTION("""COMPUTED_VALUE"""),389.32)</f>
        <v>389.32</v>
      </c>
      <c r="F1428" s="1">
        <f>IFERROR(__xludf.DUMMYFUNCTION("""COMPUTED_VALUE"""),2.5607812E7)</f>
        <v>25607812</v>
      </c>
    </row>
    <row r="1429">
      <c r="A1429" s="2">
        <f>IFERROR(__xludf.DUMMYFUNCTION("""COMPUTED_VALUE"""),33459.666666666664)</f>
        <v>33459.66667</v>
      </c>
      <c r="B1429" s="1">
        <f>IFERROR(__xludf.DUMMYFUNCTION("""COMPUTED_VALUE"""),389.32)</f>
        <v>389.32</v>
      </c>
      <c r="C1429" s="1">
        <f>IFERROR(__xludf.DUMMYFUNCTION("""COMPUTED_VALUE"""),389.89)</f>
        <v>389.89</v>
      </c>
      <c r="D1429" s="1">
        <f>IFERROR(__xludf.DUMMYFUNCTION("""COMPUTED_VALUE"""),387.04)</f>
        <v>387.04</v>
      </c>
      <c r="E1429" s="1">
        <f>IFERROR(__xludf.DUMMYFUNCTION("""COMPUTED_VALUE"""),387.12)</f>
        <v>387.12</v>
      </c>
      <c r="F1429" s="1">
        <f>IFERROR(__xludf.DUMMYFUNCTION("""COMPUTED_VALUE"""),2.2459376E7)</f>
        <v>22459376</v>
      </c>
    </row>
    <row r="1430">
      <c r="A1430" s="2">
        <f>IFERROR(__xludf.DUMMYFUNCTION("""COMPUTED_VALUE"""),33462.666666666664)</f>
        <v>33462.66667</v>
      </c>
      <c r="B1430" s="1">
        <f>IFERROR(__xludf.DUMMYFUNCTION("""COMPUTED_VALUE"""),387.11)</f>
        <v>387.11</v>
      </c>
      <c r="C1430" s="1">
        <f>IFERROR(__xludf.DUMMYFUNCTION("""COMPUTED_VALUE"""),388.17)</f>
        <v>388.17</v>
      </c>
      <c r="D1430" s="1">
        <f>IFERROR(__xludf.DUMMYFUNCTION("""COMPUTED_VALUE"""),385.9)</f>
        <v>385.9</v>
      </c>
      <c r="E1430" s="1">
        <f>IFERROR(__xludf.DUMMYFUNCTION("""COMPUTED_VALUE"""),388.02)</f>
        <v>388.02</v>
      </c>
      <c r="F1430" s="1">
        <f>IFERROR(__xludf.DUMMYFUNCTION("""COMPUTED_VALUE"""),2.2725E7)</f>
        <v>22725000</v>
      </c>
    </row>
    <row r="1431">
      <c r="A1431" s="2">
        <f>IFERROR(__xludf.DUMMYFUNCTION("""COMPUTED_VALUE"""),33463.666666666664)</f>
        <v>33463.66667</v>
      </c>
      <c r="B1431" s="1">
        <f>IFERROR(__xludf.DUMMYFUNCTION("""COMPUTED_VALUE"""),388.02)</f>
        <v>388.02</v>
      </c>
      <c r="C1431" s="1">
        <f>IFERROR(__xludf.DUMMYFUNCTION("""COMPUTED_VALUE"""),392.12)</f>
        <v>392.12</v>
      </c>
      <c r="D1431" s="1">
        <f>IFERROR(__xludf.DUMMYFUNCTION("""COMPUTED_VALUE"""),388.02)</f>
        <v>388.02</v>
      </c>
      <c r="E1431" s="1">
        <f>IFERROR(__xludf.DUMMYFUNCTION("""COMPUTED_VALUE"""),389.62)</f>
        <v>389.62</v>
      </c>
      <c r="F1431" s="1">
        <f>IFERROR(__xludf.DUMMYFUNCTION("""COMPUTED_VALUE"""),3.324375E7)</f>
        <v>33243750</v>
      </c>
    </row>
    <row r="1432">
      <c r="A1432" s="2">
        <f>IFERROR(__xludf.DUMMYFUNCTION("""COMPUTED_VALUE"""),33464.666666666664)</f>
        <v>33464.66667</v>
      </c>
      <c r="B1432" s="1">
        <f>IFERROR(__xludf.DUMMYFUNCTION("""COMPUTED_VALUE"""),389.62)</f>
        <v>389.62</v>
      </c>
      <c r="C1432" s="1">
        <f>IFERROR(__xludf.DUMMYFUNCTION("""COMPUTED_VALUE"""),391.85)</f>
        <v>391.85</v>
      </c>
      <c r="D1432" s="1">
        <f>IFERROR(__xludf.DUMMYFUNCTION("""COMPUTED_VALUE"""),389.13)</f>
        <v>389.13</v>
      </c>
      <c r="E1432" s="1">
        <f>IFERROR(__xludf.DUMMYFUNCTION("""COMPUTED_VALUE"""),389.9)</f>
        <v>389.9</v>
      </c>
      <c r="F1432" s="1">
        <f>IFERROR(__xludf.DUMMYFUNCTION("""COMPUTED_VALUE"""),1.9410938E7)</f>
        <v>19410938</v>
      </c>
    </row>
    <row r="1433">
      <c r="A1433" s="2">
        <f>IFERROR(__xludf.DUMMYFUNCTION("""COMPUTED_VALUE"""),33465.666666666664)</f>
        <v>33465.66667</v>
      </c>
      <c r="B1433" s="1">
        <f>IFERROR(__xludf.DUMMYFUNCTION("""COMPUTED_VALUE"""),389.91)</f>
        <v>389.91</v>
      </c>
      <c r="C1433" s="1">
        <f>IFERROR(__xludf.DUMMYFUNCTION("""COMPUTED_VALUE"""),391.92)</f>
        <v>391.92</v>
      </c>
      <c r="D1433" s="1">
        <f>IFERROR(__xludf.DUMMYFUNCTION("""COMPUTED_VALUE"""),389.29)</f>
        <v>389.29</v>
      </c>
      <c r="E1433" s="1">
        <f>IFERROR(__xludf.DUMMYFUNCTION("""COMPUTED_VALUE"""),389.33)</f>
        <v>389.33</v>
      </c>
      <c r="F1433" s="1">
        <f>IFERROR(__xludf.DUMMYFUNCTION("""COMPUTED_VALUE"""),2.7295312E7)</f>
        <v>27295312</v>
      </c>
    </row>
    <row r="1434">
      <c r="A1434" s="2">
        <f>IFERROR(__xludf.DUMMYFUNCTION("""COMPUTED_VALUE"""),33466.666666666664)</f>
        <v>33466.66667</v>
      </c>
      <c r="B1434" s="1">
        <f>IFERROR(__xludf.DUMMYFUNCTION("""COMPUTED_VALUE"""),389.33)</f>
        <v>389.33</v>
      </c>
      <c r="C1434" s="1">
        <f>IFERROR(__xludf.DUMMYFUNCTION("""COMPUTED_VALUE"""),390.41)</f>
        <v>390.41</v>
      </c>
      <c r="D1434" s="1">
        <f>IFERROR(__xludf.DUMMYFUNCTION("""COMPUTED_VALUE"""),383.16)</f>
        <v>383.16</v>
      </c>
      <c r="E1434" s="1">
        <f>IFERROR(__xludf.DUMMYFUNCTION("""COMPUTED_VALUE"""),385.58)</f>
        <v>385.58</v>
      </c>
      <c r="F1434" s="1">
        <f>IFERROR(__xludf.DUMMYFUNCTION("""COMPUTED_VALUE"""),2.960625E7)</f>
        <v>29606250</v>
      </c>
    </row>
    <row r="1435">
      <c r="A1435" s="2">
        <f>IFERROR(__xludf.DUMMYFUNCTION("""COMPUTED_VALUE"""),33469.666666666664)</f>
        <v>33469.66667</v>
      </c>
      <c r="B1435" s="1">
        <f>IFERROR(__xludf.DUMMYFUNCTION("""COMPUTED_VALUE"""),385.58)</f>
        <v>385.58</v>
      </c>
      <c r="C1435" s="1">
        <f>IFERROR(__xludf.DUMMYFUNCTION("""COMPUTED_VALUE"""),385.58)</f>
        <v>385.58</v>
      </c>
      <c r="D1435" s="1">
        <f>IFERROR(__xludf.DUMMYFUNCTION("""COMPUTED_VALUE"""),374.09)</f>
        <v>374.09</v>
      </c>
      <c r="E1435" s="1">
        <f>IFERROR(__xludf.DUMMYFUNCTION("""COMPUTED_VALUE"""),376.47)</f>
        <v>376.47</v>
      </c>
      <c r="F1435" s="1">
        <f>IFERROR(__xludf.DUMMYFUNCTION("""COMPUTED_VALUE"""),3.5992188E7)</f>
        <v>35992188</v>
      </c>
    </row>
    <row r="1436">
      <c r="A1436" s="2">
        <f>IFERROR(__xludf.DUMMYFUNCTION("""COMPUTED_VALUE"""),33470.666666666664)</f>
        <v>33470.66667</v>
      </c>
      <c r="B1436" s="1">
        <f>IFERROR(__xludf.DUMMYFUNCTION("""COMPUTED_VALUE"""),376.47)</f>
        <v>376.47</v>
      </c>
      <c r="C1436" s="1">
        <f>IFERROR(__xludf.DUMMYFUNCTION("""COMPUTED_VALUE"""),380.35)</f>
        <v>380.35</v>
      </c>
      <c r="D1436" s="1">
        <f>IFERROR(__xludf.DUMMYFUNCTION("""COMPUTED_VALUE"""),376.47)</f>
        <v>376.47</v>
      </c>
      <c r="E1436" s="1">
        <f>IFERROR(__xludf.DUMMYFUNCTION("""COMPUTED_VALUE"""),379.43)</f>
        <v>379.43</v>
      </c>
      <c r="F1436" s="1">
        <f>IFERROR(__xludf.DUMMYFUNCTION("""COMPUTED_VALUE"""),2.8790624E7)</f>
        <v>28790624</v>
      </c>
    </row>
    <row r="1437">
      <c r="A1437" s="2">
        <f>IFERROR(__xludf.DUMMYFUNCTION("""COMPUTED_VALUE"""),33471.666666666664)</f>
        <v>33471.66667</v>
      </c>
      <c r="B1437" s="1">
        <f>IFERROR(__xludf.DUMMYFUNCTION("""COMPUTED_VALUE"""),379.55)</f>
        <v>379.55</v>
      </c>
      <c r="C1437" s="1">
        <f>IFERROR(__xludf.DUMMYFUNCTION("""COMPUTED_VALUE"""),390.59)</f>
        <v>390.59</v>
      </c>
      <c r="D1437" s="1">
        <f>IFERROR(__xludf.DUMMYFUNCTION("""COMPUTED_VALUE"""),379.55)</f>
        <v>379.55</v>
      </c>
      <c r="E1437" s="1">
        <f>IFERROR(__xludf.DUMMYFUNCTION("""COMPUTED_VALUE"""),390.59)</f>
        <v>390.59</v>
      </c>
      <c r="F1437" s="1">
        <f>IFERROR(__xludf.DUMMYFUNCTION("""COMPUTED_VALUE"""),3.6357812E7)</f>
        <v>36357812</v>
      </c>
    </row>
    <row r="1438">
      <c r="A1438" s="2">
        <f>IFERROR(__xludf.DUMMYFUNCTION("""COMPUTED_VALUE"""),33472.666666666664)</f>
        <v>33472.66667</v>
      </c>
      <c r="B1438" s="1">
        <f>IFERROR(__xludf.DUMMYFUNCTION("""COMPUTED_VALUE"""),390.59)</f>
        <v>390.59</v>
      </c>
      <c r="C1438" s="1">
        <f>IFERROR(__xludf.DUMMYFUNCTION("""COMPUTED_VALUE"""),391.98)</f>
        <v>391.98</v>
      </c>
      <c r="D1438" s="1">
        <f>IFERROR(__xludf.DUMMYFUNCTION("""COMPUTED_VALUE"""),390.21)</f>
        <v>390.21</v>
      </c>
      <c r="E1438" s="1">
        <f>IFERROR(__xludf.DUMMYFUNCTION("""COMPUTED_VALUE"""),391.33)</f>
        <v>391.33</v>
      </c>
      <c r="F1438" s="1">
        <f>IFERROR(__xludf.DUMMYFUNCTION("""COMPUTED_VALUE"""),2.7045312E7)</f>
        <v>27045312</v>
      </c>
    </row>
    <row r="1439">
      <c r="A1439" s="2">
        <f>IFERROR(__xludf.DUMMYFUNCTION("""COMPUTED_VALUE"""),33473.666666666664)</f>
        <v>33473.66667</v>
      </c>
      <c r="B1439" s="1">
        <f>IFERROR(__xludf.DUMMYFUNCTION("""COMPUTED_VALUE"""),391.33)</f>
        <v>391.33</v>
      </c>
      <c r="C1439" s="1">
        <f>IFERROR(__xludf.DUMMYFUNCTION("""COMPUTED_VALUE"""),395.34)</f>
        <v>395.34</v>
      </c>
      <c r="D1439" s="1">
        <f>IFERROR(__xludf.DUMMYFUNCTION("""COMPUTED_VALUE"""),390.69)</f>
        <v>390.69</v>
      </c>
      <c r="E1439" s="1">
        <f>IFERROR(__xludf.DUMMYFUNCTION("""COMPUTED_VALUE"""),394.17)</f>
        <v>394.17</v>
      </c>
      <c r="F1439" s="1">
        <f>IFERROR(__xludf.DUMMYFUNCTION("""COMPUTED_VALUE"""),2.9510938E7)</f>
        <v>29510938</v>
      </c>
    </row>
    <row r="1440">
      <c r="A1440" s="2">
        <f>IFERROR(__xludf.DUMMYFUNCTION("""COMPUTED_VALUE"""),33476.666666666664)</f>
        <v>33476.66667</v>
      </c>
      <c r="B1440" s="1">
        <f>IFERROR(__xludf.DUMMYFUNCTION("""COMPUTED_VALUE"""),394.17)</f>
        <v>394.17</v>
      </c>
      <c r="C1440" s="1">
        <f>IFERROR(__xludf.DUMMYFUNCTION("""COMPUTED_VALUE"""),394.39)</f>
        <v>394.39</v>
      </c>
      <c r="D1440" s="1">
        <f>IFERROR(__xludf.DUMMYFUNCTION("""COMPUTED_VALUE"""),392.75)</f>
        <v>392.75</v>
      </c>
      <c r="E1440" s="1">
        <f>IFERROR(__xludf.DUMMYFUNCTION("""COMPUTED_VALUE"""),393.85)</f>
        <v>393.85</v>
      </c>
      <c r="F1440" s="1">
        <f>IFERROR(__xludf.DUMMYFUNCTION("""COMPUTED_VALUE"""),2.0401562E7)</f>
        <v>20401562</v>
      </c>
    </row>
    <row r="1441">
      <c r="A1441" s="2">
        <f>IFERROR(__xludf.DUMMYFUNCTION("""COMPUTED_VALUE"""),33477.666666666664)</f>
        <v>33477.66667</v>
      </c>
      <c r="B1441" s="1">
        <f>IFERROR(__xludf.DUMMYFUNCTION("""COMPUTED_VALUE"""),393.85)</f>
        <v>393.85</v>
      </c>
      <c r="C1441" s="1">
        <f>IFERROR(__xludf.DUMMYFUNCTION("""COMPUTED_VALUE"""),393.87)</f>
        <v>393.87</v>
      </c>
      <c r="D1441" s="1">
        <f>IFERROR(__xludf.DUMMYFUNCTION("""COMPUTED_VALUE"""),391.77)</f>
        <v>391.77</v>
      </c>
      <c r="E1441" s="1">
        <f>IFERROR(__xludf.DUMMYFUNCTION("""COMPUTED_VALUE"""),393.06)</f>
        <v>393.06</v>
      </c>
      <c r="F1441" s="1">
        <f>IFERROR(__xludf.DUMMYFUNCTION("""COMPUTED_VALUE"""),2.2604688E7)</f>
        <v>22604688</v>
      </c>
    </row>
    <row r="1442">
      <c r="A1442" s="2">
        <f>IFERROR(__xludf.DUMMYFUNCTION("""COMPUTED_VALUE"""),33478.666666666664)</f>
        <v>33478.66667</v>
      </c>
      <c r="B1442" s="1">
        <f>IFERROR(__xludf.DUMMYFUNCTION("""COMPUTED_VALUE"""),393.06)</f>
        <v>393.06</v>
      </c>
      <c r="C1442" s="1">
        <f>IFERROR(__xludf.DUMMYFUNCTION("""COMPUTED_VALUE"""),396.64)</f>
        <v>396.64</v>
      </c>
      <c r="D1442" s="1">
        <f>IFERROR(__xludf.DUMMYFUNCTION("""COMPUTED_VALUE"""),393.05)</f>
        <v>393.05</v>
      </c>
      <c r="E1442" s="1">
        <f>IFERROR(__xludf.DUMMYFUNCTION("""COMPUTED_VALUE"""),396.64)</f>
        <v>396.64</v>
      </c>
      <c r="F1442" s="1">
        <f>IFERROR(__xludf.DUMMYFUNCTION("""COMPUTED_VALUE"""),2.6545312E7)</f>
        <v>26545312</v>
      </c>
    </row>
    <row r="1443">
      <c r="A1443" s="2">
        <f>IFERROR(__xludf.DUMMYFUNCTION("""COMPUTED_VALUE"""),33479.666666666664)</f>
        <v>33479.66667</v>
      </c>
      <c r="B1443" s="1">
        <f>IFERROR(__xludf.DUMMYFUNCTION("""COMPUTED_VALUE"""),396.65)</f>
        <v>396.65</v>
      </c>
      <c r="C1443" s="1">
        <f>IFERROR(__xludf.DUMMYFUNCTION("""COMPUTED_VALUE"""),396.82)</f>
        <v>396.82</v>
      </c>
      <c r="D1443" s="1">
        <f>IFERROR(__xludf.DUMMYFUNCTION("""COMPUTED_VALUE"""),395.14)</f>
        <v>395.14</v>
      </c>
      <c r="E1443" s="1">
        <f>IFERROR(__xludf.DUMMYFUNCTION("""COMPUTED_VALUE"""),396.47)</f>
        <v>396.47</v>
      </c>
      <c r="F1443" s="1">
        <f>IFERROR(__xludf.DUMMYFUNCTION("""COMPUTED_VALUE"""),2.4085938E7)</f>
        <v>24085938</v>
      </c>
    </row>
    <row r="1444">
      <c r="A1444" s="2">
        <f>IFERROR(__xludf.DUMMYFUNCTION("""COMPUTED_VALUE"""),33480.666666666664)</f>
        <v>33480.66667</v>
      </c>
      <c r="B1444" s="1">
        <f>IFERROR(__xludf.DUMMYFUNCTION("""COMPUTED_VALUE"""),396.47)</f>
        <v>396.47</v>
      </c>
      <c r="C1444" s="1">
        <f>IFERROR(__xludf.DUMMYFUNCTION("""COMPUTED_VALUE"""),396.47)</f>
        <v>396.47</v>
      </c>
      <c r="D1444" s="1">
        <f>IFERROR(__xludf.DUMMYFUNCTION("""COMPUTED_VALUE"""),393.6)</f>
        <v>393.6</v>
      </c>
      <c r="E1444" s="1">
        <f>IFERROR(__xludf.DUMMYFUNCTION("""COMPUTED_VALUE"""),395.43)</f>
        <v>395.43</v>
      </c>
      <c r="F1444" s="1">
        <f>IFERROR(__xludf.DUMMYFUNCTION("""COMPUTED_VALUE"""),2.24125E7)</f>
        <v>22412500</v>
      </c>
    </row>
    <row r="1445">
      <c r="A1445" s="2">
        <f>IFERROR(__xludf.DUMMYFUNCTION("""COMPUTED_VALUE"""),33484.666666666664)</f>
        <v>33484.66667</v>
      </c>
      <c r="B1445" s="1">
        <f>IFERROR(__xludf.DUMMYFUNCTION("""COMPUTED_VALUE"""),395.43)</f>
        <v>395.43</v>
      </c>
      <c r="C1445" s="1">
        <f>IFERROR(__xludf.DUMMYFUNCTION("""COMPUTED_VALUE"""),397.62)</f>
        <v>397.62</v>
      </c>
      <c r="D1445" s="1">
        <f>IFERROR(__xludf.DUMMYFUNCTION("""COMPUTED_VALUE"""),392.1)</f>
        <v>392.1</v>
      </c>
      <c r="E1445" s="1">
        <f>IFERROR(__xludf.DUMMYFUNCTION("""COMPUTED_VALUE"""),392.15)</f>
        <v>392.15</v>
      </c>
      <c r="F1445" s="1">
        <f>IFERROR(__xludf.DUMMYFUNCTION("""COMPUTED_VALUE"""),2.4E7)</f>
        <v>24000000</v>
      </c>
    </row>
    <row r="1446">
      <c r="A1446" s="2">
        <f>IFERROR(__xludf.DUMMYFUNCTION("""COMPUTED_VALUE"""),33485.666666666664)</f>
        <v>33485.66667</v>
      </c>
      <c r="B1446" s="1">
        <f>IFERROR(__xludf.DUMMYFUNCTION("""COMPUTED_VALUE"""),392.15)</f>
        <v>392.15</v>
      </c>
      <c r="C1446" s="1">
        <f>IFERROR(__xludf.DUMMYFUNCTION("""COMPUTED_VALUE"""),392.62)</f>
        <v>392.62</v>
      </c>
      <c r="D1446" s="1">
        <f>IFERROR(__xludf.DUMMYFUNCTION("""COMPUTED_VALUE"""),388.68)</f>
        <v>388.68</v>
      </c>
      <c r="E1446" s="1">
        <f>IFERROR(__xludf.DUMMYFUNCTION("""COMPUTED_VALUE"""),389.97)</f>
        <v>389.97</v>
      </c>
      <c r="F1446" s="1">
        <f>IFERROR(__xludf.DUMMYFUNCTION("""COMPUTED_VALUE"""),2.46125E7)</f>
        <v>24612500</v>
      </c>
    </row>
    <row r="1447">
      <c r="A1447" s="2">
        <f>IFERROR(__xludf.DUMMYFUNCTION("""COMPUTED_VALUE"""),33486.666666666664)</f>
        <v>33486.66667</v>
      </c>
      <c r="B1447" s="1">
        <f>IFERROR(__xludf.DUMMYFUNCTION("""COMPUTED_VALUE"""),389.97)</f>
        <v>389.97</v>
      </c>
      <c r="C1447" s="1">
        <f>IFERROR(__xludf.DUMMYFUNCTION("""COMPUTED_VALUE"""),390.97)</f>
        <v>390.97</v>
      </c>
      <c r="D1447" s="1">
        <f>IFERROR(__xludf.DUMMYFUNCTION("""COMPUTED_VALUE"""),388.49)</f>
        <v>388.49</v>
      </c>
      <c r="E1447" s="1">
        <f>IFERROR(__xludf.DUMMYFUNCTION("""COMPUTED_VALUE"""),389.14)</f>
        <v>389.14</v>
      </c>
      <c r="F1447" s="1">
        <f>IFERROR(__xludf.DUMMYFUNCTION("""COMPUTED_VALUE"""),2.5371876E7)</f>
        <v>25371876</v>
      </c>
    </row>
    <row r="1448">
      <c r="A1448" s="2">
        <f>IFERROR(__xludf.DUMMYFUNCTION("""COMPUTED_VALUE"""),33487.666666666664)</f>
        <v>33487.66667</v>
      </c>
      <c r="B1448" s="1">
        <f>IFERROR(__xludf.DUMMYFUNCTION("""COMPUTED_VALUE"""),389.14)</f>
        <v>389.14</v>
      </c>
      <c r="C1448" s="1">
        <f>IFERROR(__xludf.DUMMYFUNCTION("""COMPUTED_VALUE"""),390.71)</f>
        <v>390.71</v>
      </c>
      <c r="D1448" s="1">
        <f>IFERROR(__xludf.DUMMYFUNCTION("""COMPUTED_VALUE"""),387.36)</f>
        <v>387.36</v>
      </c>
      <c r="E1448" s="1">
        <f>IFERROR(__xludf.DUMMYFUNCTION("""COMPUTED_VALUE"""),389.1)</f>
        <v>389.1</v>
      </c>
      <c r="F1448" s="1">
        <f>IFERROR(__xludf.DUMMYFUNCTION("""COMPUTED_VALUE"""),2.6025E7)</f>
        <v>26025000</v>
      </c>
    </row>
    <row r="1449">
      <c r="A1449" s="2">
        <f>IFERROR(__xludf.DUMMYFUNCTION("""COMPUTED_VALUE"""),33490.666666666664)</f>
        <v>33490.66667</v>
      </c>
      <c r="B1449" s="1">
        <f>IFERROR(__xludf.DUMMYFUNCTION("""COMPUTED_VALUE"""),389.11)</f>
        <v>389.11</v>
      </c>
      <c r="C1449" s="1">
        <f>IFERROR(__xludf.DUMMYFUNCTION("""COMPUTED_VALUE"""),389.34)</f>
        <v>389.34</v>
      </c>
      <c r="D1449" s="1">
        <f>IFERROR(__xludf.DUMMYFUNCTION("""COMPUTED_VALUE"""),387.88)</f>
        <v>387.88</v>
      </c>
      <c r="E1449" s="1">
        <f>IFERROR(__xludf.DUMMYFUNCTION("""COMPUTED_VALUE"""),388.57)</f>
        <v>388.57</v>
      </c>
      <c r="F1449" s="1">
        <f>IFERROR(__xludf.DUMMYFUNCTION("""COMPUTED_VALUE"""),1.7984376E7)</f>
        <v>17984376</v>
      </c>
    </row>
    <row r="1450">
      <c r="A1450" s="2">
        <f>IFERROR(__xludf.DUMMYFUNCTION("""COMPUTED_VALUE"""),33491.666666666664)</f>
        <v>33491.66667</v>
      </c>
      <c r="B1450" s="1">
        <f>IFERROR(__xludf.DUMMYFUNCTION("""COMPUTED_VALUE"""),388.57)</f>
        <v>388.57</v>
      </c>
      <c r="C1450" s="1">
        <f>IFERROR(__xludf.DUMMYFUNCTION("""COMPUTED_VALUE"""),388.63)</f>
        <v>388.63</v>
      </c>
      <c r="D1450" s="1">
        <f>IFERROR(__xludf.DUMMYFUNCTION("""COMPUTED_VALUE"""),383.78)</f>
        <v>383.78</v>
      </c>
      <c r="E1450" s="1">
        <f>IFERROR(__xludf.DUMMYFUNCTION("""COMPUTED_VALUE"""),384.56)</f>
        <v>384.56</v>
      </c>
      <c r="F1450" s="1">
        <f>IFERROR(__xludf.DUMMYFUNCTION("""COMPUTED_VALUE"""),2.2404688E7)</f>
        <v>22404688</v>
      </c>
    </row>
    <row r="1451">
      <c r="A1451" s="2">
        <f>IFERROR(__xludf.DUMMYFUNCTION("""COMPUTED_VALUE"""),33492.666666666664)</f>
        <v>33492.66667</v>
      </c>
      <c r="B1451" s="1">
        <f>IFERROR(__xludf.DUMMYFUNCTION("""COMPUTED_VALUE"""),384.56)</f>
        <v>384.56</v>
      </c>
      <c r="C1451" s="1">
        <f>IFERROR(__xludf.DUMMYFUNCTION("""COMPUTED_VALUE"""),385.6)</f>
        <v>385.6</v>
      </c>
      <c r="D1451" s="1">
        <f>IFERROR(__xludf.DUMMYFUNCTION("""COMPUTED_VALUE"""),383.59)</f>
        <v>383.59</v>
      </c>
      <c r="E1451" s="1">
        <f>IFERROR(__xludf.DUMMYFUNCTION("""COMPUTED_VALUE"""),385.09)</f>
        <v>385.09</v>
      </c>
      <c r="F1451" s="1">
        <f>IFERROR(__xludf.DUMMYFUNCTION("""COMPUTED_VALUE"""),2.3125E7)</f>
        <v>23125000</v>
      </c>
    </row>
    <row r="1452">
      <c r="A1452" s="2">
        <f>IFERROR(__xludf.DUMMYFUNCTION("""COMPUTED_VALUE"""),33493.666666666664)</f>
        <v>33493.66667</v>
      </c>
      <c r="B1452" s="1">
        <f>IFERROR(__xludf.DUMMYFUNCTION("""COMPUTED_VALUE"""),385.09)</f>
        <v>385.09</v>
      </c>
      <c r="C1452" s="1">
        <f>IFERROR(__xludf.DUMMYFUNCTION("""COMPUTED_VALUE"""),387.34)</f>
        <v>387.34</v>
      </c>
      <c r="D1452" s="1">
        <f>IFERROR(__xludf.DUMMYFUNCTION("""COMPUTED_VALUE"""),385.09)</f>
        <v>385.09</v>
      </c>
      <c r="E1452" s="1">
        <f>IFERROR(__xludf.DUMMYFUNCTION("""COMPUTED_VALUE"""),387.34)</f>
        <v>387.34</v>
      </c>
      <c r="F1452" s="1">
        <f>IFERROR(__xludf.DUMMYFUNCTION("""COMPUTED_VALUE"""),2.5065624E7)</f>
        <v>25065624</v>
      </c>
    </row>
    <row r="1453">
      <c r="A1453" s="2">
        <f>IFERROR(__xludf.DUMMYFUNCTION("""COMPUTED_VALUE"""),33494.666666666664)</f>
        <v>33494.66667</v>
      </c>
      <c r="B1453" s="1">
        <f>IFERROR(__xludf.DUMMYFUNCTION("""COMPUTED_VALUE"""),387.16)</f>
        <v>387.16</v>
      </c>
      <c r="C1453" s="1">
        <f>IFERROR(__xludf.DUMMYFUNCTION("""COMPUTED_VALUE"""),387.95)</f>
        <v>387.95</v>
      </c>
      <c r="D1453" s="1">
        <f>IFERROR(__xludf.DUMMYFUNCTION("""COMPUTED_VALUE"""),382.85)</f>
        <v>382.85</v>
      </c>
      <c r="E1453" s="1">
        <f>IFERROR(__xludf.DUMMYFUNCTION("""COMPUTED_VALUE"""),383.59)</f>
        <v>383.59</v>
      </c>
      <c r="F1453" s="1">
        <f>IFERROR(__xludf.DUMMYFUNCTION("""COMPUTED_VALUE"""),2.6504688E7)</f>
        <v>26504688</v>
      </c>
    </row>
    <row r="1454">
      <c r="A1454" s="2">
        <f>IFERROR(__xludf.DUMMYFUNCTION("""COMPUTED_VALUE"""),33497.666666666664)</f>
        <v>33497.66667</v>
      </c>
      <c r="B1454" s="1">
        <f>IFERROR(__xludf.DUMMYFUNCTION("""COMPUTED_VALUE"""),383.59)</f>
        <v>383.59</v>
      </c>
      <c r="C1454" s="1">
        <f>IFERROR(__xludf.DUMMYFUNCTION("""COMPUTED_VALUE"""),385.79)</f>
        <v>385.79</v>
      </c>
      <c r="D1454" s="1">
        <f>IFERROR(__xludf.DUMMYFUNCTION("""COMPUTED_VALUE"""),382.77)</f>
        <v>382.77</v>
      </c>
      <c r="E1454" s="1">
        <f>IFERROR(__xludf.DUMMYFUNCTION("""COMPUTED_VALUE"""),385.78)</f>
        <v>385.78</v>
      </c>
      <c r="F1454" s="1">
        <f>IFERROR(__xludf.DUMMYFUNCTION("""COMPUTED_VALUE"""),2.69625E7)</f>
        <v>26962500</v>
      </c>
    </row>
    <row r="1455">
      <c r="A1455" s="2">
        <f>IFERROR(__xludf.DUMMYFUNCTION("""COMPUTED_VALUE"""),33498.666666666664)</f>
        <v>33498.66667</v>
      </c>
      <c r="B1455" s="1">
        <f>IFERROR(__xludf.DUMMYFUNCTION("""COMPUTED_VALUE"""),385.78)</f>
        <v>385.78</v>
      </c>
      <c r="C1455" s="1">
        <f>IFERROR(__xludf.DUMMYFUNCTION("""COMPUTED_VALUE"""),387.13)</f>
        <v>387.13</v>
      </c>
      <c r="D1455" s="1">
        <f>IFERROR(__xludf.DUMMYFUNCTION("""COMPUTED_VALUE"""),384.97)</f>
        <v>384.97</v>
      </c>
      <c r="E1455" s="1">
        <f>IFERROR(__xludf.DUMMYFUNCTION("""COMPUTED_VALUE"""),385.5)</f>
        <v>385.5</v>
      </c>
      <c r="F1455" s="1">
        <f>IFERROR(__xludf.DUMMYFUNCTION("""COMPUTED_VALUE"""),2.6303124E7)</f>
        <v>26303124</v>
      </c>
    </row>
    <row r="1456">
      <c r="A1456" s="2">
        <f>IFERROR(__xludf.DUMMYFUNCTION("""COMPUTED_VALUE"""),33499.666666666664)</f>
        <v>33499.66667</v>
      </c>
      <c r="B1456" s="1">
        <f>IFERROR(__xludf.DUMMYFUNCTION("""COMPUTED_VALUE"""),385.49)</f>
        <v>385.49</v>
      </c>
      <c r="C1456" s="1">
        <f>IFERROR(__xludf.DUMMYFUNCTION("""COMPUTED_VALUE"""),386.94)</f>
        <v>386.94</v>
      </c>
      <c r="D1456" s="1">
        <f>IFERROR(__xludf.DUMMYFUNCTION("""COMPUTED_VALUE"""),384.28)</f>
        <v>384.28</v>
      </c>
      <c r="E1456" s="1">
        <f>IFERROR(__xludf.DUMMYFUNCTION("""COMPUTED_VALUE"""),386.94)</f>
        <v>386.94</v>
      </c>
      <c r="F1456" s="1">
        <f>IFERROR(__xludf.DUMMYFUNCTION("""COMPUTED_VALUE"""),2.2084376E7)</f>
        <v>22084376</v>
      </c>
    </row>
    <row r="1457">
      <c r="A1457" s="2">
        <f>IFERROR(__xludf.DUMMYFUNCTION("""COMPUTED_VALUE"""),33500.666666666664)</f>
        <v>33500.66667</v>
      </c>
      <c r="B1457" s="1">
        <f>IFERROR(__xludf.DUMMYFUNCTION("""COMPUTED_VALUE"""),386.94)</f>
        <v>386.94</v>
      </c>
      <c r="C1457" s="1">
        <f>IFERROR(__xludf.DUMMYFUNCTION("""COMPUTED_VALUE"""),389.42)</f>
        <v>389.42</v>
      </c>
      <c r="D1457" s="1">
        <f>IFERROR(__xludf.DUMMYFUNCTION("""COMPUTED_VALUE"""),386.27)</f>
        <v>386.27</v>
      </c>
      <c r="E1457" s="1">
        <f>IFERROR(__xludf.DUMMYFUNCTION("""COMPUTED_VALUE"""),387.56)</f>
        <v>387.56</v>
      </c>
      <c r="F1457" s="1">
        <f>IFERROR(__xludf.DUMMYFUNCTION("""COMPUTED_VALUE"""),3.2970312E7)</f>
        <v>32970312</v>
      </c>
    </row>
    <row r="1458">
      <c r="A1458" s="2">
        <f>IFERROR(__xludf.DUMMYFUNCTION("""COMPUTED_VALUE"""),33501.666666666664)</f>
        <v>33501.66667</v>
      </c>
      <c r="B1458" s="1">
        <f>IFERROR(__xludf.DUMMYFUNCTION("""COMPUTED_VALUE"""),387.56)</f>
        <v>387.56</v>
      </c>
      <c r="C1458" s="1">
        <f>IFERROR(__xludf.DUMMYFUNCTION("""COMPUTED_VALUE"""),388.82)</f>
        <v>388.82</v>
      </c>
      <c r="D1458" s="1">
        <f>IFERROR(__xludf.DUMMYFUNCTION("""COMPUTED_VALUE"""),386.49)</f>
        <v>386.49</v>
      </c>
      <c r="E1458" s="1">
        <f>IFERROR(__xludf.DUMMYFUNCTION("""COMPUTED_VALUE"""),387.92)</f>
        <v>387.92</v>
      </c>
      <c r="F1458" s="1">
        <f>IFERROR(__xludf.DUMMYFUNCTION("""COMPUTED_VALUE"""),3.9768752E7)</f>
        <v>39768752</v>
      </c>
    </row>
    <row r="1459">
      <c r="A1459" s="2">
        <f>IFERROR(__xludf.DUMMYFUNCTION("""COMPUTED_VALUE"""),33504.666666666664)</f>
        <v>33504.66667</v>
      </c>
      <c r="B1459" s="1">
        <f>IFERROR(__xludf.DUMMYFUNCTION("""COMPUTED_VALUE"""),387.9)</f>
        <v>387.9</v>
      </c>
      <c r="C1459" s="1">
        <f>IFERROR(__xludf.DUMMYFUNCTION("""COMPUTED_VALUE"""),388.55)</f>
        <v>388.55</v>
      </c>
      <c r="D1459" s="1">
        <f>IFERROR(__xludf.DUMMYFUNCTION("""COMPUTED_VALUE"""),385.76)</f>
        <v>385.76</v>
      </c>
      <c r="E1459" s="1">
        <f>IFERROR(__xludf.DUMMYFUNCTION("""COMPUTED_VALUE"""),385.92)</f>
        <v>385.92</v>
      </c>
      <c r="F1459" s="1">
        <f>IFERROR(__xludf.DUMMYFUNCTION("""COMPUTED_VALUE"""),2.2803124E7)</f>
        <v>22803124</v>
      </c>
    </row>
    <row r="1460">
      <c r="A1460" s="2">
        <f>IFERROR(__xludf.DUMMYFUNCTION("""COMPUTED_VALUE"""),33505.666666666664)</f>
        <v>33505.66667</v>
      </c>
      <c r="B1460" s="1">
        <f>IFERROR(__xludf.DUMMYFUNCTION("""COMPUTED_VALUE"""),385.92)</f>
        <v>385.92</v>
      </c>
      <c r="C1460" s="1">
        <f>IFERROR(__xludf.DUMMYFUNCTION("""COMPUTED_VALUE"""),388.13)</f>
        <v>388.13</v>
      </c>
      <c r="D1460" s="1">
        <f>IFERROR(__xludf.DUMMYFUNCTION("""COMPUTED_VALUE"""),384.46)</f>
        <v>384.46</v>
      </c>
      <c r="E1460" s="1">
        <f>IFERROR(__xludf.DUMMYFUNCTION("""COMPUTED_VALUE"""),387.71)</f>
        <v>387.71</v>
      </c>
      <c r="F1460" s="1">
        <f>IFERROR(__xludf.DUMMYFUNCTION("""COMPUTED_VALUE"""),2.6617188E7)</f>
        <v>26617188</v>
      </c>
    </row>
    <row r="1461">
      <c r="A1461" s="2">
        <f>IFERROR(__xludf.DUMMYFUNCTION("""COMPUTED_VALUE"""),33506.666666666664)</f>
        <v>33506.66667</v>
      </c>
      <c r="B1461" s="1">
        <f>IFERROR(__xludf.DUMMYFUNCTION("""COMPUTED_VALUE"""),387.72)</f>
        <v>387.72</v>
      </c>
      <c r="C1461" s="1">
        <f>IFERROR(__xludf.DUMMYFUNCTION("""COMPUTED_VALUE"""),388.25)</f>
        <v>388.25</v>
      </c>
      <c r="D1461" s="1">
        <f>IFERROR(__xludf.DUMMYFUNCTION("""COMPUTED_VALUE"""),385.99)</f>
        <v>385.99</v>
      </c>
      <c r="E1461" s="1">
        <f>IFERROR(__xludf.DUMMYFUNCTION("""COMPUTED_VALUE"""),386.88)</f>
        <v>386.88</v>
      </c>
      <c r="F1461" s="1">
        <f>IFERROR(__xludf.DUMMYFUNCTION("""COMPUTED_VALUE"""),2.4048438E7)</f>
        <v>24048438</v>
      </c>
    </row>
    <row r="1462">
      <c r="A1462" s="2">
        <f>IFERROR(__xludf.DUMMYFUNCTION("""COMPUTED_VALUE"""),33507.666666666664)</f>
        <v>33507.66667</v>
      </c>
      <c r="B1462" s="1">
        <f>IFERROR(__xludf.DUMMYFUNCTION("""COMPUTED_VALUE"""),386.87)</f>
        <v>386.87</v>
      </c>
      <c r="C1462" s="1">
        <f>IFERROR(__xludf.DUMMYFUNCTION("""COMPUTED_VALUE"""),388.39)</f>
        <v>388.39</v>
      </c>
      <c r="D1462" s="1">
        <f>IFERROR(__xludf.DUMMYFUNCTION("""COMPUTED_VALUE"""),385.3)</f>
        <v>385.3</v>
      </c>
      <c r="E1462" s="1">
        <f>IFERROR(__xludf.DUMMYFUNCTION("""COMPUTED_VALUE"""),386.49)</f>
        <v>386.49</v>
      </c>
      <c r="F1462" s="1">
        <f>IFERROR(__xludf.DUMMYFUNCTION("""COMPUTED_VALUE"""),2.4840624E7)</f>
        <v>24840624</v>
      </c>
    </row>
    <row r="1463">
      <c r="A1463" s="2">
        <f>IFERROR(__xludf.DUMMYFUNCTION("""COMPUTED_VALUE"""),33508.666666666664)</f>
        <v>33508.66667</v>
      </c>
      <c r="B1463" s="1">
        <f>IFERROR(__xludf.DUMMYFUNCTION("""COMPUTED_VALUE"""),386.49)</f>
        <v>386.49</v>
      </c>
      <c r="C1463" s="1">
        <f>IFERROR(__xludf.DUMMYFUNCTION("""COMPUTED_VALUE"""),389.09)</f>
        <v>389.09</v>
      </c>
      <c r="D1463" s="1">
        <f>IFERROR(__xludf.DUMMYFUNCTION("""COMPUTED_VALUE"""),384.87)</f>
        <v>384.87</v>
      </c>
      <c r="E1463" s="1">
        <f>IFERROR(__xludf.DUMMYFUNCTION("""COMPUTED_VALUE"""),385.9)</f>
        <v>385.9</v>
      </c>
      <c r="F1463" s="1">
        <f>IFERROR(__xludf.DUMMYFUNCTION("""COMPUTED_VALUE"""),2.5103124E7)</f>
        <v>25103124</v>
      </c>
    </row>
    <row r="1464">
      <c r="A1464" s="2">
        <f>IFERROR(__xludf.DUMMYFUNCTION("""COMPUTED_VALUE"""),33511.666666666664)</f>
        <v>33511.66667</v>
      </c>
      <c r="B1464" s="1">
        <f>IFERROR(__xludf.DUMMYFUNCTION("""COMPUTED_VALUE"""),385.91)</f>
        <v>385.91</v>
      </c>
      <c r="C1464" s="1">
        <f>IFERROR(__xludf.DUMMYFUNCTION("""COMPUTED_VALUE"""),388.29)</f>
        <v>388.29</v>
      </c>
      <c r="D1464" s="1">
        <f>IFERROR(__xludf.DUMMYFUNCTION("""COMPUTED_VALUE"""),384.32)</f>
        <v>384.32</v>
      </c>
      <c r="E1464" s="1">
        <f>IFERROR(__xludf.DUMMYFUNCTION("""COMPUTED_VALUE"""),387.86)</f>
        <v>387.86</v>
      </c>
      <c r="F1464" s="1">
        <f>IFERROR(__xludf.DUMMYFUNCTION("""COMPUTED_VALUE"""),2.2934376E7)</f>
        <v>22934376</v>
      </c>
    </row>
    <row r="1465">
      <c r="A1465" s="2">
        <f>IFERROR(__xludf.DUMMYFUNCTION("""COMPUTED_VALUE"""),33512.666666666664)</f>
        <v>33512.66667</v>
      </c>
      <c r="B1465" s="1">
        <f>IFERROR(__xludf.DUMMYFUNCTION("""COMPUTED_VALUE"""),387.86)</f>
        <v>387.86</v>
      </c>
      <c r="C1465" s="1">
        <f>IFERROR(__xludf.DUMMYFUNCTION("""COMPUTED_VALUE"""),389.56)</f>
        <v>389.56</v>
      </c>
      <c r="D1465" s="1">
        <f>IFERROR(__xludf.DUMMYFUNCTION("""COMPUTED_VALUE"""),387.86)</f>
        <v>387.86</v>
      </c>
      <c r="E1465" s="1">
        <f>IFERROR(__xludf.DUMMYFUNCTION("""COMPUTED_VALUE"""),389.2)</f>
        <v>389.2</v>
      </c>
      <c r="F1465" s="1">
        <f>IFERROR(__xludf.DUMMYFUNCTION("""COMPUTED_VALUE"""),2.5557812E7)</f>
        <v>25557812</v>
      </c>
    </row>
    <row r="1466">
      <c r="A1466" s="2">
        <f>IFERROR(__xludf.DUMMYFUNCTION("""COMPUTED_VALUE"""),33513.666666666664)</f>
        <v>33513.66667</v>
      </c>
      <c r="B1466" s="1">
        <f>IFERROR(__xludf.DUMMYFUNCTION("""COMPUTED_VALUE"""),389.2)</f>
        <v>389.2</v>
      </c>
      <c r="C1466" s="1">
        <f>IFERROR(__xludf.DUMMYFUNCTION("""COMPUTED_VALUE"""),390.03)</f>
        <v>390.03</v>
      </c>
      <c r="D1466" s="1">
        <f>IFERROR(__xludf.DUMMYFUNCTION("""COMPUTED_VALUE"""),387.62)</f>
        <v>387.62</v>
      </c>
      <c r="E1466" s="1">
        <f>IFERROR(__xludf.DUMMYFUNCTION("""COMPUTED_VALUE"""),388.26)</f>
        <v>388.26</v>
      </c>
      <c r="F1466" s="1">
        <f>IFERROR(__xludf.DUMMYFUNCTION("""COMPUTED_VALUE"""),2.5996876E7)</f>
        <v>25996876</v>
      </c>
    </row>
    <row r="1467">
      <c r="A1467" s="2">
        <f>IFERROR(__xludf.DUMMYFUNCTION("""COMPUTED_VALUE"""),33514.666666666664)</f>
        <v>33514.66667</v>
      </c>
      <c r="B1467" s="1">
        <f>IFERROR(__xludf.DUMMYFUNCTION("""COMPUTED_VALUE"""),388.23)</f>
        <v>388.23</v>
      </c>
      <c r="C1467" s="1">
        <f>IFERROR(__xludf.DUMMYFUNCTION("""COMPUTED_VALUE"""),388.23)</f>
        <v>388.23</v>
      </c>
      <c r="D1467" s="1">
        <f>IFERROR(__xludf.DUMMYFUNCTION("""COMPUTED_VALUE"""),384.47)</f>
        <v>384.47</v>
      </c>
      <c r="E1467" s="1">
        <f>IFERROR(__xludf.DUMMYFUNCTION("""COMPUTED_VALUE"""),384.47)</f>
        <v>384.47</v>
      </c>
      <c r="F1467" s="1">
        <f>IFERROR(__xludf.DUMMYFUNCTION("""COMPUTED_VALUE"""),2.724375E7)</f>
        <v>27243750</v>
      </c>
    </row>
    <row r="1468">
      <c r="A1468" s="2">
        <f>IFERROR(__xludf.DUMMYFUNCTION("""COMPUTED_VALUE"""),33515.666666666664)</f>
        <v>33515.66667</v>
      </c>
      <c r="B1468" s="1">
        <f>IFERROR(__xludf.DUMMYFUNCTION("""COMPUTED_VALUE"""),384.47)</f>
        <v>384.47</v>
      </c>
      <c r="C1468" s="1">
        <f>IFERROR(__xludf.DUMMYFUNCTION("""COMPUTED_VALUE"""),385.19)</f>
        <v>385.19</v>
      </c>
      <c r="D1468" s="1">
        <f>IFERROR(__xludf.DUMMYFUNCTION("""COMPUTED_VALUE"""),381.24)</f>
        <v>381.24</v>
      </c>
      <c r="E1468" s="1">
        <f>IFERROR(__xludf.DUMMYFUNCTION("""COMPUTED_VALUE"""),381.25)</f>
        <v>381.25</v>
      </c>
      <c r="F1468" s="1">
        <f>IFERROR(__xludf.DUMMYFUNCTION("""COMPUTED_VALUE"""),2.5625E7)</f>
        <v>25625000</v>
      </c>
    </row>
    <row r="1469">
      <c r="A1469" s="2">
        <f>IFERROR(__xludf.DUMMYFUNCTION("""COMPUTED_VALUE"""),33518.666666666664)</f>
        <v>33518.66667</v>
      </c>
      <c r="B1469" s="1">
        <f>IFERROR(__xludf.DUMMYFUNCTION("""COMPUTED_VALUE"""),381.22)</f>
        <v>381.22</v>
      </c>
      <c r="C1469" s="1">
        <f>IFERROR(__xludf.DUMMYFUNCTION("""COMPUTED_VALUE"""),381.27)</f>
        <v>381.27</v>
      </c>
      <c r="D1469" s="1">
        <f>IFERROR(__xludf.DUMMYFUNCTION("""COMPUTED_VALUE"""),379.07)</f>
        <v>379.07</v>
      </c>
      <c r="E1469" s="1">
        <f>IFERROR(__xludf.DUMMYFUNCTION("""COMPUTED_VALUE"""),379.5)</f>
        <v>379.5</v>
      </c>
      <c r="F1469" s="1">
        <f>IFERROR(__xludf.DUMMYFUNCTION("""COMPUTED_VALUE"""),2.3192188E7)</f>
        <v>23192188</v>
      </c>
    </row>
    <row r="1470">
      <c r="A1470" s="2">
        <f>IFERROR(__xludf.DUMMYFUNCTION("""COMPUTED_VALUE"""),33519.666666666664)</f>
        <v>33519.66667</v>
      </c>
      <c r="B1470" s="1">
        <f>IFERROR(__xludf.DUMMYFUNCTION("""COMPUTED_VALUE"""),379.5)</f>
        <v>379.5</v>
      </c>
      <c r="C1470" s="1">
        <f>IFERROR(__xludf.DUMMYFUNCTION("""COMPUTED_VALUE"""),381.23)</f>
        <v>381.23</v>
      </c>
      <c r="D1470" s="1">
        <f>IFERROR(__xludf.DUMMYFUNCTION("""COMPUTED_VALUE"""),379.18)</f>
        <v>379.18</v>
      </c>
      <c r="E1470" s="1">
        <f>IFERROR(__xludf.DUMMYFUNCTION("""COMPUTED_VALUE"""),380.67)</f>
        <v>380.67</v>
      </c>
      <c r="F1470" s="1">
        <f>IFERROR(__xludf.DUMMYFUNCTION("""COMPUTED_VALUE"""),2.7675E7)</f>
        <v>27675000</v>
      </c>
    </row>
    <row r="1471">
      <c r="A1471" s="2">
        <f>IFERROR(__xludf.DUMMYFUNCTION("""COMPUTED_VALUE"""),33520.666666666664)</f>
        <v>33520.66667</v>
      </c>
      <c r="B1471" s="1">
        <f>IFERROR(__xludf.DUMMYFUNCTION("""COMPUTED_VALUE"""),380.57)</f>
        <v>380.57</v>
      </c>
      <c r="C1471" s="1">
        <f>IFERROR(__xludf.DUMMYFUNCTION("""COMPUTED_VALUE"""),380.57)</f>
        <v>380.57</v>
      </c>
      <c r="D1471" s="1">
        <f>IFERROR(__xludf.DUMMYFUNCTION("""COMPUTED_VALUE"""),376.35)</f>
        <v>376.35</v>
      </c>
      <c r="E1471" s="1">
        <f>IFERROR(__xludf.DUMMYFUNCTION("""COMPUTED_VALUE"""),376.8)</f>
        <v>376.8</v>
      </c>
      <c r="F1471" s="1">
        <f>IFERROR(__xludf.DUMMYFUNCTION("""COMPUTED_VALUE"""),2.9173438E7)</f>
        <v>29173438</v>
      </c>
    </row>
    <row r="1472">
      <c r="A1472" s="2">
        <f>IFERROR(__xludf.DUMMYFUNCTION("""COMPUTED_VALUE"""),33521.666666666664)</f>
        <v>33521.66667</v>
      </c>
      <c r="B1472" s="1">
        <f>IFERROR(__xludf.DUMMYFUNCTION("""COMPUTED_VALUE"""),376.8)</f>
        <v>376.8</v>
      </c>
      <c r="C1472" s="1">
        <f>IFERROR(__xludf.DUMMYFUNCTION("""COMPUTED_VALUE"""),380.55)</f>
        <v>380.55</v>
      </c>
      <c r="D1472" s="1">
        <f>IFERROR(__xludf.DUMMYFUNCTION("""COMPUTED_VALUE"""),376.11)</f>
        <v>376.11</v>
      </c>
      <c r="E1472" s="1">
        <f>IFERROR(__xludf.DUMMYFUNCTION("""COMPUTED_VALUE"""),380.55)</f>
        <v>380.55</v>
      </c>
      <c r="F1472" s="1">
        <f>IFERROR(__xludf.DUMMYFUNCTION("""COMPUTED_VALUE"""),2.56625E7)</f>
        <v>25662500</v>
      </c>
    </row>
    <row r="1473">
      <c r="A1473" s="2">
        <f>IFERROR(__xludf.DUMMYFUNCTION("""COMPUTED_VALUE"""),33522.666666666664)</f>
        <v>33522.66667</v>
      </c>
      <c r="B1473" s="1">
        <f>IFERROR(__xludf.DUMMYFUNCTION("""COMPUTED_VALUE"""),380.55)</f>
        <v>380.55</v>
      </c>
      <c r="C1473" s="1">
        <f>IFERROR(__xludf.DUMMYFUNCTION("""COMPUTED_VALUE"""),381.46)</f>
        <v>381.46</v>
      </c>
      <c r="D1473" s="1">
        <f>IFERROR(__xludf.DUMMYFUNCTION("""COMPUTED_VALUE"""),379.9)</f>
        <v>379.9</v>
      </c>
      <c r="E1473" s="1">
        <f>IFERROR(__xludf.DUMMYFUNCTION("""COMPUTED_VALUE"""),381.45)</f>
        <v>381.45</v>
      </c>
      <c r="F1473" s="1">
        <f>IFERROR(__xludf.DUMMYFUNCTION("""COMPUTED_VALUE"""),2.3257812E7)</f>
        <v>23257812</v>
      </c>
    </row>
    <row r="1474">
      <c r="A1474" s="2">
        <f>IFERROR(__xludf.DUMMYFUNCTION("""COMPUTED_VALUE"""),33525.666666666664)</f>
        <v>33525.66667</v>
      </c>
      <c r="B1474" s="1">
        <f>IFERROR(__xludf.DUMMYFUNCTION("""COMPUTED_VALUE"""),381.45)</f>
        <v>381.45</v>
      </c>
      <c r="C1474" s="1">
        <f>IFERROR(__xludf.DUMMYFUNCTION("""COMPUTED_VALUE"""),386.47)</f>
        <v>386.47</v>
      </c>
      <c r="D1474" s="1">
        <f>IFERROR(__xludf.DUMMYFUNCTION("""COMPUTED_VALUE"""),381.45)</f>
        <v>381.45</v>
      </c>
      <c r="E1474" s="1">
        <f>IFERROR(__xludf.DUMMYFUNCTION("""COMPUTED_VALUE"""),386.47)</f>
        <v>386.47</v>
      </c>
      <c r="F1474" s="1">
        <f>IFERROR(__xludf.DUMMYFUNCTION("""COMPUTED_VALUE"""),2.033125E7)</f>
        <v>20331250</v>
      </c>
    </row>
    <row r="1475">
      <c r="A1475" s="2">
        <f>IFERROR(__xludf.DUMMYFUNCTION("""COMPUTED_VALUE"""),33526.666666666664)</f>
        <v>33526.66667</v>
      </c>
      <c r="B1475" s="1">
        <f>IFERROR(__xludf.DUMMYFUNCTION("""COMPUTED_VALUE"""),386.47)</f>
        <v>386.47</v>
      </c>
      <c r="C1475" s="1">
        <f>IFERROR(__xludf.DUMMYFUNCTION("""COMPUTED_VALUE"""),391.5)</f>
        <v>391.5</v>
      </c>
      <c r="D1475" s="1">
        <f>IFERROR(__xludf.DUMMYFUNCTION("""COMPUTED_VALUE"""),385.95)</f>
        <v>385.95</v>
      </c>
      <c r="E1475" s="1">
        <f>IFERROR(__xludf.DUMMYFUNCTION("""COMPUTED_VALUE"""),391.01)</f>
        <v>391.01</v>
      </c>
      <c r="F1475" s="1">
        <f>IFERROR(__xludf.DUMMYFUNCTION("""COMPUTED_VALUE"""),3.3365624E7)</f>
        <v>33365624</v>
      </c>
    </row>
    <row r="1476">
      <c r="A1476" s="2">
        <f>IFERROR(__xludf.DUMMYFUNCTION("""COMPUTED_VALUE"""),33527.666666666664)</f>
        <v>33527.66667</v>
      </c>
      <c r="B1476" s="1">
        <f>IFERROR(__xludf.DUMMYFUNCTION("""COMPUTED_VALUE"""),391.01)</f>
        <v>391.01</v>
      </c>
      <c r="C1476" s="1">
        <f>IFERROR(__xludf.DUMMYFUNCTION("""COMPUTED_VALUE"""),393.29)</f>
        <v>393.29</v>
      </c>
      <c r="D1476" s="1">
        <f>IFERROR(__xludf.DUMMYFUNCTION("""COMPUTED_VALUE"""),390.14)</f>
        <v>390.14</v>
      </c>
      <c r="E1476" s="1">
        <f>IFERROR(__xludf.DUMMYFUNCTION("""COMPUTED_VALUE"""),392.8)</f>
        <v>392.8</v>
      </c>
      <c r="F1476" s="1">
        <f>IFERROR(__xludf.DUMMYFUNCTION("""COMPUTED_VALUE"""),3.5215624E7)</f>
        <v>35215624</v>
      </c>
    </row>
    <row r="1477">
      <c r="A1477" s="2">
        <f>IFERROR(__xludf.DUMMYFUNCTION("""COMPUTED_VALUE"""),33528.666666666664)</f>
        <v>33528.66667</v>
      </c>
      <c r="B1477" s="1">
        <f>IFERROR(__xludf.DUMMYFUNCTION("""COMPUTED_VALUE"""),392.79)</f>
        <v>392.79</v>
      </c>
      <c r="C1477" s="1">
        <f>IFERROR(__xludf.DUMMYFUNCTION("""COMPUTED_VALUE"""),393.81)</f>
        <v>393.81</v>
      </c>
      <c r="D1477" s="1">
        <f>IFERROR(__xludf.DUMMYFUNCTION("""COMPUTED_VALUE"""),390.32)</f>
        <v>390.32</v>
      </c>
      <c r="E1477" s="1">
        <f>IFERROR(__xludf.DUMMYFUNCTION("""COMPUTED_VALUE"""),391.92)</f>
        <v>391.92</v>
      </c>
      <c r="F1477" s="1">
        <f>IFERROR(__xludf.DUMMYFUNCTION("""COMPUTED_VALUE"""),3.2192188E7)</f>
        <v>32192188</v>
      </c>
    </row>
    <row r="1478">
      <c r="A1478" s="2">
        <f>IFERROR(__xludf.DUMMYFUNCTION("""COMPUTED_VALUE"""),33529.666666666664)</f>
        <v>33529.66667</v>
      </c>
      <c r="B1478" s="1">
        <f>IFERROR(__xludf.DUMMYFUNCTION("""COMPUTED_VALUE"""),391.92)</f>
        <v>391.92</v>
      </c>
      <c r="C1478" s="1">
        <f>IFERROR(__xludf.DUMMYFUNCTION("""COMPUTED_VALUE"""),392.8)</f>
        <v>392.8</v>
      </c>
      <c r="D1478" s="1">
        <f>IFERROR(__xludf.DUMMYFUNCTION("""COMPUTED_VALUE"""),391.77)</f>
        <v>391.77</v>
      </c>
      <c r="E1478" s="1">
        <f>IFERROR(__xludf.DUMMYFUNCTION("""COMPUTED_VALUE"""),392.5)</f>
        <v>392.5</v>
      </c>
      <c r="F1478" s="1">
        <f>IFERROR(__xludf.DUMMYFUNCTION("""COMPUTED_VALUE"""),3.1889062E7)</f>
        <v>31889062</v>
      </c>
    </row>
    <row r="1479">
      <c r="A1479" s="2">
        <f>IFERROR(__xludf.DUMMYFUNCTION("""COMPUTED_VALUE"""),33532.666666666664)</f>
        <v>33532.66667</v>
      </c>
      <c r="B1479" s="1">
        <f>IFERROR(__xludf.DUMMYFUNCTION("""COMPUTED_VALUE"""),392.49)</f>
        <v>392.49</v>
      </c>
      <c r="C1479" s="1">
        <f>IFERROR(__xludf.DUMMYFUNCTION("""COMPUTED_VALUE"""),392.49)</f>
        <v>392.49</v>
      </c>
      <c r="D1479" s="1">
        <f>IFERROR(__xludf.DUMMYFUNCTION("""COMPUTED_VALUE"""),388.96)</f>
        <v>388.96</v>
      </c>
      <c r="E1479" s="1">
        <f>IFERROR(__xludf.DUMMYFUNCTION("""COMPUTED_VALUE"""),390.02)</f>
        <v>390.02</v>
      </c>
      <c r="F1479" s="1">
        <f>IFERROR(__xludf.DUMMYFUNCTION("""COMPUTED_VALUE"""),2.4084376E7)</f>
        <v>24084376</v>
      </c>
    </row>
    <row r="1480">
      <c r="A1480" s="2">
        <f>IFERROR(__xludf.DUMMYFUNCTION("""COMPUTED_VALUE"""),33533.666666666664)</f>
        <v>33533.66667</v>
      </c>
      <c r="B1480" s="1">
        <f>IFERROR(__xludf.DUMMYFUNCTION("""COMPUTED_VALUE"""),390.02)</f>
        <v>390.02</v>
      </c>
      <c r="C1480" s="1">
        <f>IFERROR(__xludf.DUMMYFUNCTION("""COMPUTED_VALUE"""),391.2)</f>
        <v>391.2</v>
      </c>
      <c r="D1480" s="1">
        <f>IFERROR(__xludf.DUMMYFUNCTION("""COMPUTED_VALUE"""),387.4)</f>
        <v>387.4</v>
      </c>
      <c r="E1480" s="1">
        <f>IFERROR(__xludf.DUMMYFUNCTION("""COMPUTED_VALUE"""),387.83)</f>
        <v>387.83</v>
      </c>
      <c r="F1480" s="1">
        <f>IFERROR(__xludf.DUMMYFUNCTION("""COMPUTED_VALUE"""),3.03375E7)</f>
        <v>30337500</v>
      </c>
    </row>
    <row r="1481">
      <c r="A1481" s="2">
        <f>IFERROR(__xludf.DUMMYFUNCTION("""COMPUTED_VALUE"""),33534.666666666664)</f>
        <v>33534.66667</v>
      </c>
      <c r="B1481" s="1">
        <f>IFERROR(__xludf.DUMMYFUNCTION("""COMPUTED_VALUE"""),387.83)</f>
        <v>387.83</v>
      </c>
      <c r="C1481" s="1">
        <f>IFERROR(__xludf.DUMMYFUNCTION("""COMPUTED_VALUE"""),389.08)</f>
        <v>389.08</v>
      </c>
      <c r="D1481" s="1">
        <f>IFERROR(__xludf.DUMMYFUNCTION("""COMPUTED_VALUE"""),386.52)</f>
        <v>386.52</v>
      </c>
      <c r="E1481" s="1">
        <f>IFERROR(__xludf.DUMMYFUNCTION("""COMPUTED_VALUE"""),387.94)</f>
        <v>387.94</v>
      </c>
      <c r="F1481" s="1">
        <f>IFERROR(__xludf.DUMMYFUNCTION("""COMPUTED_VALUE"""),2.8967188E7)</f>
        <v>28967188</v>
      </c>
    </row>
    <row r="1482">
      <c r="A1482" s="2">
        <f>IFERROR(__xludf.DUMMYFUNCTION("""COMPUTED_VALUE"""),33535.666666666664)</f>
        <v>33535.66667</v>
      </c>
      <c r="B1482" s="1">
        <f>IFERROR(__xludf.DUMMYFUNCTION("""COMPUTED_VALUE"""),387.94)</f>
        <v>387.94</v>
      </c>
      <c r="C1482" s="1">
        <f>IFERROR(__xludf.DUMMYFUNCTION("""COMPUTED_VALUE"""),388.32)</f>
        <v>388.32</v>
      </c>
      <c r="D1482" s="1">
        <f>IFERROR(__xludf.DUMMYFUNCTION("""COMPUTED_VALUE"""),383.45)</f>
        <v>383.45</v>
      </c>
      <c r="E1482" s="1">
        <f>IFERROR(__xludf.DUMMYFUNCTION("""COMPUTED_VALUE"""),385.07)</f>
        <v>385.07</v>
      </c>
      <c r="F1482" s="1">
        <f>IFERROR(__xludf.DUMMYFUNCTION("""COMPUTED_VALUE"""),2.7975E7)</f>
        <v>27975000</v>
      </c>
    </row>
    <row r="1483">
      <c r="A1483" s="2">
        <f>IFERROR(__xludf.DUMMYFUNCTION("""COMPUTED_VALUE"""),33536.666666666664)</f>
        <v>33536.66667</v>
      </c>
      <c r="B1483" s="1">
        <f>IFERROR(__xludf.DUMMYFUNCTION("""COMPUTED_VALUE"""),385.07)</f>
        <v>385.07</v>
      </c>
      <c r="C1483" s="1">
        <f>IFERROR(__xludf.DUMMYFUNCTION("""COMPUTED_VALUE"""),386.13)</f>
        <v>386.13</v>
      </c>
      <c r="D1483" s="1">
        <f>IFERROR(__xludf.DUMMYFUNCTION("""COMPUTED_VALUE"""),382.97)</f>
        <v>382.97</v>
      </c>
      <c r="E1483" s="1">
        <f>IFERROR(__xludf.DUMMYFUNCTION("""COMPUTED_VALUE"""),384.2)</f>
        <v>384.2</v>
      </c>
      <c r="F1483" s="1">
        <f>IFERROR(__xludf.DUMMYFUNCTION("""COMPUTED_VALUE"""),2.6142188E7)</f>
        <v>26142188</v>
      </c>
    </row>
    <row r="1484">
      <c r="A1484" s="2">
        <f>IFERROR(__xludf.DUMMYFUNCTION("""COMPUTED_VALUE"""),33539.666666666664)</f>
        <v>33539.66667</v>
      </c>
      <c r="B1484" s="1">
        <f>IFERROR(__xludf.DUMMYFUNCTION("""COMPUTED_VALUE"""),384.2)</f>
        <v>384.2</v>
      </c>
      <c r="C1484" s="1">
        <f>IFERROR(__xludf.DUMMYFUNCTION("""COMPUTED_VALUE"""),389.52)</f>
        <v>389.52</v>
      </c>
      <c r="D1484" s="1">
        <f>IFERROR(__xludf.DUMMYFUNCTION("""COMPUTED_VALUE"""),384.2)</f>
        <v>384.2</v>
      </c>
      <c r="E1484" s="1">
        <f>IFERROR(__xludf.DUMMYFUNCTION("""COMPUTED_VALUE"""),389.52)</f>
        <v>389.52</v>
      </c>
      <c r="F1484" s="1">
        <f>IFERROR(__xludf.DUMMYFUNCTION("""COMPUTED_VALUE"""),2.5254688E7)</f>
        <v>25254688</v>
      </c>
    </row>
    <row r="1485">
      <c r="A1485" s="2">
        <f>IFERROR(__xludf.DUMMYFUNCTION("""COMPUTED_VALUE"""),33540.666666666664)</f>
        <v>33540.66667</v>
      </c>
      <c r="B1485" s="1">
        <f>IFERROR(__xludf.DUMMYFUNCTION("""COMPUTED_VALUE"""),389.52)</f>
        <v>389.52</v>
      </c>
      <c r="C1485" s="1">
        <f>IFERROR(__xludf.DUMMYFUNCTION("""COMPUTED_VALUE"""),391.7)</f>
        <v>391.7</v>
      </c>
      <c r="D1485" s="1">
        <f>IFERROR(__xludf.DUMMYFUNCTION("""COMPUTED_VALUE"""),386.88)</f>
        <v>386.88</v>
      </c>
      <c r="E1485" s="1">
        <f>IFERROR(__xludf.DUMMYFUNCTION("""COMPUTED_VALUE"""),391.48)</f>
        <v>391.48</v>
      </c>
      <c r="F1485" s="1">
        <f>IFERROR(__xludf.DUMMYFUNCTION("""COMPUTED_VALUE"""),3.0126562E7)</f>
        <v>30126562</v>
      </c>
    </row>
    <row r="1486">
      <c r="A1486" s="2">
        <f>IFERROR(__xludf.DUMMYFUNCTION("""COMPUTED_VALUE"""),33541.666666666664)</f>
        <v>33541.66667</v>
      </c>
      <c r="B1486" s="1">
        <f>IFERROR(__xludf.DUMMYFUNCTION("""COMPUTED_VALUE"""),391.48)</f>
        <v>391.48</v>
      </c>
      <c r="C1486" s="1">
        <f>IFERROR(__xludf.DUMMYFUNCTION("""COMPUTED_VALUE"""),393.11)</f>
        <v>393.11</v>
      </c>
      <c r="D1486" s="1">
        <f>IFERROR(__xludf.DUMMYFUNCTION("""COMPUTED_VALUE"""),390.78)</f>
        <v>390.78</v>
      </c>
      <c r="E1486" s="1">
        <f>IFERROR(__xludf.DUMMYFUNCTION("""COMPUTED_VALUE"""),392.96)</f>
        <v>392.96</v>
      </c>
      <c r="F1486" s="1">
        <f>IFERROR(__xludf.DUMMYFUNCTION("""COMPUTED_VALUE"""),3.053125E7)</f>
        <v>30531250</v>
      </c>
    </row>
    <row r="1487">
      <c r="A1487" s="2">
        <f>IFERROR(__xludf.DUMMYFUNCTION("""COMPUTED_VALUE"""),33542.666666666664)</f>
        <v>33542.66667</v>
      </c>
      <c r="B1487" s="1">
        <f>IFERROR(__xludf.DUMMYFUNCTION("""COMPUTED_VALUE"""),392.96)</f>
        <v>392.96</v>
      </c>
      <c r="C1487" s="1">
        <f>IFERROR(__xludf.DUMMYFUNCTION("""COMPUTED_VALUE"""),392.96)</f>
        <v>392.96</v>
      </c>
      <c r="D1487" s="1">
        <f>IFERROR(__xludf.DUMMYFUNCTION("""COMPUTED_VALUE"""),391.58)</f>
        <v>391.58</v>
      </c>
      <c r="E1487" s="1">
        <f>IFERROR(__xludf.DUMMYFUNCTION("""COMPUTED_VALUE"""),392.45)</f>
        <v>392.45</v>
      </c>
      <c r="F1487" s="1">
        <f>IFERROR(__xludf.DUMMYFUNCTION("""COMPUTED_VALUE"""),2.8075E7)</f>
        <v>28075000</v>
      </c>
    </row>
    <row r="1488">
      <c r="A1488" s="2">
        <f>IFERROR(__xludf.DUMMYFUNCTION("""COMPUTED_VALUE"""),33543.666666666664)</f>
        <v>33543.66667</v>
      </c>
      <c r="B1488" s="1">
        <f>IFERROR(__xludf.DUMMYFUNCTION("""COMPUTED_VALUE"""),392.46)</f>
        <v>392.46</v>
      </c>
      <c r="C1488" s="1">
        <f>IFERROR(__xludf.DUMMYFUNCTION("""COMPUTED_VALUE"""),395.1)</f>
        <v>395.1</v>
      </c>
      <c r="D1488" s="1">
        <f>IFERROR(__xludf.DUMMYFUNCTION("""COMPUTED_VALUE"""),389.67)</f>
        <v>389.67</v>
      </c>
      <c r="E1488" s="1">
        <f>IFERROR(__xludf.DUMMYFUNCTION("""COMPUTED_VALUE"""),391.32)</f>
        <v>391.32</v>
      </c>
      <c r="F1488" s="1">
        <f>IFERROR(__xludf.DUMMYFUNCTION("""COMPUTED_VALUE"""),3.2153124E7)</f>
        <v>32153124</v>
      </c>
    </row>
    <row r="1489">
      <c r="A1489" s="2">
        <f>IFERROR(__xludf.DUMMYFUNCTION("""COMPUTED_VALUE"""),33546.666666666664)</f>
        <v>33546.66667</v>
      </c>
      <c r="B1489" s="1">
        <f>IFERROR(__xludf.DUMMYFUNCTION("""COMPUTED_VALUE"""),391.29)</f>
        <v>391.29</v>
      </c>
      <c r="C1489" s="1">
        <f>IFERROR(__xludf.DUMMYFUNCTION("""COMPUTED_VALUE"""),391.29)</f>
        <v>391.29</v>
      </c>
      <c r="D1489" s="1">
        <f>IFERROR(__xludf.DUMMYFUNCTION("""COMPUTED_VALUE"""),388.09)</f>
        <v>388.09</v>
      </c>
      <c r="E1489" s="1">
        <f>IFERROR(__xludf.DUMMYFUNCTION("""COMPUTED_VALUE"""),390.28)</f>
        <v>390.28</v>
      </c>
      <c r="F1489" s="1">
        <f>IFERROR(__xludf.DUMMYFUNCTION("""COMPUTED_VALUE"""),2.4321876E7)</f>
        <v>24321876</v>
      </c>
    </row>
    <row r="1490">
      <c r="A1490" s="2">
        <f>IFERROR(__xludf.DUMMYFUNCTION("""COMPUTED_VALUE"""),33547.666666666664)</f>
        <v>33547.66667</v>
      </c>
      <c r="B1490" s="1">
        <f>IFERROR(__xludf.DUMMYFUNCTION("""COMPUTED_VALUE"""),390.28)</f>
        <v>390.28</v>
      </c>
      <c r="C1490" s="1">
        <f>IFERROR(__xludf.DUMMYFUNCTION("""COMPUTED_VALUE"""),392.17)</f>
        <v>392.17</v>
      </c>
      <c r="D1490" s="1">
        <f>IFERROR(__xludf.DUMMYFUNCTION("""COMPUTED_VALUE"""),388.19)</f>
        <v>388.19</v>
      </c>
      <c r="E1490" s="1">
        <f>IFERROR(__xludf.DUMMYFUNCTION("""COMPUTED_VALUE"""),388.71)</f>
        <v>388.71</v>
      </c>
      <c r="F1490" s="1">
        <f>IFERROR(__xludf.DUMMYFUNCTION("""COMPUTED_VALUE"""),2.6889062E7)</f>
        <v>26889062</v>
      </c>
    </row>
    <row r="1491">
      <c r="A1491" s="2">
        <f>IFERROR(__xludf.DUMMYFUNCTION("""COMPUTED_VALUE"""),33548.666666666664)</f>
        <v>33548.66667</v>
      </c>
      <c r="B1491" s="1">
        <f>IFERROR(__xludf.DUMMYFUNCTION("""COMPUTED_VALUE"""),388.71)</f>
        <v>388.71</v>
      </c>
      <c r="C1491" s="1">
        <f>IFERROR(__xludf.DUMMYFUNCTION("""COMPUTED_VALUE"""),389.97)</f>
        <v>389.97</v>
      </c>
      <c r="D1491" s="1">
        <f>IFERROR(__xludf.DUMMYFUNCTION("""COMPUTED_VALUE"""),387.58)</f>
        <v>387.58</v>
      </c>
      <c r="E1491" s="1">
        <f>IFERROR(__xludf.DUMMYFUNCTION("""COMPUTED_VALUE"""),389.97)</f>
        <v>389.97</v>
      </c>
      <c r="F1491" s="1">
        <f>IFERROR(__xludf.DUMMYFUNCTION("""COMPUTED_VALUE"""),2.61625E7)</f>
        <v>26162500</v>
      </c>
    </row>
    <row r="1492">
      <c r="A1492" s="2">
        <f>IFERROR(__xludf.DUMMYFUNCTION("""COMPUTED_VALUE"""),33549.666666666664)</f>
        <v>33549.66667</v>
      </c>
      <c r="B1492" s="1">
        <f>IFERROR(__xludf.DUMMYFUNCTION("""COMPUTED_VALUE"""),389.97)</f>
        <v>389.97</v>
      </c>
      <c r="C1492" s="1">
        <f>IFERROR(__xludf.DUMMYFUNCTION("""COMPUTED_VALUE"""),393.72)</f>
        <v>393.72</v>
      </c>
      <c r="D1492" s="1">
        <f>IFERROR(__xludf.DUMMYFUNCTION("""COMPUTED_VALUE"""),389.97)</f>
        <v>389.97</v>
      </c>
      <c r="E1492" s="1">
        <f>IFERROR(__xludf.DUMMYFUNCTION("""COMPUTED_VALUE"""),393.72)</f>
        <v>393.72</v>
      </c>
      <c r="F1492" s="1">
        <f>IFERROR(__xludf.DUMMYFUNCTION("""COMPUTED_VALUE"""),3.210625E7)</f>
        <v>32106250</v>
      </c>
    </row>
    <row r="1493">
      <c r="A1493" s="2">
        <f>IFERROR(__xludf.DUMMYFUNCTION("""COMPUTED_VALUE"""),33550.666666666664)</f>
        <v>33550.66667</v>
      </c>
      <c r="B1493" s="1">
        <f>IFERROR(__xludf.DUMMYFUNCTION("""COMPUTED_VALUE"""),393.72)</f>
        <v>393.72</v>
      </c>
      <c r="C1493" s="1">
        <f>IFERROR(__xludf.DUMMYFUNCTION("""COMPUTED_VALUE"""),396.43)</f>
        <v>396.43</v>
      </c>
      <c r="D1493" s="1">
        <f>IFERROR(__xludf.DUMMYFUNCTION("""COMPUTED_VALUE"""),392.42)</f>
        <v>392.42</v>
      </c>
      <c r="E1493" s="1">
        <f>IFERROR(__xludf.DUMMYFUNCTION("""COMPUTED_VALUE"""),392.89)</f>
        <v>392.89</v>
      </c>
      <c r="F1493" s="1">
        <f>IFERROR(__xludf.DUMMYFUNCTION("""COMPUTED_VALUE"""),2.8634376E7)</f>
        <v>28634376</v>
      </c>
    </row>
    <row r="1494">
      <c r="A1494" s="2">
        <f>IFERROR(__xludf.DUMMYFUNCTION("""COMPUTED_VALUE"""),33553.666666666664)</f>
        <v>33553.66667</v>
      </c>
      <c r="B1494" s="1">
        <f>IFERROR(__xludf.DUMMYFUNCTION("""COMPUTED_VALUE"""),392.9)</f>
        <v>392.9</v>
      </c>
      <c r="C1494" s="1">
        <f>IFERROR(__xludf.DUMMYFUNCTION("""COMPUTED_VALUE"""),393.57)</f>
        <v>393.57</v>
      </c>
      <c r="D1494" s="1">
        <f>IFERROR(__xludf.DUMMYFUNCTION("""COMPUTED_VALUE"""),392.32)</f>
        <v>392.32</v>
      </c>
      <c r="E1494" s="1">
        <f>IFERROR(__xludf.DUMMYFUNCTION("""COMPUTED_VALUE"""),393.12)</f>
        <v>393.12</v>
      </c>
      <c r="F1494" s="1">
        <f>IFERROR(__xludf.DUMMYFUNCTION("""COMPUTED_VALUE"""),2.014375E7)</f>
        <v>20143750</v>
      </c>
    </row>
    <row r="1495">
      <c r="A1495" s="2">
        <f>IFERROR(__xludf.DUMMYFUNCTION("""COMPUTED_VALUE"""),33554.666666666664)</f>
        <v>33554.66667</v>
      </c>
      <c r="B1495" s="1">
        <f>IFERROR(__xludf.DUMMYFUNCTION("""COMPUTED_VALUE"""),393.12)</f>
        <v>393.12</v>
      </c>
      <c r="C1495" s="1">
        <f>IFERROR(__xludf.DUMMYFUNCTION("""COMPUTED_VALUE"""),397.13)</f>
        <v>397.13</v>
      </c>
      <c r="D1495" s="1">
        <f>IFERROR(__xludf.DUMMYFUNCTION("""COMPUTED_VALUE"""),393.12)</f>
        <v>393.12</v>
      </c>
      <c r="E1495" s="1">
        <f>IFERROR(__xludf.DUMMYFUNCTION("""COMPUTED_VALUE"""),396.74)</f>
        <v>396.74</v>
      </c>
      <c r="F1495" s="1">
        <f>IFERROR(__xludf.DUMMYFUNCTION("""COMPUTED_VALUE"""),3.1032812E7)</f>
        <v>31032812</v>
      </c>
    </row>
    <row r="1496">
      <c r="A1496" s="2">
        <f>IFERROR(__xludf.DUMMYFUNCTION("""COMPUTED_VALUE"""),33555.666666666664)</f>
        <v>33555.66667</v>
      </c>
      <c r="B1496" s="1">
        <f>IFERROR(__xludf.DUMMYFUNCTION("""COMPUTED_VALUE"""),396.74)</f>
        <v>396.74</v>
      </c>
      <c r="C1496" s="1">
        <f>IFERROR(__xludf.DUMMYFUNCTION("""COMPUTED_VALUE"""),397.42)</f>
        <v>397.42</v>
      </c>
      <c r="D1496" s="1">
        <f>IFERROR(__xludf.DUMMYFUNCTION("""COMPUTED_VALUE"""),394.01)</f>
        <v>394.01</v>
      </c>
      <c r="E1496" s="1">
        <f>IFERROR(__xludf.DUMMYFUNCTION("""COMPUTED_VALUE"""),397.41)</f>
        <v>397.41</v>
      </c>
      <c r="F1496" s="1">
        <f>IFERROR(__xludf.DUMMYFUNCTION("""COMPUTED_VALUE"""),2.8825E7)</f>
        <v>28825000</v>
      </c>
    </row>
    <row r="1497">
      <c r="A1497" s="2">
        <f>IFERROR(__xludf.DUMMYFUNCTION("""COMPUTED_VALUE"""),33556.666666666664)</f>
        <v>33556.66667</v>
      </c>
      <c r="B1497" s="1">
        <f>IFERROR(__xludf.DUMMYFUNCTION("""COMPUTED_VALUE"""),397.41)</f>
        <v>397.41</v>
      </c>
      <c r="C1497" s="1">
        <f>IFERROR(__xludf.DUMMYFUNCTION("""COMPUTED_VALUE"""),398.22)</f>
        <v>398.22</v>
      </c>
      <c r="D1497" s="1">
        <f>IFERROR(__xludf.DUMMYFUNCTION("""COMPUTED_VALUE"""),395.85)</f>
        <v>395.85</v>
      </c>
      <c r="E1497" s="1">
        <f>IFERROR(__xludf.DUMMYFUNCTION("""COMPUTED_VALUE"""),397.15)</f>
        <v>397.15</v>
      </c>
      <c r="F1497" s="1">
        <f>IFERROR(__xludf.DUMMYFUNCTION("""COMPUTED_VALUE"""),3.1254688E7)</f>
        <v>31254688</v>
      </c>
    </row>
    <row r="1498">
      <c r="A1498" s="2">
        <f>IFERROR(__xludf.DUMMYFUNCTION("""COMPUTED_VALUE"""),33557.666666666664)</f>
        <v>33557.66667</v>
      </c>
      <c r="B1498" s="1">
        <f>IFERROR(__xludf.DUMMYFUNCTION("""COMPUTED_VALUE"""),397.15)</f>
        <v>397.15</v>
      </c>
      <c r="C1498" s="1">
        <f>IFERROR(__xludf.DUMMYFUNCTION("""COMPUTED_VALUE"""),397.16)</f>
        <v>397.16</v>
      </c>
      <c r="D1498" s="1">
        <f>IFERROR(__xludf.DUMMYFUNCTION("""COMPUTED_VALUE"""),382.62)</f>
        <v>382.62</v>
      </c>
      <c r="E1498" s="1">
        <f>IFERROR(__xludf.DUMMYFUNCTION("""COMPUTED_VALUE"""),382.62)</f>
        <v>382.62</v>
      </c>
      <c r="F1498" s="1">
        <f>IFERROR(__xludf.DUMMYFUNCTION("""COMPUTED_VALUE"""),3.7451564E7)</f>
        <v>37451564</v>
      </c>
    </row>
    <row r="1499">
      <c r="A1499" s="2">
        <f>IFERROR(__xludf.DUMMYFUNCTION("""COMPUTED_VALUE"""),33560.666666666664)</f>
        <v>33560.66667</v>
      </c>
      <c r="B1499" s="1">
        <f>IFERROR(__xludf.DUMMYFUNCTION("""COMPUTED_VALUE"""),382.62)</f>
        <v>382.62</v>
      </c>
      <c r="C1499" s="1">
        <f>IFERROR(__xludf.DUMMYFUNCTION("""COMPUTED_VALUE"""),385.4)</f>
        <v>385.4</v>
      </c>
      <c r="D1499" s="1">
        <f>IFERROR(__xludf.DUMMYFUNCTION("""COMPUTED_VALUE"""),379.7)</f>
        <v>379.7</v>
      </c>
      <c r="E1499" s="1">
        <f>IFERROR(__xludf.DUMMYFUNCTION("""COMPUTED_VALUE"""),385.24)</f>
        <v>385.24</v>
      </c>
      <c r="F1499" s="1">
        <f>IFERROR(__xludf.DUMMYFUNCTION("""COMPUTED_VALUE"""),3.7803124E7)</f>
        <v>37803124</v>
      </c>
    </row>
    <row r="1500">
      <c r="A1500" s="2">
        <f>IFERROR(__xludf.DUMMYFUNCTION("""COMPUTED_VALUE"""),33561.666666666664)</f>
        <v>33561.66667</v>
      </c>
      <c r="B1500" s="1">
        <f>IFERROR(__xludf.DUMMYFUNCTION("""COMPUTED_VALUE"""),385.24)</f>
        <v>385.24</v>
      </c>
      <c r="C1500" s="1">
        <f>IFERROR(__xludf.DUMMYFUNCTION("""COMPUTED_VALUE"""),385.24)</f>
        <v>385.24</v>
      </c>
      <c r="D1500" s="1">
        <f>IFERROR(__xludf.DUMMYFUNCTION("""COMPUTED_VALUE"""),374.9)</f>
        <v>374.9</v>
      </c>
      <c r="E1500" s="1">
        <f>IFERROR(__xludf.DUMMYFUNCTION("""COMPUTED_VALUE"""),379.42)</f>
        <v>379.42</v>
      </c>
      <c r="F1500" s="1">
        <f>IFERROR(__xludf.DUMMYFUNCTION("""COMPUTED_VALUE"""),3.8106248E7)</f>
        <v>38106248</v>
      </c>
    </row>
    <row r="1501">
      <c r="A1501" s="2">
        <f>IFERROR(__xludf.DUMMYFUNCTION("""COMPUTED_VALUE"""),33562.666666666664)</f>
        <v>33562.66667</v>
      </c>
      <c r="B1501" s="1">
        <f>IFERROR(__xludf.DUMMYFUNCTION("""COMPUTED_VALUE"""),379.42)</f>
        <v>379.42</v>
      </c>
      <c r="C1501" s="1">
        <f>IFERROR(__xludf.DUMMYFUNCTION("""COMPUTED_VALUE"""),381.51)</f>
        <v>381.51</v>
      </c>
      <c r="D1501" s="1">
        <f>IFERROR(__xludf.DUMMYFUNCTION("""COMPUTED_VALUE"""),377.84)</f>
        <v>377.84</v>
      </c>
      <c r="E1501" s="1">
        <f>IFERROR(__xludf.DUMMYFUNCTION("""COMPUTED_VALUE"""),378.53)</f>
        <v>378.53</v>
      </c>
      <c r="F1501" s="1">
        <f>IFERROR(__xludf.DUMMYFUNCTION("""COMPUTED_VALUE"""),3.011875E7)</f>
        <v>30118750</v>
      </c>
    </row>
    <row r="1502">
      <c r="A1502" s="2">
        <f>IFERROR(__xludf.DUMMYFUNCTION("""COMPUTED_VALUE"""),33563.666666666664)</f>
        <v>33563.66667</v>
      </c>
      <c r="B1502" s="1">
        <f>IFERROR(__xludf.DUMMYFUNCTION("""COMPUTED_VALUE"""),378.53)</f>
        <v>378.53</v>
      </c>
      <c r="C1502" s="1">
        <f>IFERROR(__xludf.DUMMYFUNCTION("""COMPUTED_VALUE"""),381.12)</f>
        <v>381.12</v>
      </c>
      <c r="D1502" s="1">
        <f>IFERROR(__xludf.DUMMYFUNCTION("""COMPUTED_VALUE"""),377.41)</f>
        <v>377.41</v>
      </c>
      <c r="E1502" s="1">
        <f>IFERROR(__xludf.DUMMYFUNCTION("""COMPUTED_VALUE"""),380.06)</f>
        <v>380.06</v>
      </c>
      <c r="F1502" s="1">
        <f>IFERROR(__xludf.DUMMYFUNCTION("""COMPUTED_VALUE"""),3.0489062E7)</f>
        <v>30489062</v>
      </c>
    </row>
    <row r="1503">
      <c r="A1503" s="2">
        <f>IFERROR(__xludf.DUMMYFUNCTION("""COMPUTED_VALUE"""),33564.666666666664)</f>
        <v>33564.66667</v>
      </c>
      <c r="B1503" s="1">
        <f>IFERROR(__xludf.DUMMYFUNCTION("""COMPUTED_VALUE"""),380.05)</f>
        <v>380.05</v>
      </c>
      <c r="C1503" s="1">
        <f>IFERROR(__xludf.DUMMYFUNCTION("""COMPUTED_VALUE"""),380.05)</f>
        <v>380.05</v>
      </c>
      <c r="D1503" s="1">
        <f>IFERROR(__xludf.DUMMYFUNCTION("""COMPUTED_VALUE"""),374.52)</f>
        <v>374.52</v>
      </c>
      <c r="E1503" s="1">
        <f>IFERROR(__xludf.DUMMYFUNCTION("""COMPUTED_VALUE"""),376.14)</f>
        <v>376.14</v>
      </c>
      <c r="F1503" s="1">
        <f>IFERROR(__xludf.DUMMYFUNCTION("""COMPUTED_VALUE"""),2.94125E7)</f>
        <v>29412500</v>
      </c>
    </row>
    <row r="1504">
      <c r="A1504" s="2">
        <f>IFERROR(__xludf.DUMMYFUNCTION("""COMPUTED_VALUE"""),33567.666666666664)</f>
        <v>33567.66667</v>
      </c>
      <c r="B1504" s="1">
        <f>IFERROR(__xludf.DUMMYFUNCTION("""COMPUTED_VALUE"""),376.14)</f>
        <v>376.14</v>
      </c>
      <c r="C1504" s="1">
        <f>IFERROR(__xludf.DUMMYFUNCTION("""COMPUTED_VALUE"""),377.07)</f>
        <v>377.07</v>
      </c>
      <c r="D1504" s="1">
        <f>IFERROR(__xludf.DUMMYFUNCTION("""COMPUTED_VALUE"""),374.0)</f>
        <v>374</v>
      </c>
      <c r="E1504" s="1">
        <f>IFERROR(__xludf.DUMMYFUNCTION("""COMPUTED_VALUE"""),375.34)</f>
        <v>375.34</v>
      </c>
      <c r="F1504" s="1">
        <f>IFERROR(__xludf.DUMMYFUNCTION("""COMPUTED_VALUE"""),2.7479688E7)</f>
        <v>27479688</v>
      </c>
    </row>
    <row r="1505">
      <c r="A1505" s="2">
        <f>IFERROR(__xludf.DUMMYFUNCTION("""COMPUTED_VALUE"""),33568.666666666664)</f>
        <v>33568.66667</v>
      </c>
      <c r="B1505" s="1">
        <f>IFERROR(__xludf.DUMMYFUNCTION("""COMPUTED_VALUE"""),375.34)</f>
        <v>375.34</v>
      </c>
      <c r="C1505" s="1">
        <f>IFERROR(__xludf.DUMMYFUNCTION("""COMPUTED_VALUE"""),378.29)</f>
        <v>378.29</v>
      </c>
      <c r="D1505" s="1">
        <f>IFERROR(__xludf.DUMMYFUNCTION("""COMPUTED_VALUE"""),371.63)</f>
        <v>371.63</v>
      </c>
      <c r="E1505" s="1">
        <f>IFERROR(__xludf.DUMMYFUNCTION("""COMPUTED_VALUE"""),377.96)</f>
        <v>377.96</v>
      </c>
      <c r="F1505" s="1">
        <f>IFERROR(__xludf.DUMMYFUNCTION("""COMPUTED_VALUE"""),3.3407812E7)</f>
        <v>33407812</v>
      </c>
    </row>
    <row r="1506">
      <c r="A1506" s="2">
        <f>IFERROR(__xludf.DUMMYFUNCTION("""COMPUTED_VALUE"""),33569.666666666664)</f>
        <v>33569.66667</v>
      </c>
      <c r="B1506" s="1">
        <f>IFERROR(__xludf.DUMMYFUNCTION("""COMPUTED_VALUE"""),377.96)</f>
        <v>377.96</v>
      </c>
      <c r="C1506" s="1">
        <f>IFERROR(__xludf.DUMMYFUNCTION("""COMPUTED_VALUE"""),378.11)</f>
        <v>378.11</v>
      </c>
      <c r="D1506" s="1">
        <f>IFERROR(__xludf.DUMMYFUNCTION("""COMPUTED_VALUE"""),375.98)</f>
        <v>375.98</v>
      </c>
      <c r="E1506" s="1">
        <f>IFERROR(__xludf.DUMMYFUNCTION("""COMPUTED_VALUE"""),376.55)</f>
        <v>376.55</v>
      </c>
      <c r="F1506" s="1">
        <f>IFERROR(__xludf.DUMMYFUNCTION("""COMPUTED_VALUE"""),2.620625E7)</f>
        <v>26206250</v>
      </c>
    </row>
    <row r="1507">
      <c r="A1507" s="2">
        <f>IFERROR(__xludf.DUMMYFUNCTION("""COMPUTED_VALUE"""),33571.666666666664)</f>
        <v>33571.66667</v>
      </c>
      <c r="B1507" s="1">
        <f>IFERROR(__xludf.DUMMYFUNCTION("""COMPUTED_VALUE"""),376.55)</f>
        <v>376.55</v>
      </c>
      <c r="C1507" s="1">
        <f>IFERROR(__xludf.DUMMYFUNCTION("""COMPUTED_VALUE"""),376.55)</f>
        <v>376.55</v>
      </c>
      <c r="D1507" s="1">
        <f>IFERROR(__xludf.DUMMYFUNCTION("""COMPUTED_VALUE"""),374.65)</f>
        <v>374.65</v>
      </c>
      <c r="E1507" s="1">
        <f>IFERROR(__xludf.DUMMYFUNCTION("""COMPUTED_VALUE"""),375.22)</f>
        <v>375.22</v>
      </c>
      <c r="F1507" s="1">
        <f>IFERROR(__xludf.DUMMYFUNCTION("""COMPUTED_VALUE"""),1.2004688E7)</f>
        <v>12004688</v>
      </c>
    </row>
    <row r="1508">
      <c r="A1508" s="2">
        <f>IFERROR(__xludf.DUMMYFUNCTION("""COMPUTED_VALUE"""),33574.666666666664)</f>
        <v>33574.66667</v>
      </c>
      <c r="B1508" s="1">
        <f>IFERROR(__xludf.DUMMYFUNCTION("""COMPUTED_VALUE"""),375.11)</f>
        <v>375.11</v>
      </c>
      <c r="C1508" s="1">
        <f>IFERROR(__xludf.DUMMYFUNCTION("""COMPUTED_VALUE"""),381.4)</f>
        <v>381.4</v>
      </c>
      <c r="D1508" s="1">
        <f>IFERROR(__xludf.DUMMYFUNCTION("""COMPUTED_VALUE"""),371.36)</f>
        <v>371.36</v>
      </c>
      <c r="E1508" s="1">
        <f>IFERROR(__xludf.DUMMYFUNCTION("""COMPUTED_VALUE"""),381.4)</f>
        <v>381.4</v>
      </c>
      <c r="F1508" s="1">
        <f>IFERROR(__xludf.DUMMYFUNCTION("""COMPUTED_VALUE"""),2.9439062E7)</f>
        <v>29439062</v>
      </c>
    </row>
    <row r="1509">
      <c r="A1509" s="2">
        <f>IFERROR(__xludf.DUMMYFUNCTION("""COMPUTED_VALUE"""),33575.666666666664)</f>
        <v>33575.66667</v>
      </c>
      <c r="B1509" s="1">
        <f>IFERROR(__xludf.DUMMYFUNCTION("""COMPUTED_VALUE"""),381.4)</f>
        <v>381.4</v>
      </c>
      <c r="C1509" s="1">
        <f>IFERROR(__xludf.DUMMYFUNCTION("""COMPUTED_VALUE"""),381.48)</f>
        <v>381.48</v>
      </c>
      <c r="D1509" s="1">
        <f>IFERROR(__xludf.DUMMYFUNCTION("""COMPUTED_VALUE"""),379.92)</f>
        <v>379.92</v>
      </c>
      <c r="E1509" s="1">
        <f>IFERROR(__xludf.DUMMYFUNCTION("""COMPUTED_VALUE"""),380.96)</f>
        <v>380.96</v>
      </c>
      <c r="F1509" s="1">
        <f>IFERROR(__xludf.DUMMYFUNCTION("""COMPUTED_VALUE"""),2.9254688E7)</f>
        <v>29254688</v>
      </c>
    </row>
    <row r="1510">
      <c r="A1510" s="2">
        <f>IFERROR(__xludf.DUMMYFUNCTION("""COMPUTED_VALUE"""),33576.666666666664)</f>
        <v>33576.66667</v>
      </c>
      <c r="B1510" s="1">
        <f>IFERROR(__xludf.DUMMYFUNCTION("""COMPUTED_VALUE"""),380.96)</f>
        <v>380.96</v>
      </c>
      <c r="C1510" s="1">
        <f>IFERROR(__xludf.DUMMYFUNCTION("""COMPUTED_VALUE"""),381.51)</f>
        <v>381.51</v>
      </c>
      <c r="D1510" s="1">
        <f>IFERROR(__xludf.DUMMYFUNCTION("""COMPUTED_VALUE"""),378.07)</f>
        <v>378.07</v>
      </c>
      <c r="E1510" s="1">
        <f>IFERROR(__xludf.DUMMYFUNCTION("""COMPUTED_VALUE"""),380.07)</f>
        <v>380.07</v>
      </c>
      <c r="F1510" s="1">
        <f>IFERROR(__xludf.DUMMYFUNCTION("""COMPUTED_VALUE"""),2.936875E7)</f>
        <v>29368750</v>
      </c>
    </row>
    <row r="1511">
      <c r="A1511" s="2">
        <f>IFERROR(__xludf.DUMMYFUNCTION("""COMPUTED_VALUE"""),33577.666666666664)</f>
        <v>33577.66667</v>
      </c>
      <c r="B1511" s="1">
        <f>IFERROR(__xludf.DUMMYFUNCTION("""COMPUTED_VALUE"""),380.07)</f>
        <v>380.07</v>
      </c>
      <c r="C1511" s="1">
        <f>IFERROR(__xludf.DUMMYFUNCTION("""COMPUTED_VALUE"""),380.07)</f>
        <v>380.07</v>
      </c>
      <c r="D1511" s="1">
        <f>IFERROR(__xludf.DUMMYFUNCTION("""COMPUTED_VALUE"""),376.58)</f>
        <v>376.58</v>
      </c>
      <c r="E1511" s="1">
        <f>IFERROR(__xludf.DUMMYFUNCTION("""COMPUTED_VALUE"""),377.39)</f>
        <v>377.39</v>
      </c>
      <c r="F1511" s="1">
        <f>IFERROR(__xludf.DUMMYFUNCTION("""COMPUTED_VALUE"""),2.5992188E7)</f>
        <v>25992188</v>
      </c>
    </row>
    <row r="1512">
      <c r="A1512" s="2">
        <f>IFERROR(__xludf.DUMMYFUNCTION("""COMPUTED_VALUE"""),33578.666666666664)</f>
        <v>33578.66667</v>
      </c>
      <c r="B1512" s="1">
        <f>IFERROR(__xludf.DUMMYFUNCTION("""COMPUTED_VALUE"""),377.39)</f>
        <v>377.39</v>
      </c>
      <c r="C1512" s="1">
        <f>IFERROR(__xludf.DUMMYFUNCTION("""COMPUTED_VALUE"""),382.39)</f>
        <v>382.39</v>
      </c>
      <c r="D1512" s="1">
        <f>IFERROR(__xludf.DUMMYFUNCTION("""COMPUTED_VALUE"""),375.41)</f>
        <v>375.41</v>
      </c>
      <c r="E1512" s="1">
        <f>IFERROR(__xludf.DUMMYFUNCTION("""COMPUTED_VALUE"""),379.1)</f>
        <v>379.1</v>
      </c>
      <c r="F1512" s="1">
        <f>IFERROR(__xludf.DUMMYFUNCTION("""COMPUTED_VALUE"""),3.111875E7)</f>
        <v>31118750</v>
      </c>
    </row>
    <row r="1513">
      <c r="A1513" s="2">
        <f>IFERROR(__xludf.DUMMYFUNCTION("""COMPUTED_VALUE"""),33581.666666666664)</f>
        <v>33581.66667</v>
      </c>
      <c r="B1513" s="1">
        <f>IFERROR(__xludf.DUMMYFUNCTION("""COMPUTED_VALUE"""),379.09)</f>
        <v>379.09</v>
      </c>
      <c r="C1513" s="1">
        <f>IFERROR(__xludf.DUMMYFUNCTION("""COMPUTED_VALUE"""),381.42)</f>
        <v>381.42</v>
      </c>
      <c r="D1513" s="1">
        <f>IFERROR(__xludf.DUMMYFUNCTION("""COMPUTED_VALUE"""),377.67)</f>
        <v>377.67</v>
      </c>
      <c r="E1513" s="1">
        <f>IFERROR(__xludf.DUMMYFUNCTION("""COMPUTED_VALUE"""),378.26)</f>
        <v>378.26</v>
      </c>
      <c r="F1513" s="1">
        <f>IFERROR(__xludf.DUMMYFUNCTION("""COMPUTED_VALUE"""),2.730625E7)</f>
        <v>27306250</v>
      </c>
    </row>
    <row r="1514">
      <c r="A1514" s="2">
        <f>IFERROR(__xludf.DUMMYFUNCTION("""COMPUTED_VALUE"""),33582.666666666664)</f>
        <v>33582.66667</v>
      </c>
      <c r="B1514" s="1">
        <f>IFERROR(__xludf.DUMMYFUNCTION("""COMPUTED_VALUE"""),378.26)</f>
        <v>378.26</v>
      </c>
      <c r="C1514" s="1">
        <f>IFERROR(__xludf.DUMMYFUNCTION("""COMPUTED_VALUE"""),379.57)</f>
        <v>379.57</v>
      </c>
      <c r="D1514" s="1">
        <f>IFERROR(__xludf.DUMMYFUNCTION("""COMPUTED_VALUE"""),376.64)</f>
        <v>376.64</v>
      </c>
      <c r="E1514" s="1">
        <f>IFERROR(__xludf.DUMMYFUNCTION("""COMPUTED_VALUE"""),377.9)</f>
        <v>377.9</v>
      </c>
      <c r="F1514" s="1">
        <f>IFERROR(__xludf.DUMMYFUNCTION("""COMPUTED_VALUE"""),3.014375E7)</f>
        <v>30143750</v>
      </c>
    </row>
    <row r="1515">
      <c r="A1515" s="2">
        <f>IFERROR(__xludf.DUMMYFUNCTION("""COMPUTED_VALUE"""),33583.666666666664)</f>
        <v>33583.66667</v>
      </c>
      <c r="B1515" s="1">
        <f>IFERROR(__xludf.DUMMYFUNCTION("""COMPUTED_VALUE"""),377.9)</f>
        <v>377.9</v>
      </c>
      <c r="C1515" s="1">
        <f>IFERROR(__xludf.DUMMYFUNCTION("""COMPUTED_VALUE"""),379.42)</f>
        <v>379.42</v>
      </c>
      <c r="D1515" s="1">
        <f>IFERROR(__xludf.DUMMYFUNCTION("""COMPUTED_VALUE"""),374.78)</f>
        <v>374.78</v>
      </c>
      <c r="E1515" s="1">
        <f>IFERROR(__xludf.DUMMYFUNCTION("""COMPUTED_VALUE"""),377.7)</f>
        <v>377.7</v>
      </c>
      <c r="F1515" s="1">
        <f>IFERROR(__xludf.DUMMYFUNCTION("""COMPUTED_VALUE"""),3.2410938E7)</f>
        <v>32410938</v>
      </c>
    </row>
    <row r="1516">
      <c r="A1516" s="2">
        <f>IFERROR(__xludf.DUMMYFUNCTION("""COMPUTED_VALUE"""),33584.666666666664)</f>
        <v>33584.66667</v>
      </c>
      <c r="B1516" s="1">
        <f>IFERROR(__xludf.DUMMYFUNCTION("""COMPUTED_VALUE"""),377.7)</f>
        <v>377.7</v>
      </c>
      <c r="C1516" s="1">
        <f>IFERROR(__xludf.DUMMYFUNCTION("""COMPUTED_VALUE"""),381.62)</f>
        <v>381.62</v>
      </c>
      <c r="D1516" s="1">
        <f>IFERROR(__xludf.DUMMYFUNCTION("""COMPUTED_VALUE"""),377.7)</f>
        <v>377.7</v>
      </c>
      <c r="E1516" s="1">
        <f>IFERROR(__xludf.DUMMYFUNCTION("""COMPUTED_VALUE"""),381.55)</f>
        <v>381.55</v>
      </c>
      <c r="F1516" s="1">
        <f>IFERROR(__xludf.DUMMYFUNCTION("""COMPUTED_VALUE"""),3.0148438E7)</f>
        <v>30148438</v>
      </c>
    </row>
    <row r="1517">
      <c r="A1517" s="2">
        <f>IFERROR(__xludf.DUMMYFUNCTION("""COMPUTED_VALUE"""),33585.666666666664)</f>
        <v>33585.66667</v>
      </c>
      <c r="B1517" s="1">
        <f>IFERROR(__xludf.DUMMYFUNCTION("""COMPUTED_VALUE"""),381.55)</f>
        <v>381.55</v>
      </c>
      <c r="C1517" s="1">
        <f>IFERROR(__xludf.DUMMYFUNCTION("""COMPUTED_VALUE"""),385.04)</f>
        <v>385.04</v>
      </c>
      <c r="D1517" s="1">
        <f>IFERROR(__xludf.DUMMYFUNCTION("""COMPUTED_VALUE"""),381.55)</f>
        <v>381.55</v>
      </c>
      <c r="E1517" s="1">
        <f>IFERROR(__xludf.DUMMYFUNCTION("""COMPUTED_VALUE"""),384.47)</f>
        <v>384.47</v>
      </c>
      <c r="F1517" s="1">
        <f>IFERROR(__xludf.DUMMYFUNCTION("""COMPUTED_VALUE"""),3.0385938E7)</f>
        <v>30385938</v>
      </c>
    </row>
    <row r="1518">
      <c r="A1518" s="2">
        <f>IFERROR(__xludf.DUMMYFUNCTION("""COMPUTED_VALUE"""),33588.666666666664)</f>
        <v>33588.66667</v>
      </c>
      <c r="B1518" s="1">
        <f>IFERROR(__xludf.DUMMYFUNCTION("""COMPUTED_VALUE"""),384.48)</f>
        <v>384.48</v>
      </c>
      <c r="C1518" s="1">
        <f>IFERROR(__xludf.DUMMYFUNCTION("""COMPUTED_VALUE"""),385.84)</f>
        <v>385.84</v>
      </c>
      <c r="D1518" s="1">
        <f>IFERROR(__xludf.DUMMYFUNCTION("""COMPUTED_VALUE"""),384.37)</f>
        <v>384.37</v>
      </c>
      <c r="E1518" s="1">
        <f>IFERROR(__xludf.DUMMYFUNCTION("""COMPUTED_VALUE"""),384.46)</f>
        <v>384.46</v>
      </c>
      <c r="F1518" s="1">
        <f>IFERROR(__xludf.DUMMYFUNCTION("""COMPUTED_VALUE"""),2.704375E7)</f>
        <v>27043750</v>
      </c>
    </row>
    <row r="1519">
      <c r="A1519" s="2">
        <f>IFERROR(__xludf.DUMMYFUNCTION("""COMPUTED_VALUE"""),33589.666666666664)</f>
        <v>33589.66667</v>
      </c>
      <c r="B1519" s="1">
        <f>IFERROR(__xludf.DUMMYFUNCTION("""COMPUTED_VALUE"""),384.46)</f>
        <v>384.46</v>
      </c>
      <c r="C1519" s="1">
        <f>IFERROR(__xludf.DUMMYFUNCTION("""COMPUTED_VALUE"""),385.05)</f>
        <v>385.05</v>
      </c>
      <c r="D1519" s="1">
        <f>IFERROR(__xludf.DUMMYFUNCTION("""COMPUTED_VALUE"""),382.6)</f>
        <v>382.6</v>
      </c>
      <c r="E1519" s="1">
        <f>IFERROR(__xludf.DUMMYFUNCTION("""COMPUTED_VALUE"""),382.74)</f>
        <v>382.74</v>
      </c>
      <c r="F1519" s="1">
        <f>IFERROR(__xludf.DUMMYFUNCTION("""COMPUTED_VALUE"""),2.9892188E7)</f>
        <v>29892188</v>
      </c>
    </row>
    <row r="1520">
      <c r="A1520" s="2">
        <f>IFERROR(__xludf.DUMMYFUNCTION("""COMPUTED_VALUE"""),33590.666666666664)</f>
        <v>33590.66667</v>
      </c>
      <c r="B1520" s="1">
        <f>IFERROR(__xludf.DUMMYFUNCTION("""COMPUTED_VALUE"""),382.74)</f>
        <v>382.74</v>
      </c>
      <c r="C1520" s="1">
        <f>IFERROR(__xludf.DUMMYFUNCTION("""COMPUTED_VALUE"""),383.51)</f>
        <v>383.51</v>
      </c>
      <c r="D1520" s="1">
        <f>IFERROR(__xludf.DUMMYFUNCTION("""COMPUTED_VALUE"""),380.88)</f>
        <v>380.88</v>
      </c>
      <c r="E1520" s="1">
        <f>IFERROR(__xludf.DUMMYFUNCTION("""COMPUTED_VALUE"""),383.48)</f>
        <v>383.48</v>
      </c>
      <c r="F1520" s="1">
        <f>IFERROR(__xludf.DUMMYFUNCTION("""COMPUTED_VALUE"""),3.0064062E7)</f>
        <v>30064062</v>
      </c>
    </row>
    <row r="1521">
      <c r="A1521" s="2">
        <f>IFERROR(__xludf.DUMMYFUNCTION("""COMPUTED_VALUE"""),33591.666666666664)</f>
        <v>33591.66667</v>
      </c>
      <c r="B1521" s="1">
        <f>IFERROR(__xludf.DUMMYFUNCTION("""COMPUTED_VALUE"""),383.46)</f>
        <v>383.46</v>
      </c>
      <c r="C1521" s="1">
        <f>IFERROR(__xludf.DUMMYFUNCTION("""COMPUTED_VALUE"""),383.46)</f>
        <v>383.46</v>
      </c>
      <c r="D1521" s="1">
        <f>IFERROR(__xludf.DUMMYFUNCTION("""COMPUTED_VALUE"""),380.64)</f>
        <v>380.64</v>
      </c>
      <c r="E1521" s="1">
        <f>IFERROR(__xludf.DUMMYFUNCTION("""COMPUTED_VALUE"""),382.52)</f>
        <v>382.52</v>
      </c>
      <c r="F1521" s="1">
        <f>IFERROR(__xludf.DUMMYFUNCTION("""COMPUTED_VALUE"""),3.1145312E7)</f>
        <v>31145312</v>
      </c>
    </row>
    <row r="1522">
      <c r="A1522" s="2">
        <f>IFERROR(__xludf.DUMMYFUNCTION("""COMPUTED_VALUE"""),33592.666666666664)</f>
        <v>33592.66667</v>
      </c>
      <c r="B1522" s="1">
        <f>IFERROR(__xludf.DUMMYFUNCTION("""COMPUTED_VALUE"""),382.52)</f>
        <v>382.52</v>
      </c>
      <c r="C1522" s="1">
        <f>IFERROR(__xludf.DUMMYFUNCTION("""COMPUTED_VALUE"""),388.24)</f>
        <v>388.24</v>
      </c>
      <c r="D1522" s="1">
        <f>IFERROR(__xludf.DUMMYFUNCTION("""COMPUTED_VALUE"""),382.52)</f>
        <v>382.52</v>
      </c>
      <c r="E1522" s="1">
        <f>IFERROR(__xludf.DUMMYFUNCTION("""COMPUTED_VALUE"""),387.04)</f>
        <v>387.04</v>
      </c>
      <c r="F1522" s="1">
        <f>IFERROR(__xludf.DUMMYFUNCTION("""COMPUTED_VALUE"""),4.9396876E7)</f>
        <v>49396876</v>
      </c>
    </row>
    <row r="1523">
      <c r="A1523" s="2">
        <f>IFERROR(__xludf.DUMMYFUNCTION("""COMPUTED_VALUE"""),33595.666666666664)</f>
        <v>33595.66667</v>
      </c>
      <c r="B1523" s="1">
        <f>IFERROR(__xludf.DUMMYFUNCTION("""COMPUTED_VALUE"""),387.05)</f>
        <v>387.05</v>
      </c>
      <c r="C1523" s="1">
        <f>IFERROR(__xludf.DUMMYFUNCTION("""COMPUTED_VALUE"""),397.44)</f>
        <v>397.44</v>
      </c>
      <c r="D1523" s="1">
        <f>IFERROR(__xludf.DUMMYFUNCTION("""COMPUTED_VALUE"""),386.96)</f>
        <v>386.96</v>
      </c>
      <c r="E1523" s="1">
        <f>IFERROR(__xludf.DUMMYFUNCTION("""COMPUTED_VALUE"""),396.82)</f>
        <v>396.82</v>
      </c>
      <c r="F1523" s="1">
        <f>IFERROR(__xludf.DUMMYFUNCTION("""COMPUTED_VALUE"""),3.5765624E7)</f>
        <v>35765624</v>
      </c>
    </row>
    <row r="1524">
      <c r="A1524" s="2">
        <f>IFERROR(__xludf.DUMMYFUNCTION("""COMPUTED_VALUE"""),33596.666666666664)</f>
        <v>33596.66667</v>
      </c>
      <c r="B1524" s="1">
        <f>IFERROR(__xludf.DUMMYFUNCTION("""COMPUTED_VALUE"""),396.82)</f>
        <v>396.82</v>
      </c>
      <c r="C1524" s="1">
        <f>IFERROR(__xludf.DUMMYFUNCTION("""COMPUTED_VALUE"""),401.79)</f>
        <v>401.79</v>
      </c>
      <c r="D1524" s="1">
        <f>IFERROR(__xludf.DUMMYFUNCTION("""COMPUTED_VALUE"""),396.82)</f>
        <v>396.82</v>
      </c>
      <c r="E1524" s="1">
        <f>IFERROR(__xludf.DUMMYFUNCTION("""COMPUTED_VALUE"""),399.33)</f>
        <v>399.33</v>
      </c>
      <c r="F1524" s="1">
        <f>IFERROR(__xludf.DUMMYFUNCTION("""COMPUTED_VALUE"""),2.54125E7)</f>
        <v>25412500</v>
      </c>
    </row>
    <row r="1525">
      <c r="A1525" s="2">
        <f>IFERROR(__xludf.DUMMYFUNCTION("""COMPUTED_VALUE"""),33598.666666666664)</f>
        <v>33598.66667</v>
      </c>
      <c r="B1525" s="1">
        <f>IFERROR(__xludf.DUMMYFUNCTION("""COMPUTED_VALUE"""),399.33)</f>
        <v>399.33</v>
      </c>
      <c r="C1525" s="1">
        <f>IFERROR(__xludf.DUMMYFUNCTION("""COMPUTED_VALUE"""),404.92)</f>
        <v>404.92</v>
      </c>
      <c r="D1525" s="1">
        <f>IFERROR(__xludf.DUMMYFUNCTION("""COMPUTED_VALUE"""),399.31)</f>
        <v>399.31</v>
      </c>
      <c r="E1525" s="1">
        <f>IFERROR(__xludf.DUMMYFUNCTION("""COMPUTED_VALUE"""),404.84)</f>
        <v>404.84</v>
      </c>
      <c r="F1525" s="1">
        <f>IFERROR(__xludf.DUMMYFUNCTION("""COMPUTED_VALUE"""),2.3317188E7)</f>
        <v>23317188</v>
      </c>
    </row>
    <row r="1526">
      <c r="A1526" s="2">
        <f>IFERROR(__xludf.DUMMYFUNCTION("""COMPUTED_VALUE"""),33599.666666666664)</f>
        <v>33599.66667</v>
      </c>
      <c r="B1526" s="1">
        <f>IFERROR(__xludf.DUMMYFUNCTION("""COMPUTED_VALUE"""),404.84)</f>
        <v>404.84</v>
      </c>
      <c r="C1526" s="1">
        <f>IFERROR(__xludf.DUMMYFUNCTION("""COMPUTED_VALUE"""),406.58)</f>
        <v>406.58</v>
      </c>
      <c r="D1526" s="1">
        <f>IFERROR(__xludf.DUMMYFUNCTION("""COMPUTED_VALUE"""),404.59)</f>
        <v>404.59</v>
      </c>
      <c r="E1526" s="1">
        <f>IFERROR(__xludf.DUMMYFUNCTION("""COMPUTED_VALUE"""),406.46)</f>
        <v>406.46</v>
      </c>
      <c r="F1526" s="1">
        <f>IFERROR(__xludf.DUMMYFUNCTION("""COMPUTED_VALUE"""),2.4679688E7)</f>
        <v>24679688</v>
      </c>
    </row>
    <row r="1527">
      <c r="A1527" s="2">
        <f>IFERROR(__xludf.DUMMYFUNCTION("""COMPUTED_VALUE"""),33602.666666666664)</f>
        <v>33602.66667</v>
      </c>
      <c r="B1527" s="1">
        <f>IFERROR(__xludf.DUMMYFUNCTION("""COMPUTED_VALUE"""),406.49)</f>
        <v>406.49</v>
      </c>
      <c r="C1527" s="1">
        <f>IFERROR(__xludf.DUMMYFUNCTION("""COMPUTED_VALUE"""),415.14)</f>
        <v>415.14</v>
      </c>
      <c r="D1527" s="1">
        <f>IFERROR(__xludf.DUMMYFUNCTION("""COMPUTED_VALUE"""),406.49)</f>
        <v>406.49</v>
      </c>
      <c r="E1527" s="1">
        <f>IFERROR(__xludf.DUMMYFUNCTION("""COMPUTED_VALUE"""),415.14)</f>
        <v>415.14</v>
      </c>
      <c r="F1527" s="1">
        <f>IFERROR(__xludf.DUMMYFUNCTION("""COMPUTED_VALUE"""),3.8375E7)</f>
        <v>38375000</v>
      </c>
    </row>
    <row r="1528">
      <c r="A1528" s="2">
        <f>IFERROR(__xludf.DUMMYFUNCTION("""COMPUTED_VALUE"""),33603.666666666664)</f>
        <v>33603.66667</v>
      </c>
      <c r="B1528" s="1">
        <f>IFERROR(__xludf.DUMMYFUNCTION("""COMPUTED_VALUE"""),415.14)</f>
        <v>415.14</v>
      </c>
      <c r="C1528" s="1">
        <f>IFERROR(__xludf.DUMMYFUNCTION("""COMPUTED_VALUE"""),418.32)</f>
        <v>418.32</v>
      </c>
      <c r="D1528" s="1">
        <f>IFERROR(__xludf.DUMMYFUNCTION("""COMPUTED_VALUE"""),412.73)</f>
        <v>412.73</v>
      </c>
      <c r="E1528" s="1">
        <f>IFERROR(__xludf.DUMMYFUNCTION("""COMPUTED_VALUE"""),417.09)</f>
        <v>417.09</v>
      </c>
      <c r="F1528" s="1">
        <f>IFERROR(__xludf.DUMMYFUNCTION("""COMPUTED_VALUE"""),3.8606248E7)</f>
        <v>38606248</v>
      </c>
    </row>
    <row r="1529">
      <c r="A1529" s="2">
        <f>IFERROR(__xludf.DUMMYFUNCTION("""COMPUTED_VALUE"""),33605.666666666664)</f>
        <v>33605.66667</v>
      </c>
      <c r="B1529" s="1">
        <f>IFERROR(__xludf.DUMMYFUNCTION("""COMPUTED_VALUE"""),417.03)</f>
        <v>417.03</v>
      </c>
      <c r="C1529" s="1">
        <f>IFERROR(__xludf.DUMMYFUNCTION("""COMPUTED_VALUE"""),417.27)</f>
        <v>417.27</v>
      </c>
      <c r="D1529" s="1">
        <f>IFERROR(__xludf.DUMMYFUNCTION("""COMPUTED_VALUE"""),411.04)</f>
        <v>411.04</v>
      </c>
      <c r="E1529" s="1">
        <f>IFERROR(__xludf.DUMMYFUNCTION("""COMPUTED_VALUE"""),417.26)</f>
        <v>417.26</v>
      </c>
      <c r="F1529" s="1">
        <f>IFERROR(__xludf.DUMMYFUNCTION("""COMPUTED_VALUE"""),3.2432812E7)</f>
        <v>32432812</v>
      </c>
    </row>
    <row r="1530">
      <c r="A1530" s="2">
        <f>IFERROR(__xludf.DUMMYFUNCTION("""COMPUTED_VALUE"""),33606.666666666664)</f>
        <v>33606.66667</v>
      </c>
      <c r="B1530" s="1">
        <f>IFERROR(__xludf.DUMMYFUNCTION("""COMPUTED_VALUE"""),417.27)</f>
        <v>417.27</v>
      </c>
      <c r="C1530" s="1">
        <f>IFERROR(__xludf.DUMMYFUNCTION("""COMPUTED_VALUE"""),419.79)</f>
        <v>419.79</v>
      </c>
      <c r="D1530" s="1">
        <f>IFERROR(__xludf.DUMMYFUNCTION("""COMPUTED_VALUE"""),416.16)</f>
        <v>416.16</v>
      </c>
      <c r="E1530" s="1">
        <f>IFERROR(__xludf.DUMMYFUNCTION("""COMPUTED_VALUE"""),419.34)</f>
        <v>419.34</v>
      </c>
      <c r="F1530" s="1">
        <f>IFERROR(__xludf.DUMMYFUNCTION("""COMPUTED_VALUE"""),3.5042188E7)</f>
        <v>35042188</v>
      </c>
    </row>
    <row r="1531">
      <c r="A1531" s="2">
        <f>IFERROR(__xludf.DUMMYFUNCTION("""COMPUTED_VALUE"""),33609.666666666664)</f>
        <v>33609.66667</v>
      </c>
      <c r="B1531" s="1">
        <f>IFERROR(__xludf.DUMMYFUNCTION("""COMPUTED_VALUE"""),419.31)</f>
        <v>419.31</v>
      </c>
      <c r="C1531" s="1">
        <f>IFERROR(__xludf.DUMMYFUNCTION("""COMPUTED_VALUE"""),419.44)</f>
        <v>419.44</v>
      </c>
      <c r="D1531" s="1">
        <f>IFERROR(__xludf.DUMMYFUNCTION("""COMPUTED_VALUE"""),416.92)</f>
        <v>416.92</v>
      </c>
      <c r="E1531" s="1">
        <f>IFERROR(__xludf.DUMMYFUNCTION("""COMPUTED_VALUE"""),417.96)</f>
        <v>417.96</v>
      </c>
      <c r="F1531" s="1">
        <f>IFERROR(__xludf.DUMMYFUNCTION("""COMPUTED_VALUE"""),3.9251564E7)</f>
        <v>39251564</v>
      </c>
    </row>
    <row r="1532">
      <c r="A1532" s="2">
        <f>IFERROR(__xludf.DUMMYFUNCTION("""COMPUTED_VALUE"""),33610.666666666664)</f>
        <v>33610.66667</v>
      </c>
      <c r="B1532" s="1">
        <f>IFERROR(__xludf.DUMMYFUNCTION("""COMPUTED_VALUE"""),417.96)</f>
        <v>417.96</v>
      </c>
      <c r="C1532" s="1">
        <f>IFERROR(__xludf.DUMMYFUNCTION("""COMPUTED_VALUE"""),417.96)</f>
        <v>417.96</v>
      </c>
      <c r="D1532" s="1">
        <f>IFERROR(__xludf.DUMMYFUNCTION("""COMPUTED_VALUE"""),415.2)</f>
        <v>415.2</v>
      </c>
      <c r="E1532" s="1">
        <f>IFERROR(__xludf.DUMMYFUNCTION("""COMPUTED_VALUE"""),417.4)</f>
        <v>417.4</v>
      </c>
      <c r="F1532" s="1">
        <f>IFERROR(__xludf.DUMMYFUNCTION("""COMPUTED_VALUE"""),3.9496876E7)</f>
        <v>39496876</v>
      </c>
    </row>
    <row r="1533">
      <c r="A1533" s="2">
        <f>IFERROR(__xludf.DUMMYFUNCTION("""COMPUTED_VALUE"""),33611.666666666664)</f>
        <v>33611.66667</v>
      </c>
      <c r="B1533" s="1">
        <f>IFERROR(__xludf.DUMMYFUNCTION("""COMPUTED_VALUE"""),417.36)</f>
        <v>417.36</v>
      </c>
      <c r="C1533" s="1">
        <f>IFERROR(__xludf.DUMMYFUNCTION("""COMPUTED_VALUE"""),420.23)</f>
        <v>420.23</v>
      </c>
      <c r="D1533" s="1">
        <f>IFERROR(__xludf.DUMMYFUNCTION("""COMPUTED_VALUE"""),415.02)</f>
        <v>415.02</v>
      </c>
      <c r="E1533" s="1">
        <f>IFERROR(__xludf.DUMMYFUNCTION("""COMPUTED_VALUE"""),418.1)</f>
        <v>418.1</v>
      </c>
      <c r="F1533" s="1">
        <f>IFERROR(__xludf.DUMMYFUNCTION("""COMPUTED_VALUE"""),4.5429688E7)</f>
        <v>45429688</v>
      </c>
    </row>
    <row r="1534">
      <c r="A1534" s="2">
        <f>IFERROR(__xludf.DUMMYFUNCTION("""COMPUTED_VALUE"""),33612.666666666664)</f>
        <v>33612.66667</v>
      </c>
      <c r="B1534" s="1">
        <f>IFERROR(__xludf.DUMMYFUNCTION("""COMPUTED_VALUE"""),418.09)</f>
        <v>418.09</v>
      </c>
      <c r="C1534" s="1">
        <f>IFERROR(__xludf.DUMMYFUNCTION("""COMPUTED_VALUE"""),420.5)</f>
        <v>420.5</v>
      </c>
      <c r="D1534" s="1">
        <f>IFERROR(__xludf.DUMMYFUNCTION("""COMPUTED_VALUE"""),415.85)</f>
        <v>415.85</v>
      </c>
      <c r="E1534" s="1">
        <f>IFERROR(__xludf.DUMMYFUNCTION("""COMPUTED_VALUE"""),417.61)</f>
        <v>417.61</v>
      </c>
      <c r="F1534" s="1">
        <f>IFERROR(__xludf.DUMMYFUNCTION("""COMPUTED_VALUE"""),4.5679688E7)</f>
        <v>45679688</v>
      </c>
    </row>
    <row r="1535">
      <c r="A1535" s="2">
        <f>IFERROR(__xludf.DUMMYFUNCTION("""COMPUTED_VALUE"""),33613.666666666664)</f>
        <v>33613.66667</v>
      </c>
      <c r="B1535" s="1">
        <f>IFERROR(__xludf.DUMMYFUNCTION("""COMPUTED_VALUE"""),417.62)</f>
        <v>417.62</v>
      </c>
      <c r="C1535" s="1">
        <f>IFERROR(__xludf.DUMMYFUNCTION("""COMPUTED_VALUE"""),417.62)</f>
        <v>417.62</v>
      </c>
      <c r="D1535" s="1">
        <f>IFERROR(__xludf.DUMMYFUNCTION("""COMPUTED_VALUE"""),413.31)</f>
        <v>413.31</v>
      </c>
      <c r="E1535" s="1">
        <f>IFERROR(__xludf.DUMMYFUNCTION("""COMPUTED_VALUE"""),415.1)</f>
        <v>415.1</v>
      </c>
      <c r="F1535" s="1">
        <f>IFERROR(__xludf.DUMMYFUNCTION("""COMPUTED_VALUE"""),3.6895312E7)</f>
        <v>36895312</v>
      </c>
    </row>
    <row r="1536">
      <c r="A1536" s="2">
        <f>IFERROR(__xludf.DUMMYFUNCTION("""COMPUTED_VALUE"""),33616.666666666664)</f>
        <v>33616.66667</v>
      </c>
      <c r="B1536" s="1">
        <f>IFERROR(__xludf.DUMMYFUNCTION("""COMPUTED_VALUE"""),415.05)</f>
        <v>415.05</v>
      </c>
      <c r="C1536" s="1">
        <f>IFERROR(__xludf.DUMMYFUNCTION("""COMPUTED_VALUE"""),415.36)</f>
        <v>415.36</v>
      </c>
      <c r="D1536" s="1">
        <f>IFERROR(__xludf.DUMMYFUNCTION("""COMPUTED_VALUE"""),413.54)</f>
        <v>413.54</v>
      </c>
      <c r="E1536" s="1">
        <f>IFERROR(__xludf.DUMMYFUNCTION("""COMPUTED_VALUE"""),414.34)</f>
        <v>414.34</v>
      </c>
      <c r="F1536" s="1">
        <f>IFERROR(__xludf.DUMMYFUNCTION("""COMPUTED_VALUE"""),3.1292188E7)</f>
        <v>31292188</v>
      </c>
    </row>
    <row r="1537">
      <c r="A1537" s="2">
        <f>IFERROR(__xludf.DUMMYFUNCTION("""COMPUTED_VALUE"""),33617.666666666664)</f>
        <v>33617.66667</v>
      </c>
      <c r="B1537" s="1">
        <f>IFERROR(__xludf.DUMMYFUNCTION("""COMPUTED_VALUE"""),414.34)</f>
        <v>414.34</v>
      </c>
      <c r="C1537" s="1">
        <f>IFERROR(__xludf.DUMMYFUNCTION("""COMPUTED_VALUE"""),420.44)</f>
        <v>420.44</v>
      </c>
      <c r="D1537" s="1">
        <f>IFERROR(__xludf.DUMMYFUNCTION("""COMPUTED_VALUE"""),414.32)</f>
        <v>414.32</v>
      </c>
      <c r="E1537" s="1">
        <f>IFERROR(__xludf.DUMMYFUNCTION("""COMPUTED_VALUE"""),420.44)</f>
        <v>420.44</v>
      </c>
      <c r="F1537" s="1">
        <f>IFERROR(__xludf.DUMMYFUNCTION("""COMPUTED_VALUE"""),4.1546876E7)</f>
        <v>41546876</v>
      </c>
    </row>
    <row r="1538">
      <c r="A1538" s="2">
        <f>IFERROR(__xludf.DUMMYFUNCTION("""COMPUTED_VALUE"""),33618.666666666664)</f>
        <v>33618.66667</v>
      </c>
      <c r="B1538" s="1">
        <f>IFERROR(__xludf.DUMMYFUNCTION("""COMPUTED_VALUE"""),420.45)</f>
        <v>420.45</v>
      </c>
      <c r="C1538" s="1">
        <f>IFERROR(__xludf.DUMMYFUNCTION("""COMPUTED_VALUE"""),421.18)</f>
        <v>421.18</v>
      </c>
      <c r="D1538" s="1">
        <f>IFERROR(__xludf.DUMMYFUNCTION("""COMPUTED_VALUE"""),418.79)</f>
        <v>418.79</v>
      </c>
      <c r="E1538" s="1">
        <f>IFERROR(__xludf.DUMMYFUNCTION("""COMPUTED_VALUE"""),420.77)</f>
        <v>420.77</v>
      </c>
      <c r="F1538" s="1">
        <f>IFERROR(__xludf.DUMMYFUNCTION("""COMPUTED_VALUE"""),4.9192188E7)</f>
        <v>49192188</v>
      </c>
    </row>
    <row r="1539">
      <c r="A1539" s="2">
        <f>IFERROR(__xludf.DUMMYFUNCTION("""COMPUTED_VALUE"""),33619.666666666664)</f>
        <v>33619.66667</v>
      </c>
      <c r="B1539" s="1">
        <f>IFERROR(__xludf.DUMMYFUNCTION("""COMPUTED_VALUE"""),420.77)</f>
        <v>420.77</v>
      </c>
      <c r="C1539" s="1">
        <f>IFERROR(__xludf.DUMMYFUNCTION("""COMPUTED_VALUE"""),420.85)</f>
        <v>420.85</v>
      </c>
      <c r="D1539" s="1">
        <f>IFERROR(__xludf.DUMMYFUNCTION("""COMPUTED_VALUE"""),415.37)</f>
        <v>415.37</v>
      </c>
      <c r="E1539" s="1">
        <f>IFERROR(__xludf.DUMMYFUNCTION("""COMPUTED_VALUE"""),418.21)</f>
        <v>418.21</v>
      </c>
      <c r="F1539" s="1">
        <f>IFERROR(__xludf.DUMMYFUNCTION("""COMPUTED_VALUE"""),5.25375E7)</f>
        <v>52537500</v>
      </c>
    </row>
    <row r="1540">
      <c r="A1540" s="2">
        <f>IFERROR(__xludf.DUMMYFUNCTION("""COMPUTED_VALUE"""),33620.666666666664)</f>
        <v>33620.66667</v>
      </c>
      <c r="B1540" s="1">
        <f>IFERROR(__xludf.DUMMYFUNCTION("""COMPUTED_VALUE"""),418.2)</f>
        <v>418.2</v>
      </c>
      <c r="C1540" s="1">
        <f>IFERROR(__xludf.DUMMYFUNCTION("""COMPUTED_VALUE"""),419.45)</f>
        <v>419.45</v>
      </c>
      <c r="D1540" s="1">
        <f>IFERROR(__xludf.DUMMYFUNCTION("""COMPUTED_VALUE"""),416.0)</f>
        <v>416</v>
      </c>
      <c r="E1540" s="1">
        <f>IFERROR(__xludf.DUMMYFUNCTION("""COMPUTED_VALUE"""),418.86)</f>
        <v>418.86</v>
      </c>
      <c r="F1540" s="1">
        <f>IFERROR(__xludf.DUMMYFUNCTION("""COMPUTED_VALUE"""),4.4901564E7)</f>
        <v>44901564</v>
      </c>
    </row>
    <row r="1541">
      <c r="A1541" s="2">
        <f>IFERROR(__xludf.DUMMYFUNCTION("""COMPUTED_VALUE"""),33623.666666666664)</f>
        <v>33623.66667</v>
      </c>
      <c r="B1541" s="1">
        <f>IFERROR(__xludf.DUMMYFUNCTION("""COMPUTED_VALUE"""),418.86)</f>
        <v>418.86</v>
      </c>
      <c r="C1541" s="1">
        <f>IFERROR(__xludf.DUMMYFUNCTION("""COMPUTED_VALUE"""),418.86)</f>
        <v>418.86</v>
      </c>
      <c r="D1541" s="1">
        <f>IFERROR(__xludf.DUMMYFUNCTION("""COMPUTED_VALUE"""),415.8)</f>
        <v>415.8</v>
      </c>
      <c r="E1541" s="1">
        <f>IFERROR(__xludf.DUMMYFUNCTION("""COMPUTED_VALUE"""),416.36)</f>
        <v>416.36</v>
      </c>
      <c r="F1541" s="1">
        <f>IFERROR(__xludf.DUMMYFUNCTION("""COMPUTED_VALUE"""),2.8265624E7)</f>
        <v>28265624</v>
      </c>
    </row>
    <row r="1542">
      <c r="A1542" s="2">
        <f>IFERROR(__xludf.DUMMYFUNCTION("""COMPUTED_VALUE"""),33624.666666666664)</f>
        <v>33624.66667</v>
      </c>
      <c r="B1542" s="1">
        <f>IFERROR(__xludf.DUMMYFUNCTION("""COMPUTED_VALUE"""),416.36)</f>
        <v>416.36</v>
      </c>
      <c r="C1542" s="1">
        <f>IFERROR(__xludf.DUMMYFUNCTION("""COMPUTED_VALUE"""),416.39)</f>
        <v>416.39</v>
      </c>
      <c r="D1542" s="1">
        <f>IFERROR(__xludf.DUMMYFUNCTION("""COMPUTED_VALUE"""),411.32)</f>
        <v>411.32</v>
      </c>
      <c r="E1542" s="1">
        <f>IFERROR(__xludf.DUMMYFUNCTION("""COMPUTED_VALUE"""),412.64)</f>
        <v>412.64</v>
      </c>
      <c r="F1542" s="1">
        <f>IFERROR(__xludf.DUMMYFUNCTION("""COMPUTED_VALUE"""),3.4179688E7)</f>
        <v>34179688</v>
      </c>
    </row>
    <row r="1543">
      <c r="A1543" s="2">
        <f>IFERROR(__xludf.DUMMYFUNCTION("""COMPUTED_VALUE"""),33625.666666666664)</f>
        <v>33625.66667</v>
      </c>
      <c r="B1543" s="1">
        <f>IFERROR(__xludf.DUMMYFUNCTION("""COMPUTED_VALUE"""),412.65)</f>
        <v>412.65</v>
      </c>
      <c r="C1543" s="1">
        <f>IFERROR(__xludf.DUMMYFUNCTION("""COMPUTED_VALUE"""),418.13)</f>
        <v>418.13</v>
      </c>
      <c r="D1543" s="1">
        <f>IFERROR(__xludf.DUMMYFUNCTION("""COMPUTED_VALUE"""),412.49)</f>
        <v>412.49</v>
      </c>
      <c r="E1543" s="1">
        <f>IFERROR(__xludf.DUMMYFUNCTION("""COMPUTED_VALUE"""),418.13)</f>
        <v>418.13</v>
      </c>
      <c r="F1543" s="1">
        <f>IFERROR(__xludf.DUMMYFUNCTION("""COMPUTED_VALUE"""),3.5646876E7)</f>
        <v>35646876</v>
      </c>
    </row>
    <row r="1544">
      <c r="A1544" s="2">
        <f>IFERROR(__xludf.DUMMYFUNCTION("""COMPUTED_VALUE"""),33626.666666666664)</f>
        <v>33626.66667</v>
      </c>
      <c r="B1544" s="1">
        <f>IFERROR(__xludf.DUMMYFUNCTION("""COMPUTED_VALUE"""),418.13)</f>
        <v>418.13</v>
      </c>
      <c r="C1544" s="1">
        <f>IFERROR(__xludf.DUMMYFUNCTION("""COMPUTED_VALUE"""),419.78)</f>
        <v>419.78</v>
      </c>
      <c r="D1544" s="1">
        <f>IFERROR(__xludf.DUMMYFUNCTION("""COMPUTED_VALUE"""),414.36)</f>
        <v>414.36</v>
      </c>
      <c r="E1544" s="1">
        <f>IFERROR(__xludf.DUMMYFUNCTION("""COMPUTED_VALUE"""),414.96)</f>
        <v>414.96</v>
      </c>
      <c r="F1544" s="1">
        <f>IFERROR(__xludf.DUMMYFUNCTION("""COMPUTED_VALUE"""),3.6653124E7)</f>
        <v>36653124</v>
      </c>
    </row>
    <row r="1545">
      <c r="A1545" s="2">
        <f>IFERROR(__xludf.DUMMYFUNCTION("""COMPUTED_VALUE"""),33627.666666666664)</f>
        <v>33627.66667</v>
      </c>
      <c r="B1545" s="1">
        <f>IFERROR(__xludf.DUMMYFUNCTION("""COMPUTED_VALUE"""),414.96)</f>
        <v>414.96</v>
      </c>
      <c r="C1545" s="1">
        <f>IFERROR(__xludf.DUMMYFUNCTION("""COMPUTED_VALUE"""),417.27)</f>
        <v>417.27</v>
      </c>
      <c r="D1545" s="1">
        <f>IFERROR(__xludf.DUMMYFUNCTION("""COMPUTED_VALUE"""),414.29)</f>
        <v>414.29</v>
      </c>
      <c r="E1545" s="1">
        <f>IFERROR(__xludf.DUMMYFUNCTION("""COMPUTED_VALUE"""),415.48)</f>
        <v>415.48</v>
      </c>
      <c r="F1545" s="1">
        <f>IFERROR(__xludf.DUMMYFUNCTION("""COMPUTED_VALUE"""),3.3379688E7)</f>
        <v>33379688</v>
      </c>
    </row>
    <row r="1546">
      <c r="A1546" s="2">
        <f>IFERROR(__xludf.DUMMYFUNCTION("""COMPUTED_VALUE"""),33630.666666666664)</f>
        <v>33630.66667</v>
      </c>
      <c r="B1546" s="1">
        <f>IFERROR(__xludf.DUMMYFUNCTION("""COMPUTED_VALUE"""),415.44)</f>
        <v>415.44</v>
      </c>
      <c r="C1546" s="1">
        <f>IFERROR(__xludf.DUMMYFUNCTION("""COMPUTED_VALUE"""),416.84)</f>
        <v>416.84</v>
      </c>
      <c r="D1546" s="1">
        <f>IFERROR(__xludf.DUMMYFUNCTION("""COMPUTED_VALUE"""),414.48)</f>
        <v>414.48</v>
      </c>
      <c r="E1546" s="1">
        <f>IFERROR(__xludf.DUMMYFUNCTION("""COMPUTED_VALUE"""),414.99)</f>
        <v>414.99</v>
      </c>
      <c r="F1546" s="1">
        <f>IFERROR(__xludf.DUMMYFUNCTION("""COMPUTED_VALUE"""),2.9839062E7)</f>
        <v>29839062</v>
      </c>
    </row>
    <row r="1547">
      <c r="A1547" s="2">
        <f>IFERROR(__xludf.DUMMYFUNCTION("""COMPUTED_VALUE"""),33631.666666666664)</f>
        <v>33631.66667</v>
      </c>
      <c r="B1547" s="1">
        <f>IFERROR(__xludf.DUMMYFUNCTION("""COMPUTED_VALUE"""),414.98)</f>
        <v>414.98</v>
      </c>
      <c r="C1547" s="1">
        <f>IFERROR(__xludf.DUMMYFUNCTION("""COMPUTED_VALUE"""),416.41)</f>
        <v>416.41</v>
      </c>
      <c r="D1547" s="1">
        <f>IFERROR(__xludf.DUMMYFUNCTION("""COMPUTED_VALUE"""),414.54)</f>
        <v>414.54</v>
      </c>
      <c r="E1547" s="1">
        <f>IFERROR(__xludf.DUMMYFUNCTION("""COMPUTED_VALUE"""),414.96)</f>
        <v>414.96</v>
      </c>
      <c r="F1547" s="1">
        <f>IFERROR(__xludf.DUMMYFUNCTION("""COMPUTED_VALUE"""),3.4125E7)</f>
        <v>34125000</v>
      </c>
    </row>
    <row r="1548">
      <c r="A1548" s="2">
        <f>IFERROR(__xludf.DUMMYFUNCTION("""COMPUTED_VALUE"""),33632.666666666664)</f>
        <v>33632.66667</v>
      </c>
      <c r="B1548" s="1">
        <f>IFERROR(__xludf.DUMMYFUNCTION("""COMPUTED_VALUE"""),414.96)</f>
        <v>414.96</v>
      </c>
      <c r="C1548" s="1">
        <f>IFERROR(__xludf.DUMMYFUNCTION("""COMPUTED_VALUE"""),417.83)</f>
        <v>417.83</v>
      </c>
      <c r="D1548" s="1">
        <f>IFERROR(__xludf.DUMMYFUNCTION("""COMPUTED_VALUE"""),409.17)</f>
        <v>409.17</v>
      </c>
      <c r="E1548" s="1">
        <f>IFERROR(__xludf.DUMMYFUNCTION("""COMPUTED_VALUE"""),410.34)</f>
        <v>410.34</v>
      </c>
      <c r="F1548" s="1">
        <f>IFERROR(__xludf.DUMMYFUNCTION("""COMPUTED_VALUE"""),3.8896876E7)</f>
        <v>38896876</v>
      </c>
    </row>
    <row r="1549">
      <c r="A1549" s="2">
        <f>IFERROR(__xludf.DUMMYFUNCTION("""COMPUTED_VALUE"""),33633.666666666664)</f>
        <v>33633.66667</v>
      </c>
      <c r="B1549" s="1">
        <f>IFERROR(__xludf.DUMMYFUNCTION("""COMPUTED_VALUE"""),410.34)</f>
        <v>410.34</v>
      </c>
      <c r="C1549" s="1">
        <f>IFERROR(__xludf.DUMMYFUNCTION("""COMPUTED_VALUE"""),412.17)</f>
        <v>412.17</v>
      </c>
      <c r="D1549" s="1">
        <f>IFERROR(__xludf.DUMMYFUNCTION("""COMPUTED_VALUE"""),409.26)</f>
        <v>409.26</v>
      </c>
      <c r="E1549" s="1">
        <f>IFERROR(__xludf.DUMMYFUNCTION("""COMPUTED_VALUE"""),411.62)</f>
        <v>411.62</v>
      </c>
      <c r="F1549" s="1">
        <f>IFERROR(__xludf.DUMMYFUNCTION("""COMPUTED_VALUE"""),3.041875E7)</f>
        <v>30418750</v>
      </c>
    </row>
    <row r="1550">
      <c r="A1550" s="2">
        <f>IFERROR(__xludf.DUMMYFUNCTION("""COMPUTED_VALUE"""),33634.666666666664)</f>
        <v>33634.66667</v>
      </c>
      <c r="B1550" s="1">
        <f>IFERROR(__xludf.DUMMYFUNCTION("""COMPUTED_VALUE"""),411.65)</f>
        <v>411.65</v>
      </c>
      <c r="C1550" s="1">
        <f>IFERROR(__xludf.DUMMYFUNCTION("""COMPUTED_VALUE"""),412.63)</f>
        <v>412.63</v>
      </c>
      <c r="D1550" s="1">
        <f>IFERROR(__xludf.DUMMYFUNCTION("""COMPUTED_VALUE"""),408.64)</f>
        <v>408.64</v>
      </c>
      <c r="E1550" s="1">
        <f>IFERROR(__xludf.DUMMYFUNCTION("""COMPUTED_VALUE"""),408.78)</f>
        <v>408.78</v>
      </c>
      <c r="F1550" s="1">
        <f>IFERROR(__xludf.DUMMYFUNCTION("""COMPUTED_VALUE"""),3.0878124E7)</f>
        <v>30878124</v>
      </c>
    </row>
    <row r="1551">
      <c r="A1551" s="2">
        <f>IFERROR(__xludf.DUMMYFUNCTION("""COMPUTED_VALUE"""),33637.666666666664)</f>
        <v>33637.66667</v>
      </c>
      <c r="B1551" s="1">
        <f>IFERROR(__xludf.DUMMYFUNCTION("""COMPUTED_VALUE"""),408.79)</f>
        <v>408.79</v>
      </c>
      <c r="C1551" s="1">
        <f>IFERROR(__xludf.DUMMYFUNCTION("""COMPUTED_VALUE"""),409.95)</f>
        <v>409.95</v>
      </c>
      <c r="D1551" s="1">
        <f>IFERROR(__xludf.DUMMYFUNCTION("""COMPUTED_VALUE"""),407.45)</f>
        <v>407.45</v>
      </c>
      <c r="E1551" s="1">
        <f>IFERROR(__xludf.DUMMYFUNCTION("""COMPUTED_VALUE"""),409.53)</f>
        <v>409.53</v>
      </c>
      <c r="F1551" s="1">
        <f>IFERROR(__xludf.DUMMYFUNCTION("""COMPUTED_VALUE"""),2.8951562E7)</f>
        <v>28951562</v>
      </c>
    </row>
    <row r="1552">
      <c r="A1552" s="2">
        <f>IFERROR(__xludf.DUMMYFUNCTION("""COMPUTED_VALUE"""),33638.666666666664)</f>
        <v>33638.66667</v>
      </c>
      <c r="B1552" s="1">
        <f>IFERROR(__xludf.DUMMYFUNCTION("""COMPUTED_VALUE"""),409.6)</f>
        <v>409.6</v>
      </c>
      <c r="C1552" s="1">
        <f>IFERROR(__xludf.DUMMYFUNCTION("""COMPUTED_VALUE"""),413.85)</f>
        <v>413.85</v>
      </c>
      <c r="D1552" s="1">
        <f>IFERROR(__xludf.DUMMYFUNCTION("""COMPUTED_VALUE"""),409.28)</f>
        <v>409.28</v>
      </c>
      <c r="E1552" s="1">
        <f>IFERROR(__xludf.DUMMYFUNCTION("""COMPUTED_VALUE"""),413.85)</f>
        <v>413.85</v>
      </c>
      <c r="F1552" s="1">
        <f>IFERROR(__xludf.DUMMYFUNCTION("""COMPUTED_VALUE"""),3.65125E7)</f>
        <v>36512500</v>
      </c>
    </row>
    <row r="1553">
      <c r="A1553" s="2">
        <f>IFERROR(__xludf.DUMMYFUNCTION("""COMPUTED_VALUE"""),33639.666666666664)</f>
        <v>33639.66667</v>
      </c>
      <c r="B1553" s="1">
        <f>IFERROR(__xludf.DUMMYFUNCTION("""COMPUTED_VALUE"""),413.88)</f>
        <v>413.88</v>
      </c>
      <c r="C1553" s="1">
        <f>IFERROR(__xludf.DUMMYFUNCTION("""COMPUTED_VALUE"""),416.17)</f>
        <v>416.17</v>
      </c>
      <c r="D1553" s="1">
        <f>IFERROR(__xludf.DUMMYFUNCTION("""COMPUTED_VALUE"""),413.18)</f>
        <v>413.18</v>
      </c>
      <c r="E1553" s="1">
        <f>IFERROR(__xludf.DUMMYFUNCTION("""COMPUTED_VALUE"""),413.84)</f>
        <v>413.84</v>
      </c>
      <c r="F1553" s="1">
        <f>IFERROR(__xludf.DUMMYFUNCTION("""COMPUTED_VALUE"""),4.1006248E7)</f>
        <v>41006248</v>
      </c>
    </row>
    <row r="1554">
      <c r="A1554" s="2">
        <f>IFERROR(__xludf.DUMMYFUNCTION("""COMPUTED_VALUE"""),33640.666666666664)</f>
        <v>33640.66667</v>
      </c>
      <c r="B1554" s="1">
        <f>IFERROR(__xludf.DUMMYFUNCTION("""COMPUTED_VALUE"""),413.87)</f>
        <v>413.87</v>
      </c>
      <c r="C1554" s="1">
        <f>IFERROR(__xludf.DUMMYFUNCTION("""COMPUTED_VALUE"""),414.55)</f>
        <v>414.55</v>
      </c>
      <c r="D1554" s="1">
        <f>IFERROR(__xludf.DUMMYFUNCTION("""COMPUTED_VALUE"""),411.93)</f>
        <v>411.93</v>
      </c>
      <c r="E1554" s="1">
        <f>IFERROR(__xludf.DUMMYFUNCTION("""COMPUTED_VALUE"""),413.82)</f>
        <v>413.82</v>
      </c>
      <c r="F1554" s="1">
        <f>IFERROR(__xludf.DUMMYFUNCTION("""COMPUTED_VALUE"""),3.7820312E7)</f>
        <v>37820312</v>
      </c>
    </row>
    <row r="1555">
      <c r="A1555" s="2">
        <f>IFERROR(__xludf.DUMMYFUNCTION("""COMPUTED_VALUE"""),33641.666666666664)</f>
        <v>33641.66667</v>
      </c>
      <c r="B1555" s="1">
        <f>IFERROR(__xludf.DUMMYFUNCTION("""COMPUTED_VALUE"""),413.82)</f>
        <v>413.82</v>
      </c>
      <c r="C1555" s="1">
        <f>IFERROR(__xludf.DUMMYFUNCTION("""COMPUTED_VALUE"""),415.29)</f>
        <v>415.29</v>
      </c>
      <c r="D1555" s="1">
        <f>IFERROR(__xludf.DUMMYFUNCTION("""COMPUTED_VALUE"""),408.04)</f>
        <v>408.04</v>
      </c>
      <c r="E1555" s="1">
        <f>IFERROR(__xludf.DUMMYFUNCTION("""COMPUTED_VALUE"""),411.09)</f>
        <v>411.09</v>
      </c>
      <c r="F1555" s="1">
        <f>IFERROR(__xludf.DUMMYFUNCTION("""COMPUTED_VALUE"""),3.61125E7)</f>
        <v>36112500</v>
      </c>
    </row>
    <row r="1556">
      <c r="A1556" s="2">
        <f>IFERROR(__xludf.DUMMYFUNCTION("""COMPUTED_VALUE"""),33644.666666666664)</f>
        <v>33644.66667</v>
      </c>
      <c r="B1556" s="1">
        <f>IFERROR(__xludf.DUMMYFUNCTION("""COMPUTED_VALUE"""),411.07)</f>
        <v>411.07</v>
      </c>
      <c r="C1556" s="1">
        <f>IFERROR(__xludf.DUMMYFUNCTION("""COMPUTED_VALUE"""),413.77)</f>
        <v>413.77</v>
      </c>
      <c r="D1556" s="1">
        <f>IFERROR(__xludf.DUMMYFUNCTION("""COMPUTED_VALUE"""),411.07)</f>
        <v>411.07</v>
      </c>
      <c r="E1556" s="1">
        <f>IFERROR(__xludf.DUMMYFUNCTION("""COMPUTED_VALUE"""),413.77)</f>
        <v>413.77</v>
      </c>
      <c r="F1556" s="1">
        <f>IFERROR(__xludf.DUMMYFUNCTION("""COMPUTED_VALUE"""),2.8814062E7)</f>
        <v>28814062</v>
      </c>
    </row>
    <row r="1557">
      <c r="A1557" s="2">
        <f>IFERROR(__xludf.DUMMYFUNCTION("""COMPUTED_VALUE"""),33645.666666666664)</f>
        <v>33645.66667</v>
      </c>
      <c r="B1557" s="1">
        <f>IFERROR(__xludf.DUMMYFUNCTION("""COMPUTED_VALUE"""),413.77)</f>
        <v>413.77</v>
      </c>
      <c r="C1557" s="1">
        <f>IFERROR(__xludf.DUMMYFUNCTION("""COMPUTED_VALUE"""),414.38)</f>
        <v>414.38</v>
      </c>
      <c r="D1557" s="1">
        <f>IFERROR(__xludf.DUMMYFUNCTION("""COMPUTED_VALUE"""),412.24)</f>
        <v>412.24</v>
      </c>
      <c r="E1557" s="1">
        <f>IFERROR(__xludf.DUMMYFUNCTION("""COMPUTED_VALUE"""),413.76)</f>
        <v>413.76</v>
      </c>
      <c r="F1557" s="1">
        <f>IFERROR(__xludf.DUMMYFUNCTION("""COMPUTED_VALUE"""),3.1270312E7)</f>
        <v>31270312</v>
      </c>
    </row>
    <row r="1558">
      <c r="A1558" s="2">
        <f>IFERROR(__xludf.DUMMYFUNCTION("""COMPUTED_VALUE"""),33646.666666666664)</f>
        <v>33646.66667</v>
      </c>
      <c r="B1558" s="1">
        <f>IFERROR(__xludf.DUMMYFUNCTION("""COMPUTED_VALUE"""),413.77)</f>
        <v>413.77</v>
      </c>
      <c r="C1558" s="1">
        <f>IFERROR(__xludf.DUMMYFUNCTION("""COMPUTED_VALUE"""),418.08)</f>
        <v>418.08</v>
      </c>
      <c r="D1558" s="1">
        <f>IFERROR(__xludf.DUMMYFUNCTION("""COMPUTED_VALUE"""),413.36)</f>
        <v>413.36</v>
      </c>
      <c r="E1558" s="1">
        <f>IFERROR(__xludf.DUMMYFUNCTION("""COMPUTED_VALUE"""),417.13)</f>
        <v>417.13</v>
      </c>
      <c r="F1558" s="1">
        <f>IFERROR(__xludf.DUMMYFUNCTION("""COMPUTED_VALUE"""),3.7129688E7)</f>
        <v>37129688</v>
      </c>
    </row>
    <row r="1559">
      <c r="A1559" s="2">
        <f>IFERROR(__xludf.DUMMYFUNCTION("""COMPUTED_VALUE"""),33647.666666666664)</f>
        <v>33647.66667</v>
      </c>
      <c r="B1559" s="1">
        <f>IFERROR(__xludf.DUMMYFUNCTION("""COMPUTED_VALUE"""),417.13)</f>
        <v>417.13</v>
      </c>
      <c r="C1559" s="1">
        <f>IFERROR(__xludf.DUMMYFUNCTION("""COMPUTED_VALUE"""),417.77)</f>
        <v>417.77</v>
      </c>
      <c r="D1559" s="1">
        <f>IFERROR(__xludf.DUMMYFUNCTION("""COMPUTED_VALUE"""),412.07)</f>
        <v>412.07</v>
      </c>
      <c r="E1559" s="1">
        <f>IFERROR(__xludf.DUMMYFUNCTION("""COMPUTED_VALUE"""),413.69)</f>
        <v>413.69</v>
      </c>
      <c r="F1559" s="1">
        <f>IFERROR(__xludf.DUMMYFUNCTION("""COMPUTED_VALUE"""),3.58375E7)</f>
        <v>35837500</v>
      </c>
    </row>
    <row r="1560">
      <c r="A1560" s="2">
        <f>IFERROR(__xludf.DUMMYFUNCTION("""COMPUTED_VALUE"""),33648.666666666664)</f>
        <v>33648.66667</v>
      </c>
      <c r="B1560" s="1">
        <f>IFERROR(__xludf.DUMMYFUNCTION("""COMPUTED_VALUE"""),413.69)</f>
        <v>413.69</v>
      </c>
      <c r="C1560" s="1">
        <f>IFERROR(__xludf.DUMMYFUNCTION("""COMPUTED_VALUE"""),413.84)</f>
        <v>413.84</v>
      </c>
      <c r="D1560" s="1">
        <f>IFERROR(__xludf.DUMMYFUNCTION("""COMPUTED_VALUE"""),411.2)</f>
        <v>411.2</v>
      </c>
      <c r="E1560" s="1">
        <f>IFERROR(__xludf.DUMMYFUNCTION("""COMPUTED_VALUE"""),412.48)</f>
        <v>412.48</v>
      </c>
      <c r="F1560" s="1">
        <f>IFERROR(__xludf.DUMMYFUNCTION("""COMPUTED_VALUE"""),3.3610936E7)</f>
        <v>33610936</v>
      </c>
    </row>
    <row r="1561">
      <c r="A1561" s="2">
        <f>IFERROR(__xludf.DUMMYFUNCTION("""COMPUTED_VALUE"""),33652.666666666664)</f>
        <v>33652.66667</v>
      </c>
      <c r="B1561" s="1">
        <f>IFERROR(__xludf.DUMMYFUNCTION("""COMPUTED_VALUE"""),412.48)</f>
        <v>412.48</v>
      </c>
      <c r="C1561" s="1">
        <f>IFERROR(__xludf.DUMMYFUNCTION("""COMPUTED_VALUE"""),413.27)</f>
        <v>413.27</v>
      </c>
      <c r="D1561" s="1">
        <f>IFERROR(__xludf.DUMMYFUNCTION("""COMPUTED_VALUE"""),406.34)</f>
        <v>406.34</v>
      </c>
      <c r="E1561" s="1">
        <f>IFERROR(__xludf.DUMMYFUNCTION("""COMPUTED_VALUE"""),407.38)</f>
        <v>407.38</v>
      </c>
      <c r="F1561" s="1">
        <f>IFERROR(__xludf.DUMMYFUNCTION("""COMPUTED_VALUE"""),3.6609376E7)</f>
        <v>36609376</v>
      </c>
    </row>
    <row r="1562">
      <c r="A1562" s="2">
        <f>IFERROR(__xludf.DUMMYFUNCTION("""COMPUTED_VALUE"""),33653.666666666664)</f>
        <v>33653.66667</v>
      </c>
      <c r="B1562" s="1">
        <f>IFERROR(__xludf.DUMMYFUNCTION("""COMPUTED_VALUE"""),407.38)</f>
        <v>407.38</v>
      </c>
      <c r="C1562" s="1">
        <f>IFERROR(__xludf.DUMMYFUNCTION("""COMPUTED_VALUE"""),408.7)</f>
        <v>408.7</v>
      </c>
      <c r="D1562" s="1">
        <f>IFERROR(__xludf.DUMMYFUNCTION("""COMPUTED_VALUE"""),406.54)</f>
        <v>406.54</v>
      </c>
      <c r="E1562" s="1">
        <f>IFERROR(__xludf.DUMMYFUNCTION("""COMPUTED_VALUE"""),408.26)</f>
        <v>408.26</v>
      </c>
      <c r="F1562" s="1">
        <f>IFERROR(__xludf.DUMMYFUNCTION("""COMPUTED_VALUE"""),3.6401564E7)</f>
        <v>36401564</v>
      </c>
    </row>
    <row r="1563">
      <c r="A1563" s="2">
        <f>IFERROR(__xludf.DUMMYFUNCTION("""COMPUTED_VALUE"""),33654.666666666664)</f>
        <v>33654.66667</v>
      </c>
      <c r="B1563" s="1">
        <f>IFERROR(__xludf.DUMMYFUNCTION("""COMPUTED_VALUE"""),408.26)</f>
        <v>408.26</v>
      </c>
      <c r="C1563" s="1">
        <f>IFERROR(__xludf.DUMMYFUNCTION("""COMPUTED_VALUE"""),413.9)</f>
        <v>413.9</v>
      </c>
      <c r="D1563" s="1">
        <f>IFERROR(__xludf.DUMMYFUNCTION("""COMPUTED_VALUE"""),408.26)</f>
        <v>408.26</v>
      </c>
      <c r="E1563" s="1">
        <f>IFERROR(__xludf.DUMMYFUNCTION("""COMPUTED_VALUE"""),413.9)</f>
        <v>413.9</v>
      </c>
      <c r="F1563" s="1">
        <f>IFERROR(__xludf.DUMMYFUNCTION("""COMPUTED_VALUE"""),4.2289064E7)</f>
        <v>42289064</v>
      </c>
    </row>
    <row r="1564">
      <c r="A1564" s="2">
        <f>IFERROR(__xludf.DUMMYFUNCTION("""COMPUTED_VALUE"""),33655.666666666664)</f>
        <v>33655.66667</v>
      </c>
      <c r="B1564" s="1">
        <f>IFERROR(__xludf.DUMMYFUNCTION("""COMPUTED_VALUE"""),413.9)</f>
        <v>413.9</v>
      </c>
      <c r="C1564" s="1">
        <f>IFERROR(__xludf.DUMMYFUNCTION("""COMPUTED_VALUE"""),414.26)</f>
        <v>414.26</v>
      </c>
      <c r="D1564" s="1">
        <f>IFERROR(__xludf.DUMMYFUNCTION("""COMPUTED_VALUE"""),409.72)</f>
        <v>409.72</v>
      </c>
      <c r="E1564" s="1">
        <f>IFERROR(__xludf.DUMMYFUNCTION("""COMPUTED_VALUE"""),411.43)</f>
        <v>411.43</v>
      </c>
      <c r="F1564" s="1">
        <f>IFERROR(__xludf.DUMMYFUNCTION("""COMPUTED_VALUE"""),4.0882812E7)</f>
        <v>40882812</v>
      </c>
    </row>
    <row r="1565">
      <c r="A1565" s="2">
        <f>IFERROR(__xludf.DUMMYFUNCTION("""COMPUTED_VALUE"""),33658.666666666664)</f>
        <v>33658.66667</v>
      </c>
      <c r="B1565" s="1">
        <f>IFERROR(__xludf.DUMMYFUNCTION("""COMPUTED_VALUE"""),411.46)</f>
        <v>411.46</v>
      </c>
      <c r="C1565" s="1">
        <f>IFERROR(__xludf.DUMMYFUNCTION("""COMPUTED_VALUE"""),412.94)</f>
        <v>412.94</v>
      </c>
      <c r="D1565" s="1">
        <f>IFERROR(__xludf.DUMMYFUNCTION("""COMPUTED_VALUE"""),410.34)</f>
        <v>410.34</v>
      </c>
      <c r="E1565" s="1">
        <f>IFERROR(__xludf.DUMMYFUNCTION("""COMPUTED_VALUE"""),412.27)</f>
        <v>412.27</v>
      </c>
      <c r="F1565" s="1">
        <f>IFERROR(__xludf.DUMMYFUNCTION("""COMPUTED_VALUE"""),2.7740624E7)</f>
        <v>27740624</v>
      </c>
    </row>
    <row r="1566">
      <c r="A1566" s="2">
        <f>IFERROR(__xludf.DUMMYFUNCTION("""COMPUTED_VALUE"""),33659.666666666664)</f>
        <v>33659.66667</v>
      </c>
      <c r="B1566" s="1">
        <f>IFERROR(__xludf.DUMMYFUNCTION("""COMPUTED_VALUE"""),412.27)</f>
        <v>412.27</v>
      </c>
      <c r="C1566" s="1">
        <f>IFERROR(__xludf.DUMMYFUNCTION("""COMPUTED_VALUE"""),412.27)</f>
        <v>412.27</v>
      </c>
      <c r="D1566" s="1">
        <f>IFERROR(__xludf.DUMMYFUNCTION("""COMPUTED_VALUE"""),408.02)</f>
        <v>408.02</v>
      </c>
      <c r="E1566" s="1">
        <f>IFERROR(__xludf.DUMMYFUNCTION("""COMPUTED_VALUE"""),410.45)</f>
        <v>410.45</v>
      </c>
      <c r="F1566" s="1">
        <f>IFERROR(__xludf.DUMMYFUNCTION("""COMPUTED_VALUE"""),3.2867188E7)</f>
        <v>32867188</v>
      </c>
    </row>
    <row r="1567">
      <c r="A1567" s="2">
        <f>IFERROR(__xludf.DUMMYFUNCTION("""COMPUTED_VALUE"""),33660.666666666664)</f>
        <v>33660.66667</v>
      </c>
      <c r="B1567" s="1">
        <f>IFERROR(__xludf.DUMMYFUNCTION("""COMPUTED_VALUE"""),410.48)</f>
        <v>410.48</v>
      </c>
      <c r="C1567" s="1">
        <f>IFERROR(__xludf.DUMMYFUNCTION("""COMPUTED_VALUE"""),415.35)</f>
        <v>415.35</v>
      </c>
      <c r="D1567" s="1">
        <f>IFERROR(__xludf.DUMMYFUNCTION("""COMPUTED_VALUE"""),410.48)</f>
        <v>410.48</v>
      </c>
      <c r="E1567" s="1">
        <f>IFERROR(__xludf.DUMMYFUNCTION("""COMPUTED_VALUE"""),415.35)</f>
        <v>415.35</v>
      </c>
      <c r="F1567" s="1">
        <f>IFERROR(__xludf.DUMMYFUNCTION("""COMPUTED_VALUE"""),3.7734376E7)</f>
        <v>37734376</v>
      </c>
    </row>
    <row r="1568">
      <c r="A1568" s="2">
        <f>IFERROR(__xludf.DUMMYFUNCTION("""COMPUTED_VALUE"""),33661.666666666664)</f>
        <v>33661.66667</v>
      </c>
      <c r="B1568" s="1">
        <f>IFERROR(__xludf.DUMMYFUNCTION("""COMPUTED_VALUE"""),415.35)</f>
        <v>415.35</v>
      </c>
      <c r="C1568" s="1">
        <f>IFERROR(__xludf.DUMMYFUNCTION("""COMPUTED_VALUE"""),415.99)</f>
        <v>415.99</v>
      </c>
      <c r="D1568" s="1">
        <f>IFERROR(__xludf.DUMMYFUNCTION("""COMPUTED_VALUE"""),413.47)</f>
        <v>413.47</v>
      </c>
      <c r="E1568" s="1">
        <f>IFERROR(__xludf.DUMMYFUNCTION("""COMPUTED_VALUE"""),413.86)</f>
        <v>413.86</v>
      </c>
      <c r="F1568" s="1">
        <f>IFERROR(__xludf.DUMMYFUNCTION("""COMPUTED_VALUE"""),3.3610936E7)</f>
        <v>33610936</v>
      </c>
    </row>
    <row r="1569">
      <c r="A1569" s="2">
        <f>IFERROR(__xludf.DUMMYFUNCTION("""COMPUTED_VALUE"""),33662.666666666664)</f>
        <v>33662.66667</v>
      </c>
      <c r="B1569" s="1">
        <f>IFERROR(__xludf.DUMMYFUNCTION("""COMPUTED_VALUE"""),413.86)</f>
        <v>413.86</v>
      </c>
      <c r="C1569" s="1">
        <f>IFERROR(__xludf.DUMMYFUNCTION("""COMPUTED_VALUE"""),416.07)</f>
        <v>416.07</v>
      </c>
      <c r="D1569" s="1">
        <f>IFERROR(__xludf.DUMMYFUNCTION("""COMPUTED_VALUE"""),411.8)</f>
        <v>411.8</v>
      </c>
      <c r="E1569" s="1">
        <f>IFERROR(__xludf.DUMMYFUNCTION("""COMPUTED_VALUE"""),412.7)</f>
        <v>412.7</v>
      </c>
      <c r="F1569" s="1">
        <f>IFERROR(__xludf.DUMMYFUNCTION("""COMPUTED_VALUE"""),3.16125E7)</f>
        <v>31612500</v>
      </c>
    </row>
    <row r="1570">
      <c r="A1570" s="2">
        <f>IFERROR(__xludf.DUMMYFUNCTION("""COMPUTED_VALUE"""),33665.666666666664)</f>
        <v>33665.66667</v>
      </c>
      <c r="B1570" s="1">
        <f>IFERROR(__xludf.DUMMYFUNCTION("""COMPUTED_VALUE"""),412.68)</f>
        <v>412.68</v>
      </c>
      <c r="C1570" s="1">
        <f>IFERROR(__xludf.DUMMYFUNCTION("""COMPUTED_VALUE"""),413.74)</f>
        <v>413.74</v>
      </c>
      <c r="D1570" s="1">
        <f>IFERROR(__xludf.DUMMYFUNCTION("""COMPUTED_VALUE"""),411.52)</f>
        <v>411.52</v>
      </c>
      <c r="E1570" s="1">
        <f>IFERROR(__xludf.DUMMYFUNCTION("""COMPUTED_VALUE"""),412.45)</f>
        <v>412.45</v>
      </c>
      <c r="F1570" s="1">
        <f>IFERROR(__xludf.DUMMYFUNCTION("""COMPUTED_VALUE"""),2.8184376E7)</f>
        <v>28184376</v>
      </c>
    </row>
    <row r="1571">
      <c r="A1571" s="2">
        <f>IFERROR(__xludf.DUMMYFUNCTION("""COMPUTED_VALUE"""),33666.666666666664)</f>
        <v>33666.66667</v>
      </c>
      <c r="B1571" s="1">
        <f>IFERROR(__xludf.DUMMYFUNCTION("""COMPUTED_VALUE"""),412.45)</f>
        <v>412.45</v>
      </c>
      <c r="C1571" s="1">
        <f>IFERROR(__xludf.DUMMYFUNCTION("""COMPUTED_VALUE"""),413.78)</f>
        <v>413.78</v>
      </c>
      <c r="D1571" s="1">
        <f>IFERROR(__xludf.DUMMYFUNCTION("""COMPUTED_VALUE"""),411.88)</f>
        <v>411.88</v>
      </c>
      <c r="E1571" s="1">
        <f>IFERROR(__xludf.DUMMYFUNCTION("""COMPUTED_VALUE"""),412.85)</f>
        <v>412.85</v>
      </c>
      <c r="F1571" s="1">
        <f>IFERROR(__xludf.DUMMYFUNCTION("""COMPUTED_VALUE"""),3.1389062E7)</f>
        <v>31389062</v>
      </c>
    </row>
    <row r="1572">
      <c r="A1572" s="2">
        <f>IFERROR(__xludf.DUMMYFUNCTION("""COMPUTED_VALUE"""),33667.666666666664)</f>
        <v>33667.66667</v>
      </c>
      <c r="B1572" s="1">
        <f>IFERROR(__xludf.DUMMYFUNCTION("""COMPUTED_VALUE"""),412.86)</f>
        <v>412.86</v>
      </c>
      <c r="C1572" s="1">
        <f>IFERROR(__xludf.DUMMYFUNCTION("""COMPUTED_VALUE"""),413.27)</f>
        <v>413.27</v>
      </c>
      <c r="D1572" s="1">
        <f>IFERROR(__xludf.DUMMYFUNCTION("""COMPUTED_VALUE"""),409.33)</f>
        <v>409.33</v>
      </c>
      <c r="E1572" s="1">
        <f>IFERROR(__xludf.DUMMYFUNCTION("""COMPUTED_VALUE"""),409.33)</f>
        <v>409.33</v>
      </c>
      <c r="F1572" s="1">
        <f>IFERROR(__xludf.DUMMYFUNCTION("""COMPUTED_VALUE"""),3.2321876E7)</f>
        <v>32321876</v>
      </c>
    </row>
    <row r="1573">
      <c r="A1573" s="2">
        <f>IFERROR(__xludf.DUMMYFUNCTION("""COMPUTED_VALUE"""),33668.666666666664)</f>
        <v>33668.66667</v>
      </c>
      <c r="B1573" s="1">
        <f>IFERROR(__xludf.DUMMYFUNCTION("""COMPUTED_VALUE"""),409.33)</f>
        <v>409.33</v>
      </c>
      <c r="C1573" s="1">
        <f>IFERROR(__xludf.DUMMYFUNCTION("""COMPUTED_VALUE"""),409.33)</f>
        <v>409.33</v>
      </c>
      <c r="D1573" s="1">
        <f>IFERROR(__xludf.DUMMYFUNCTION("""COMPUTED_VALUE"""),405.42)</f>
        <v>405.42</v>
      </c>
      <c r="E1573" s="1">
        <f>IFERROR(__xludf.DUMMYFUNCTION("""COMPUTED_VALUE"""),406.51)</f>
        <v>406.51</v>
      </c>
      <c r="F1573" s="1">
        <f>IFERROR(__xludf.DUMMYFUNCTION("""COMPUTED_VALUE"""),3.2151562E7)</f>
        <v>32151562</v>
      </c>
    </row>
    <row r="1574">
      <c r="A1574" s="2">
        <f>IFERROR(__xludf.DUMMYFUNCTION("""COMPUTED_VALUE"""),33669.666666666664)</f>
        <v>33669.66667</v>
      </c>
      <c r="B1574" s="1">
        <f>IFERROR(__xludf.DUMMYFUNCTION("""COMPUTED_VALUE"""),406.51)</f>
        <v>406.51</v>
      </c>
      <c r="C1574" s="1">
        <f>IFERROR(__xludf.DUMMYFUNCTION("""COMPUTED_VALUE"""),407.51)</f>
        <v>407.51</v>
      </c>
      <c r="D1574" s="1">
        <f>IFERROR(__xludf.DUMMYFUNCTION("""COMPUTED_VALUE"""),403.65)</f>
        <v>403.65</v>
      </c>
      <c r="E1574" s="1">
        <f>IFERROR(__xludf.DUMMYFUNCTION("""COMPUTED_VALUE"""),404.44)</f>
        <v>404.44</v>
      </c>
      <c r="F1574" s="1">
        <f>IFERROR(__xludf.DUMMYFUNCTION("""COMPUTED_VALUE"""),2.8935938E7)</f>
        <v>28935938</v>
      </c>
    </row>
    <row r="1575">
      <c r="A1575" s="2">
        <f>IFERROR(__xludf.DUMMYFUNCTION("""COMPUTED_VALUE"""),33672.666666666664)</f>
        <v>33672.66667</v>
      </c>
      <c r="B1575" s="1">
        <f>IFERROR(__xludf.DUMMYFUNCTION("""COMPUTED_VALUE"""),404.45)</f>
        <v>404.45</v>
      </c>
      <c r="C1575" s="1">
        <f>IFERROR(__xludf.DUMMYFUNCTION("""COMPUTED_VALUE"""),405.64)</f>
        <v>405.64</v>
      </c>
      <c r="D1575" s="1">
        <f>IFERROR(__xludf.DUMMYFUNCTION("""COMPUTED_VALUE"""),404.25)</f>
        <v>404.25</v>
      </c>
      <c r="E1575" s="1">
        <f>IFERROR(__xludf.DUMMYFUNCTION("""COMPUTED_VALUE"""),405.21)</f>
        <v>405.21</v>
      </c>
      <c r="F1575" s="1">
        <f>IFERROR(__xludf.DUMMYFUNCTION("""COMPUTED_VALUE"""),2.5101562E7)</f>
        <v>25101562</v>
      </c>
    </row>
    <row r="1576">
      <c r="A1576" s="2">
        <f>IFERROR(__xludf.DUMMYFUNCTION("""COMPUTED_VALUE"""),33673.666666666664)</f>
        <v>33673.66667</v>
      </c>
      <c r="B1576" s="1">
        <f>IFERROR(__xludf.DUMMYFUNCTION("""COMPUTED_VALUE"""),405.21)</f>
        <v>405.21</v>
      </c>
      <c r="C1576" s="1">
        <f>IFERROR(__xludf.DUMMYFUNCTION("""COMPUTED_VALUE"""),409.16)</f>
        <v>409.16</v>
      </c>
      <c r="D1576" s="1">
        <f>IFERROR(__xludf.DUMMYFUNCTION("""COMPUTED_VALUE"""),405.21)</f>
        <v>405.21</v>
      </c>
      <c r="E1576" s="1">
        <f>IFERROR(__xludf.DUMMYFUNCTION("""COMPUTED_VALUE"""),406.89)</f>
        <v>406.89</v>
      </c>
      <c r="F1576" s="1">
        <f>IFERROR(__xludf.DUMMYFUNCTION("""COMPUTED_VALUE"""),3.171875E7)</f>
        <v>31718750</v>
      </c>
    </row>
    <row r="1577">
      <c r="A1577" s="2">
        <f>IFERROR(__xludf.DUMMYFUNCTION("""COMPUTED_VALUE"""),33674.666666666664)</f>
        <v>33674.66667</v>
      </c>
      <c r="B1577" s="1">
        <f>IFERROR(__xludf.DUMMYFUNCTION("""COMPUTED_VALUE"""),406.88)</f>
        <v>406.88</v>
      </c>
      <c r="C1577" s="1">
        <f>IFERROR(__xludf.DUMMYFUNCTION("""COMPUTED_VALUE"""),407.02)</f>
        <v>407.02</v>
      </c>
      <c r="D1577" s="1">
        <f>IFERROR(__xludf.DUMMYFUNCTION("""COMPUTED_VALUE"""),402.64)</f>
        <v>402.64</v>
      </c>
      <c r="E1577" s="1">
        <f>IFERROR(__xludf.DUMMYFUNCTION("""COMPUTED_VALUE"""),404.03)</f>
        <v>404.03</v>
      </c>
      <c r="F1577" s="1">
        <f>IFERROR(__xludf.DUMMYFUNCTION("""COMPUTED_VALUE"""),2.9114062E7)</f>
        <v>29114062</v>
      </c>
    </row>
    <row r="1578">
      <c r="A1578" s="2">
        <f>IFERROR(__xludf.DUMMYFUNCTION("""COMPUTED_VALUE"""),33675.666666666664)</f>
        <v>33675.66667</v>
      </c>
      <c r="B1578" s="1">
        <f>IFERROR(__xludf.DUMMYFUNCTION("""COMPUTED_VALUE"""),404.03)</f>
        <v>404.03</v>
      </c>
      <c r="C1578" s="1">
        <f>IFERROR(__xludf.DUMMYFUNCTION("""COMPUTED_VALUE"""),404.72)</f>
        <v>404.72</v>
      </c>
      <c r="D1578" s="1">
        <f>IFERROR(__xludf.DUMMYFUNCTION("""COMPUTED_VALUE"""),401.94)</f>
        <v>401.94</v>
      </c>
      <c r="E1578" s="1">
        <f>IFERROR(__xludf.DUMMYFUNCTION("""COMPUTED_VALUE"""),403.89)</f>
        <v>403.89</v>
      </c>
      <c r="F1578" s="1">
        <f>IFERROR(__xludf.DUMMYFUNCTION("""COMPUTED_VALUE"""),2.8173438E7)</f>
        <v>28173438</v>
      </c>
    </row>
    <row r="1579">
      <c r="A1579" s="2">
        <f>IFERROR(__xludf.DUMMYFUNCTION("""COMPUTED_VALUE"""),33676.666666666664)</f>
        <v>33676.66667</v>
      </c>
      <c r="B1579" s="1">
        <f>IFERROR(__xludf.DUMMYFUNCTION("""COMPUTED_VALUE"""),403.92)</f>
        <v>403.92</v>
      </c>
      <c r="C1579" s="1">
        <f>IFERROR(__xludf.DUMMYFUNCTION("""COMPUTED_VALUE"""),406.69)</f>
        <v>406.69</v>
      </c>
      <c r="D1579" s="1">
        <f>IFERROR(__xludf.DUMMYFUNCTION("""COMPUTED_VALUE"""),403.92)</f>
        <v>403.92</v>
      </c>
      <c r="E1579" s="1">
        <f>IFERROR(__xludf.DUMMYFUNCTION("""COMPUTED_VALUE"""),405.84)</f>
        <v>405.84</v>
      </c>
      <c r="F1579" s="1">
        <f>IFERROR(__xludf.DUMMYFUNCTION("""COMPUTED_VALUE"""),2.7796876E7)</f>
        <v>27796876</v>
      </c>
    </row>
    <row r="1580">
      <c r="A1580" s="2">
        <f>IFERROR(__xludf.DUMMYFUNCTION("""COMPUTED_VALUE"""),33679.666666666664)</f>
        <v>33679.66667</v>
      </c>
      <c r="B1580" s="1">
        <f>IFERROR(__xludf.DUMMYFUNCTION("""COMPUTED_VALUE"""),405.85)</f>
        <v>405.85</v>
      </c>
      <c r="C1580" s="1">
        <f>IFERROR(__xludf.DUMMYFUNCTION("""COMPUTED_VALUE"""),406.4)</f>
        <v>406.4</v>
      </c>
      <c r="D1580" s="1">
        <f>IFERROR(__xludf.DUMMYFUNCTION("""COMPUTED_VALUE"""),403.55)</f>
        <v>403.55</v>
      </c>
      <c r="E1580" s="1">
        <f>IFERROR(__xludf.DUMMYFUNCTION("""COMPUTED_VALUE"""),406.39)</f>
        <v>406.39</v>
      </c>
      <c r="F1580" s="1">
        <f>IFERROR(__xludf.DUMMYFUNCTION("""COMPUTED_VALUE"""),2.4367188E7)</f>
        <v>24367188</v>
      </c>
    </row>
    <row r="1581">
      <c r="A1581" s="2">
        <f>IFERROR(__xludf.DUMMYFUNCTION("""COMPUTED_VALUE"""),33680.666666666664)</f>
        <v>33680.66667</v>
      </c>
      <c r="B1581" s="1">
        <f>IFERROR(__xludf.DUMMYFUNCTION("""COMPUTED_VALUE"""),406.39)</f>
        <v>406.39</v>
      </c>
      <c r="C1581" s="1">
        <f>IFERROR(__xludf.DUMMYFUNCTION("""COMPUTED_VALUE"""),409.72)</f>
        <v>409.72</v>
      </c>
      <c r="D1581" s="1">
        <f>IFERROR(__xludf.DUMMYFUNCTION("""COMPUTED_VALUE"""),406.39)</f>
        <v>406.39</v>
      </c>
      <c r="E1581" s="1">
        <f>IFERROR(__xludf.DUMMYFUNCTION("""COMPUTED_VALUE"""),409.58)</f>
        <v>409.58</v>
      </c>
      <c r="F1581" s="1">
        <f>IFERROR(__xludf.DUMMYFUNCTION("""COMPUTED_VALUE"""),2.9257812E7)</f>
        <v>29257812</v>
      </c>
    </row>
    <row r="1582">
      <c r="A1582" s="2">
        <f>IFERROR(__xludf.DUMMYFUNCTION("""COMPUTED_VALUE"""),33681.666666666664)</f>
        <v>33681.66667</v>
      </c>
      <c r="B1582" s="1">
        <f>IFERROR(__xludf.DUMMYFUNCTION("""COMPUTED_VALUE"""),409.58)</f>
        <v>409.58</v>
      </c>
      <c r="C1582" s="1">
        <f>IFERROR(__xludf.DUMMYFUNCTION("""COMPUTED_VALUE"""),410.84)</f>
        <v>410.84</v>
      </c>
      <c r="D1582" s="1">
        <f>IFERROR(__xludf.DUMMYFUNCTION("""COMPUTED_VALUE"""),408.23)</f>
        <v>408.23</v>
      </c>
      <c r="E1582" s="1">
        <f>IFERROR(__xludf.DUMMYFUNCTION("""COMPUTED_VALUE"""),409.15)</f>
        <v>409.15</v>
      </c>
      <c r="F1582" s="1">
        <f>IFERROR(__xludf.DUMMYFUNCTION("""COMPUTED_VALUE"""),2.995625E7)</f>
        <v>29956250</v>
      </c>
    </row>
    <row r="1583">
      <c r="A1583" s="2">
        <f>IFERROR(__xludf.DUMMYFUNCTION("""COMPUTED_VALUE"""),33682.666666666664)</f>
        <v>33682.66667</v>
      </c>
      <c r="B1583" s="1">
        <f>IFERROR(__xludf.DUMMYFUNCTION("""COMPUTED_VALUE"""),409.15)</f>
        <v>409.15</v>
      </c>
      <c r="C1583" s="1">
        <f>IFERROR(__xludf.DUMMYFUNCTION("""COMPUTED_VALUE"""),410.57)</f>
        <v>410.57</v>
      </c>
      <c r="D1583" s="1">
        <f>IFERROR(__xludf.DUMMYFUNCTION("""COMPUTED_VALUE"""),409.12)</f>
        <v>409.12</v>
      </c>
      <c r="E1583" s="1">
        <f>IFERROR(__xludf.DUMMYFUNCTION("""COMPUTED_VALUE"""),409.8)</f>
        <v>409.8</v>
      </c>
      <c r="F1583" s="1">
        <f>IFERROR(__xludf.DUMMYFUNCTION("""COMPUTED_VALUE"""),3.0829688E7)</f>
        <v>30829688</v>
      </c>
    </row>
    <row r="1584">
      <c r="A1584" s="2">
        <f>IFERROR(__xludf.DUMMYFUNCTION("""COMPUTED_VALUE"""),33683.666666666664)</f>
        <v>33683.66667</v>
      </c>
      <c r="B1584" s="1">
        <f>IFERROR(__xludf.DUMMYFUNCTION("""COMPUTED_VALUE"""),409.8)</f>
        <v>409.8</v>
      </c>
      <c r="C1584" s="1">
        <f>IFERROR(__xludf.DUMMYFUNCTION("""COMPUTED_VALUE"""),411.3)</f>
        <v>411.3</v>
      </c>
      <c r="D1584" s="1">
        <f>IFERROR(__xludf.DUMMYFUNCTION("""COMPUTED_VALUE"""),408.53)</f>
        <v>408.53</v>
      </c>
      <c r="E1584" s="1">
        <f>IFERROR(__xludf.DUMMYFUNCTION("""COMPUTED_VALUE"""),411.3)</f>
        <v>411.3</v>
      </c>
      <c r="F1584" s="1">
        <f>IFERROR(__xludf.DUMMYFUNCTION("""COMPUTED_VALUE"""),3.8470312E7)</f>
        <v>38470312</v>
      </c>
    </row>
    <row r="1585">
      <c r="A1585" s="2">
        <f>IFERROR(__xludf.DUMMYFUNCTION("""COMPUTED_VALUE"""),33686.666666666664)</f>
        <v>33686.66667</v>
      </c>
      <c r="B1585" s="1">
        <f>IFERROR(__xludf.DUMMYFUNCTION("""COMPUTED_VALUE"""),411.29)</f>
        <v>411.29</v>
      </c>
      <c r="C1585" s="1">
        <f>IFERROR(__xludf.DUMMYFUNCTION("""COMPUTED_VALUE"""),411.29)</f>
        <v>411.29</v>
      </c>
      <c r="D1585" s="1">
        <f>IFERROR(__xludf.DUMMYFUNCTION("""COMPUTED_VALUE"""),408.87)</f>
        <v>408.87</v>
      </c>
      <c r="E1585" s="1">
        <f>IFERROR(__xludf.DUMMYFUNCTION("""COMPUTED_VALUE"""),409.91)</f>
        <v>409.91</v>
      </c>
      <c r="F1585" s="1">
        <f>IFERROR(__xludf.DUMMYFUNCTION("""COMPUTED_VALUE"""),2.4539062E7)</f>
        <v>24539062</v>
      </c>
    </row>
    <row r="1586">
      <c r="A1586" s="2">
        <f>IFERROR(__xludf.DUMMYFUNCTION("""COMPUTED_VALUE"""),33687.666666666664)</f>
        <v>33687.66667</v>
      </c>
      <c r="B1586" s="1">
        <f>IFERROR(__xludf.DUMMYFUNCTION("""COMPUTED_VALUE"""),409.91)</f>
        <v>409.91</v>
      </c>
      <c r="C1586" s="1">
        <f>IFERROR(__xludf.DUMMYFUNCTION("""COMPUTED_VALUE"""),411.43)</f>
        <v>411.43</v>
      </c>
      <c r="D1586" s="1">
        <f>IFERROR(__xludf.DUMMYFUNCTION("""COMPUTED_VALUE"""),407.99)</f>
        <v>407.99</v>
      </c>
      <c r="E1586" s="1">
        <f>IFERROR(__xludf.DUMMYFUNCTION("""COMPUTED_VALUE"""),408.88)</f>
        <v>408.88</v>
      </c>
      <c r="F1586" s="1">
        <f>IFERROR(__xludf.DUMMYFUNCTION("""COMPUTED_VALUE"""),2.9939062E7)</f>
        <v>29939062</v>
      </c>
    </row>
    <row r="1587">
      <c r="A1587" s="2">
        <f>IFERROR(__xludf.DUMMYFUNCTION("""COMPUTED_VALUE"""),33688.666666666664)</f>
        <v>33688.66667</v>
      </c>
      <c r="B1587" s="1">
        <f>IFERROR(__xludf.DUMMYFUNCTION("""COMPUTED_VALUE"""),408.88)</f>
        <v>408.88</v>
      </c>
      <c r="C1587" s="1">
        <f>IFERROR(__xludf.DUMMYFUNCTION("""COMPUTED_VALUE"""),409.87)</f>
        <v>409.87</v>
      </c>
      <c r="D1587" s="1">
        <f>IFERROR(__xludf.DUMMYFUNCTION("""COMPUTED_VALUE"""),407.52)</f>
        <v>407.52</v>
      </c>
      <c r="E1587" s="1">
        <f>IFERROR(__xludf.DUMMYFUNCTION("""COMPUTED_VALUE"""),407.52)</f>
        <v>407.52</v>
      </c>
      <c r="F1587" s="1">
        <f>IFERROR(__xludf.DUMMYFUNCTION("""COMPUTED_VALUE"""),3.0101562E7)</f>
        <v>30101562</v>
      </c>
    </row>
    <row r="1588">
      <c r="A1588" s="2">
        <f>IFERROR(__xludf.DUMMYFUNCTION("""COMPUTED_VALUE"""),33689.666666666664)</f>
        <v>33689.66667</v>
      </c>
      <c r="B1588" s="1">
        <f>IFERROR(__xludf.DUMMYFUNCTION("""COMPUTED_VALUE"""),407.52)</f>
        <v>407.52</v>
      </c>
      <c r="C1588" s="1">
        <f>IFERROR(__xludf.DUMMYFUNCTION("""COMPUTED_VALUE"""),409.44)</f>
        <v>409.44</v>
      </c>
      <c r="D1588" s="1">
        <f>IFERROR(__xludf.DUMMYFUNCTION("""COMPUTED_VALUE"""),406.75)</f>
        <v>406.75</v>
      </c>
      <c r="E1588" s="1">
        <f>IFERROR(__xludf.DUMMYFUNCTION("""COMPUTED_VALUE"""),407.86)</f>
        <v>407.86</v>
      </c>
      <c r="F1588" s="1">
        <f>IFERROR(__xludf.DUMMYFUNCTION("""COMPUTED_VALUE"""),2.76125E7)</f>
        <v>27612500</v>
      </c>
    </row>
    <row r="1589">
      <c r="A1589" s="2">
        <f>IFERROR(__xludf.DUMMYFUNCTION("""COMPUTED_VALUE"""),33690.666666666664)</f>
        <v>33690.66667</v>
      </c>
      <c r="B1589" s="1">
        <f>IFERROR(__xludf.DUMMYFUNCTION("""COMPUTED_VALUE"""),407.86)</f>
        <v>407.86</v>
      </c>
      <c r="C1589" s="1">
        <f>IFERROR(__xludf.DUMMYFUNCTION("""COMPUTED_VALUE"""),407.86)</f>
        <v>407.86</v>
      </c>
      <c r="D1589" s="1">
        <f>IFERROR(__xludf.DUMMYFUNCTION("""COMPUTED_VALUE"""),402.87)</f>
        <v>402.87</v>
      </c>
      <c r="E1589" s="1">
        <f>IFERROR(__xludf.DUMMYFUNCTION("""COMPUTED_VALUE"""),403.5)</f>
        <v>403.5</v>
      </c>
      <c r="F1589" s="1">
        <f>IFERROR(__xludf.DUMMYFUNCTION("""COMPUTED_VALUE"""),2.5959376E7)</f>
        <v>25959376</v>
      </c>
    </row>
    <row r="1590">
      <c r="A1590" s="2">
        <f>IFERROR(__xludf.DUMMYFUNCTION("""COMPUTED_VALUE"""),33693.666666666664)</f>
        <v>33693.66667</v>
      </c>
      <c r="B1590" s="1">
        <f>IFERROR(__xludf.DUMMYFUNCTION("""COMPUTED_VALUE"""),403.5)</f>
        <v>403.5</v>
      </c>
      <c r="C1590" s="1">
        <f>IFERROR(__xludf.DUMMYFUNCTION("""COMPUTED_VALUE"""),404.3)</f>
        <v>404.3</v>
      </c>
      <c r="D1590" s="1">
        <f>IFERROR(__xludf.DUMMYFUNCTION("""COMPUTED_VALUE"""),402.97)</f>
        <v>402.97</v>
      </c>
      <c r="E1590" s="1">
        <f>IFERROR(__xludf.DUMMYFUNCTION("""COMPUTED_VALUE"""),403.0)</f>
        <v>403</v>
      </c>
      <c r="F1590" s="1">
        <f>IFERROR(__xludf.DUMMYFUNCTION("""COMPUTED_VALUE"""),2.0935938E7)</f>
        <v>20935938</v>
      </c>
    </row>
    <row r="1591">
      <c r="A1591" s="2">
        <f>IFERROR(__xludf.DUMMYFUNCTION("""COMPUTED_VALUE"""),33694.666666666664)</f>
        <v>33694.66667</v>
      </c>
      <c r="B1591" s="1">
        <f>IFERROR(__xludf.DUMMYFUNCTION("""COMPUTED_VALUE"""),403.0)</f>
        <v>403</v>
      </c>
      <c r="C1591" s="1">
        <f>IFERROR(__xludf.DUMMYFUNCTION("""COMPUTED_VALUE"""),405.21)</f>
        <v>405.21</v>
      </c>
      <c r="D1591" s="1">
        <f>IFERROR(__xludf.DUMMYFUNCTION("""COMPUTED_VALUE"""),402.22)</f>
        <v>402.22</v>
      </c>
      <c r="E1591" s="1">
        <f>IFERROR(__xludf.DUMMYFUNCTION("""COMPUTED_VALUE"""),403.69)</f>
        <v>403.69</v>
      </c>
      <c r="F1591" s="1">
        <f>IFERROR(__xludf.DUMMYFUNCTION("""COMPUTED_VALUE"""),2.849375E7)</f>
        <v>28493750</v>
      </c>
    </row>
    <row r="1592">
      <c r="A1592" s="2">
        <f>IFERROR(__xludf.DUMMYFUNCTION("""COMPUTED_VALUE"""),33695.666666666664)</f>
        <v>33695.66667</v>
      </c>
      <c r="B1592" s="1">
        <f>IFERROR(__xludf.DUMMYFUNCTION("""COMPUTED_VALUE"""),403.67)</f>
        <v>403.67</v>
      </c>
      <c r="C1592" s="1">
        <f>IFERROR(__xludf.DUMMYFUNCTION("""COMPUTED_VALUE"""),404.5)</f>
        <v>404.5</v>
      </c>
      <c r="D1592" s="1">
        <f>IFERROR(__xludf.DUMMYFUNCTION("""COMPUTED_VALUE"""),400.75)</f>
        <v>400.75</v>
      </c>
      <c r="E1592" s="1">
        <f>IFERROR(__xludf.DUMMYFUNCTION("""COMPUTED_VALUE"""),404.23)</f>
        <v>404.23</v>
      </c>
      <c r="F1592" s="1">
        <f>IFERROR(__xludf.DUMMYFUNCTION("""COMPUTED_VALUE"""),2.9145312E7)</f>
        <v>29145312</v>
      </c>
    </row>
    <row r="1593">
      <c r="A1593" s="2">
        <f>IFERROR(__xludf.DUMMYFUNCTION("""COMPUTED_VALUE"""),33696.666666666664)</f>
        <v>33696.66667</v>
      </c>
      <c r="B1593" s="1">
        <f>IFERROR(__xludf.DUMMYFUNCTION("""COMPUTED_VALUE"""),404.17)</f>
        <v>404.17</v>
      </c>
      <c r="C1593" s="1">
        <f>IFERROR(__xludf.DUMMYFUNCTION("""COMPUTED_VALUE"""),404.63)</f>
        <v>404.63</v>
      </c>
      <c r="D1593" s="1">
        <f>IFERROR(__xludf.DUMMYFUNCTION("""COMPUTED_VALUE"""),399.28)</f>
        <v>399.28</v>
      </c>
      <c r="E1593" s="1">
        <f>IFERROR(__xludf.DUMMYFUNCTION("""COMPUTED_VALUE"""),400.5)</f>
        <v>400.5</v>
      </c>
      <c r="F1593" s="1">
        <f>IFERROR(__xludf.DUMMYFUNCTION("""COMPUTED_VALUE"""),2.8939062E7)</f>
        <v>28939062</v>
      </c>
    </row>
    <row r="1594">
      <c r="A1594" s="2">
        <f>IFERROR(__xludf.DUMMYFUNCTION("""COMPUTED_VALUE"""),33697.666666666664)</f>
        <v>33697.66667</v>
      </c>
      <c r="B1594" s="1">
        <f>IFERROR(__xludf.DUMMYFUNCTION("""COMPUTED_VALUE"""),400.5)</f>
        <v>400.5</v>
      </c>
      <c r="C1594" s="1">
        <f>IFERROR(__xludf.DUMMYFUNCTION("""COMPUTED_VALUE"""),401.59)</f>
        <v>401.59</v>
      </c>
      <c r="D1594" s="1">
        <f>IFERROR(__xludf.DUMMYFUNCTION("""COMPUTED_VALUE"""),398.21)</f>
        <v>398.21</v>
      </c>
      <c r="E1594" s="1">
        <f>IFERROR(__xludf.DUMMYFUNCTION("""COMPUTED_VALUE"""),401.55)</f>
        <v>401.55</v>
      </c>
      <c r="F1594" s="1">
        <f>IFERROR(__xludf.DUMMYFUNCTION("""COMPUTED_VALUE"""),2.9465624E7)</f>
        <v>29465624</v>
      </c>
    </row>
    <row r="1595">
      <c r="A1595" s="2">
        <f>IFERROR(__xludf.DUMMYFUNCTION("""COMPUTED_VALUE"""),33700.666666666664)</f>
        <v>33700.66667</v>
      </c>
      <c r="B1595" s="1">
        <f>IFERROR(__xludf.DUMMYFUNCTION("""COMPUTED_VALUE"""),401.54)</f>
        <v>401.54</v>
      </c>
      <c r="C1595" s="1">
        <f>IFERROR(__xludf.DUMMYFUNCTION("""COMPUTED_VALUE"""),405.93)</f>
        <v>405.93</v>
      </c>
      <c r="D1595" s="1">
        <f>IFERROR(__xludf.DUMMYFUNCTION("""COMPUTED_VALUE"""),401.52)</f>
        <v>401.52</v>
      </c>
      <c r="E1595" s="1">
        <f>IFERROR(__xludf.DUMMYFUNCTION("""COMPUTED_VALUE"""),405.59)</f>
        <v>405.59</v>
      </c>
      <c r="F1595" s="1">
        <f>IFERROR(__xludf.DUMMYFUNCTION("""COMPUTED_VALUE"""),2.8110938E7)</f>
        <v>28110938</v>
      </c>
    </row>
    <row r="1596">
      <c r="A1596" s="2">
        <f>IFERROR(__xludf.DUMMYFUNCTION("""COMPUTED_VALUE"""),33701.666666666664)</f>
        <v>33701.66667</v>
      </c>
      <c r="B1596" s="1">
        <f>IFERROR(__xludf.DUMMYFUNCTION("""COMPUTED_VALUE"""),405.59)</f>
        <v>405.59</v>
      </c>
      <c r="C1596" s="1">
        <f>IFERROR(__xludf.DUMMYFUNCTION("""COMPUTED_VALUE"""),405.75)</f>
        <v>405.75</v>
      </c>
      <c r="D1596" s="1">
        <f>IFERROR(__xludf.DUMMYFUNCTION("""COMPUTED_VALUE"""),397.97)</f>
        <v>397.97</v>
      </c>
      <c r="E1596" s="1">
        <f>IFERROR(__xludf.DUMMYFUNCTION("""COMPUTED_VALUE"""),398.06)</f>
        <v>398.06</v>
      </c>
      <c r="F1596" s="1">
        <f>IFERROR(__xludf.DUMMYFUNCTION("""COMPUTED_VALUE"""),3.2064062E7)</f>
        <v>32064062</v>
      </c>
    </row>
    <row r="1597">
      <c r="A1597" s="2">
        <f>IFERROR(__xludf.DUMMYFUNCTION("""COMPUTED_VALUE"""),33702.666666666664)</f>
        <v>33702.66667</v>
      </c>
      <c r="B1597" s="1">
        <f>IFERROR(__xludf.DUMMYFUNCTION("""COMPUTED_VALUE"""),398.05)</f>
        <v>398.05</v>
      </c>
      <c r="C1597" s="1">
        <f>IFERROR(__xludf.DUMMYFUNCTION("""COMPUTED_VALUE"""),398.05)</f>
        <v>398.05</v>
      </c>
      <c r="D1597" s="1">
        <f>IFERROR(__xludf.DUMMYFUNCTION("""COMPUTED_VALUE"""),392.41)</f>
        <v>392.41</v>
      </c>
      <c r="E1597" s="1">
        <f>IFERROR(__xludf.DUMMYFUNCTION("""COMPUTED_VALUE"""),394.5)</f>
        <v>394.5</v>
      </c>
      <c r="F1597" s="1">
        <f>IFERROR(__xludf.DUMMYFUNCTION("""COMPUTED_VALUE"""),3.895E7)</f>
        <v>38950000</v>
      </c>
    </row>
    <row r="1598">
      <c r="A1598" s="2">
        <f>IFERROR(__xludf.DUMMYFUNCTION("""COMPUTED_VALUE"""),33703.666666666664)</f>
        <v>33703.66667</v>
      </c>
      <c r="B1598" s="1">
        <f>IFERROR(__xludf.DUMMYFUNCTION("""COMPUTED_VALUE"""),394.5)</f>
        <v>394.5</v>
      </c>
      <c r="C1598" s="1">
        <f>IFERROR(__xludf.DUMMYFUNCTION("""COMPUTED_VALUE"""),401.04)</f>
        <v>401.04</v>
      </c>
      <c r="D1598" s="1">
        <f>IFERROR(__xludf.DUMMYFUNCTION("""COMPUTED_VALUE"""),394.5)</f>
        <v>394.5</v>
      </c>
      <c r="E1598" s="1">
        <f>IFERROR(__xludf.DUMMYFUNCTION("""COMPUTED_VALUE"""),400.64)</f>
        <v>400.64</v>
      </c>
      <c r="F1598" s="1">
        <f>IFERROR(__xludf.DUMMYFUNCTION("""COMPUTED_VALUE"""),3.6160936E7)</f>
        <v>36160936</v>
      </c>
    </row>
    <row r="1599">
      <c r="A1599" s="2">
        <f>IFERROR(__xludf.DUMMYFUNCTION("""COMPUTED_VALUE"""),33704.666666666664)</f>
        <v>33704.66667</v>
      </c>
      <c r="B1599" s="1">
        <f>IFERROR(__xludf.DUMMYFUNCTION("""COMPUTED_VALUE"""),400.59)</f>
        <v>400.59</v>
      </c>
      <c r="C1599" s="1">
        <f>IFERROR(__xludf.DUMMYFUNCTION("""COMPUTED_VALUE"""),405.12)</f>
        <v>405.12</v>
      </c>
      <c r="D1599" s="1">
        <f>IFERROR(__xludf.DUMMYFUNCTION("""COMPUTED_VALUE"""),400.59)</f>
        <v>400.59</v>
      </c>
      <c r="E1599" s="1">
        <f>IFERROR(__xludf.DUMMYFUNCTION("""COMPUTED_VALUE"""),404.29)</f>
        <v>404.29</v>
      </c>
      <c r="F1599" s="1">
        <f>IFERROR(__xludf.DUMMYFUNCTION("""COMPUTED_VALUE"""),3.1176562E7)</f>
        <v>31176562</v>
      </c>
    </row>
    <row r="1600">
      <c r="A1600" s="2">
        <f>IFERROR(__xludf.DUMMYFUNCTION("""COMPUTED_VALUE"""),33707.666666666664)</f>
        <v>33707.66667</v>
      </c>
      <c r="B1600" s="1">
        <f>IFERROR(__xludf.DUMMYFUNCTION("""COMPUTED_VALUE"""),404.28)</f>
        <v>404.28</v>
      </c>
      <c r="C1600" s="1">
        <f>IFERROR(__xludf.DUMMYFUNCTION("""COMPUTED_VALUE"""),406.08)</f>
        <v>406.08</v>
      </c>
      <c r="D1600" s="1">
        <f>IFERROR(__xludf.DUMMYFUNCTION("""COMPUTED_VALUE"""),403.9)</f>
        <v>403.9</v>
      </c>
      <c r="E1600" s="1">
        <f>IFERROR(__xludf.DUMMYFUNCTION("""COMPUTED_VALUE"""),406.08)</f>
        <v>406.08</v>
      </c>
      <c r="F1600" s="1">
        <f>IFERROR(__xludf.DUMMYFUNCTION("""COMPUTED_VALUE"""),2.2365624E7)</f>
        <v>22365624</v>
      </c>
    </row>
    <row r="1601">
      <c r="A1601" s="2">
        <f>IFERROR(__xludf.DUMMYFUNCTION("""COMPUTED_VALUE"""),33708.666666666664)</f>
        <v>33708.66667</v>
      </c>
      <c r="B1601" s="1">
        <f>IFERROR(__xludf.DUMMYFUNCTION("""COMPUTED_VALUE"""),406.08)</f>
        <v>406.08</v>
      </c>
      <c r="C1601" s="1">
        <f>IFERROR(__xludf.DUMMYFUNCTION("""COMPUTED_VALUE"""),413.86)</f>
        <v>413.86</v>
      </c>
      <c r="D1601" s="1">
        <f>IFERROR(__xludf.DUMMYFUNCTION("""COMPUTED_VALUE"""),406.08)</f>
        <v>406.08</v>
      </c>
      <c r="E1601" s="1">
        <f>IFERROR(__xludf.DUMMYFUNCTION("""COMPUTED_VALUE"""),412.39)</f>
        <v>412.39</v>
      </c>
      <c r="F1601" s="1">
        <f>IFERROR(__xludf.DUMMYFUNCTION("""COMPUTED_VALUE"""),3.6114064E7)</f>
        <v>36114064</v>
      </c>
    </row>
    <row r="1602">
      <c r="A1602" s="2">
        <f>IFERROR(__xludf.DUMMYFUNCTION("""COMPUTED_VALUE"""),33709.666666666664)</f>
        <v>33709.66667</v>
      </c>
      <c r="B1602" s="1">
        <f>IFERROR(__xludf.DUMMYFUNCTION("""COMPUTED_VALUE"""),412.39)</f>
        <v>412.39</v>
      </c>
      <c r="C1602" s="1">
        <f>IFERROR(__xludf.DUMMYFUNCTION("""COMPUTED_VALUE"""),416.28)</f>
        <v>416.28</v>
      </c>
      <c r="D1602" s="1">
        <f>IFERROR(__xludf.DUMMYFUNCTION("""COMPUTED_VALUE"""),412.39)</f>
        <v>412.39</v>
      </c>
      <c r="E1602" s="1">
        <f>IFERROR(__xludf.DUMMYFUNCTION("""COMPUTED_VALUE"""),416.28)</f>
        <v>416.28</v>
      </c>
      <c r="F1602" s="1">
        <f>IFERROR(__xludf.DUMMYFUNCTION("""COMPUTED_VALUE"""),3.5892188E7)</f>
        <v>35892188</v>
      </c>
    </row>
    <row r="1603">
      <c r="A1603" s="2">
        <f>IFERROR(__xludf.DUMMYFUNCTION("""COMPUTED_VALUE"""),33710.666666666664)</f>
        <v>33710.66667</v>
      </c>
      <c r="B1603" s="1">
        <f>IFERROR(__xludf.DUMMYFUNCTION("""COMPUTED_VALUE"""),416.28)</f>
        <v>416.28</v>
      </c>
      <c r="C1603" s="1">
        <f>IFERROR(__xludf.DUMMYFUNCTION("""COMPUTED_VALUE"""),416.28)</f>
        <v>416.28</v>
      </c>
      <c r="D1603" s="1">
        <f>IFERROR(__xludf.DUMMYFUNCTION("""COMPUTED_VALUE"""),413.4)</f>
        <v>413.4</v>
      </c>
      <c r="E1603" s="1">
        <f>IFERROR(__xludf.DUMMYFUNCTION("""COMPUTED_VALUE"""),416.04)</f>
        <v>416.04</v>
      </c>
      <c r="F1603" s="1">
        <f>IFERROR(__xludf.DUMMYFUNCTION("""COMPUTED_VALUE"""),3.6442188E7)</f>
        <v>36442188</v>
      </c>
    </row>
    <row r="1604">
      <c r="A1604" s="2">
        <f>IFERROR(__xludf.DUMMYFUNCTION("""COMPUTED_VALUE"""),33714.666666666664)</f>
        <v>33714.66667</v>
      </c>
      <c r="B1604" s="1">
        <f>IFERROR(__xludf.DUMMYFUNCTION("""COMPUTED_VALUE"""),416.05)</f>
        <v>416.05</v>
      </c>
      <c r="C1604" s="1">
        <f>IFERROR(__xludf.DUMMYFUNCTION("""COMPUTED_VALUE"""),416.05)</f>
        <v>416.05</v>
      </c>
      <c r="D1604" s="1">
        <f>IFERROR(__xludf.DUMMYFUNCTION("""COMPUTED_VALUE"""),407.93)</f>
        <v>407.93</v>
      </c>
      <c r="E1604" s="1">
        <f>IFERROR(__xludf.DUMMYFUNCTION("""COMPUTED_VALUE"""),410.18)</f>
        <v>410.18</v>
      </c>
      <c r="F1604" s="1">
        <f>IFERROR(__xludf.DUMMYFUNCTION("""COMPUTED_VALUE"""),2.9996876E7)</f>
        <v>29996876</v>
      </c>
    </row>
    <row r="1605">
      <c r="A1605" s="2">
        <f>IFERROR(__xludf.DUMMYFUNCTION("""COMPUTED_VALUE"""),33715.666666666664)</f>
        <v>33715.66667</v>
      </c>
      <c r="B1605" s="1">
        <f>IFERROR(__xludf.DUMMYFUNCTION("""COMPUTED_VALUE"""),410.16)</f>
        <v>410.16</v>
      </c>
      <c r="C1605" s="1">
        <f>IFERROR(__xludf.DUMMYFUNCTION("""COMPUTED_VALUE"""),411.09)</f>
        <v>411.09</v>
      </c>
      <c r="D1605" s="1">
        <f>IFERROR(__xludf.DUMMYFUNCTION("""COMPUTED_VALUE"""),408.2)</f>
        <v>408.2</v>
      </c>
      <c r="E1605" s="1">
        <f>IFERROR(__xludf.DUMMYFUNCTION("""COMPUTED_VALUE"""),410.26)</f>
        <v>410.26</v>
      </c>
      <c r="F1605" s="1">
        <f>IFERROR(__xludf.DUMMYFUNCTION("""COMPUTED_VALUE"""),3.3509376E7)</f>
        <v>33509376</v>
      </c>
    </row>
    <row r="1606">
      <c r="A1606" s="2">
        <f>IFERROR(__xludf.DUMMYFUNCTION("""COMPUTED_VALUE"""),33716.666666666664)</f>
        <v>33716.66667</v>
      </c>
      <c r="B1606" s="1">
        <f>IFERROR(__xludf.DUMMYFUNCTION("""COMPUTED_VALUE"""),410.26)</f>
        <v>410.26</v>
      </c>
      <c r="C1606" s="1">
        <f>IFERROR(__xludf.DUMMYFUNCTION("""COMPUTED_VALUE"""),411.3)</f>
        <v>411.3</v>
      </c>
      <c r="D1606" s="1">
        <f>IFERROR(__xludf.DUMMYFUNCTION("""COMPUTED_VALUE"""),409.23)</f>
        <v>409.23</v>
      </c>
      <c r="E1606" s="1">
        <f>IFERROR(__xludf.DUMMYFUNCTION("""COMPUTED_VALUE"""),409.81)</f>
        <v>409.81</v>
      </c>
      <c r="F1606" s="1">
        <f>IFERROR(__xludf.DUMMYFUNCTION("""COMPUTED_VALUE"""),3.4195312E7)</f>
        <v>34195312</v>
      </c>
    </row>
    <row r="1607">
      <c r="A1607" s="2">
        <f>IFERROR(__xludf.DUMMYFUNCTION("""COMPUTED_VALUE"""),33717.666666666664)</f>
        <v>33717.66667</v>
      </c>
      <c r="B1607" s="1">
        <f>IFERROR(__xludf.DUMMYFUNCTION("""COMPUTED_VALUE"""),409.81)</f>
        <v>409.81</v>
      </c>
      <c r="C1607" s="1">
        <f>IFERROR(__xludf.DUMMYFUNCTION("""COMPUTED_VALUE"""),411.6)</f>
        <v>411.6</v>
      </c>
      <c r="D1607" s="1">
        <f>IFERROR(__xludf.DUMMYFUNCTION("""COMPUTED_VALUE"""),406.86)</f>
        <v>406.86</v>
      </c>
      <c r="E1607" s="1">
        <f>IFERROR(__xludf.DUMMYFUNCTION("""COMPUTED_VALUE"""),411.6)</f>
        <v>411.6</v>
      </c>
      <c r="F1607" s="1">
        <f>IFERROR(__xludf.DUMMYFUNCTION("""COMPUTED_VALUE"""),3.6853124E7)</f>
        <v>36853124</v>
      </c>
    </row>
    <row r="1608">
      <c r="A1608" s="2">
        <f>IFERROR(__xludf.DUMMYFUNCTION("""COMPUTED_VALUE"""),33718.666666666664)</f>
        <v>33718.66667</v>
      </c>
      <c r="B1608" s="1">
        <f>IFERROR(__xludf.DUMMYFUNCTION("""COMPUTED_VALUE"""),411.6)</f>
        <v>411.6</v>
      </c>
      <c r="C1608" s="1">
        <f>IFERROR(__xludf.DUMMYFUNCTION("""COMPUTED_VALUE"""),412.48)</f>
        <v>412.48</v>
      </c>
      <c r="D1608" s="1">
        <f>IFERROR(__xludf.DUMMYFUNCTION("""COMPUTED_VALUE"""),408.74)</f>
        <v>408.74</v>
      </c>
      <c r="E1608" s="1">
        <f>IFERROR(__xludf.DUMMYFUNCTION("""COMPUTED_VALUE"""),409.02)</f>
        <v>409.02</v>
      </c>
      <c r="F1608" s="1">
        <f>IFERROR(__xludf.DUMMYFUNCTION("""COMPUTED_VALUE"""),3.1142188E7)</f>
        <v>31142188</v>
      </c>
    </row>
    <row r="1609">
      <c r="A1609" s="2">
        <f>IFERROR(__xludf.DUMMYFUNCTION("""COMPUTED_VALUE"""),33721.666666666664)</f>
        <v>33721.66667</v>
      </c>
      <c r="B1609" s="1">
        <f>IFERROR(__xludf.DUMMYFUNCTION("""COMPUTED_VALUE"""),409.03)</f>
        <v>409.03</v>
      </c>
      <c r="C1609" s="1">
        <f>IFERROR(__xludf.DUMMYFUNCTION("""COMPUTED_VALUE"""),409.6)</f>
        <v>409.6</v>
      </c>
      <c r="D1609" s="1">
        <f>IFERROR(__xludf.DUMMYFUNCTION("""COMPUTED_VALUE"""),407.64)</f>
        <v>407.64</v>
      </c>
      <c r="E1609" s="1">
        <f>IFERROR(__xludf.DUMMYFUNCTION("""COMPUTED_VALUE"""),408.45)</f>
        <v>408.45</v>
      </c>
      <c r="F1609" s="1">
        <f>IFERROR(__xludf.DUMMYFUNCTION("""COMPUTED_VALUE"""),2.7015624E7)</f>
        <v>27015624</v>
      </c>
    </row>
    <row r="1610">
      <c r="A1610" s="2">
        <f>IFERROR(__xludf.DUMMYFUNCTION("""COMPUTED_VALUE"""),33722.666666666664)</f>
        <v>33722.66667</v>
      </c>
      <c r="B1610" s="1">
        <f>IFERROR(__xludf.DUMMYFUNCTION("""COMPUTED_VALUE"""),408.45)</f>
        <v>408.45</v>
      </c>
      <c r="C1610" s="1">
        <f>IFERROR(__xludf.DUMMYFUNCTION("""COMPUTED_VALUE"""),409.69)</f>
        <v>409.69</v>
      </c>
      <c r="D1610" s="1">
        <f>IFERROR(__xludf.DUMMYFUNCTION("""COMPUTED_VALUE"""),406.33)</f>
        <v>406.33</v>
      </c>
      <c r="E1610" s="1">
        <f>IFERROR(__xludf.DUMMYFUNCTION("""COMPUTED_VALUE"""),409.11)</f>
        <v>409.11</v>
      </c>
      <c r="F1610" s="1">
        <f>IFERROR(__xludf.DUMMYFUNCTION("""COMPUTED_VALUE"""),2.9565624E7)</f>
        <v>29565624</v>
      </c>
    </row>
    <row r="1611">
      <c r="A1611" s="2">
        <f>IFERROR(__xludf.DUMMYFUNCTION("""COMPUTED_VALUE"""),33723.666666666664)</f>
        <v>33723.66667</v>
      </c>
      <c r="B1611" s="1">
        <f>IFERROR(__xludf.DUMMYFUNCTION("""COMPUTED_VALUE"""),409.11)</f>
        <v>409.11</v>
      </c>
      <c r="C1611" s="1">
        <f>IFERROR(__xludf.DUMMYFUNCTION("""COMPUTED_VALUE"""),412.31)</f>
        <v>412.31</v>
      </c>
      <c r="D1611" s="1">
        <f>IFERROR(__xludf.DUMMYFUNCTION("""COMPUTED_VALUE"""),409.11)</f>
        <v>409.11</v>
      </c>
      <c r="E1611" s="1">
        <f>IFERROR(__xludf.DUMMYFUNCTION("""COMPUTED_VALUE"""),412.02)</f>
        <v>412.02</v>
      </c>
      <c r="F1611" s="1">
        <f>IFERROR(__xludf.DUMMYFUNCTION("""COMPUTED_VALUE"""),3.2309376E7)</f>
        <v>32309376</v>
      </c>
    </row>
    <row r="1612">
      <c r="A1612" s="2">
        <f>IFERROR(__xludf.DUMMYFUNCTION("""COMPUTED_VALUE"""),33724.666666666664)</f>
        <v>33724.66667</v>
      </c>
      <c r="B1612" s="1">
        <f>IFERROR(__xludf.DUMMYFUNCTION("""COMPUTED_VALUE"""),412.02)</f>
        <v>412.02</v>
      </c>
      <c r="C1612" s="1">
        <f>IFERROR(__xludf.DUMMYFUNCTION("""COMPUTED_VALUE"""),414.95)</f>
        <v>414.95</v>
      </c>
      <c r="D1612" s="1">
        <f>IFERROR(__xludf.DUMMYFUNCTION("""COMPUTED_VALUE"""),412.02)</f>
        <v>412.02</v>
      </c>
      <c r="E1612" s="1">
        <f>IFERROR(__xludf.DUMMYFUNCTION("""COMPUTED_VALUE"""),414.95)</f>
        <v>414.95</v>
      </c>
      <c r="F1612" s="1">
        <f>IFERROR(__xludf.DUMMYFUNCTION("""COMPUTED_VALUE"""),3.4935936E7)</f>
        <v>34935936</v>
      </c>
    </row>
    <row r="1613">
      <c r="A1613" s="2">
        <f>IFERROR(__xludf.DUMMYFUNCTION("""COMPUTED_VALUE"""),33725.666666666664)</f>
        <v>33725.66667</v>
      </c>
      <c r="B1613" s="1">
        <f>IFERROR(__xludf.DUMMYFUNCTION("""COMPUTED_VALUE"""),414.95)</f>
        <v>414.95</v>
      </c>
      <c r="C1613" s="1">
        <f>IFERROR(__xludf.DUMMYFUNCTION("""COMPUTED_VALUE"""),415.21)</f>
        <v>415.21</v>
      </c>
      <c r="D1613" s="1">
        <f>IFERROR(__xludf.DUMMYFUNCTION("""COMPUTED_VALUE"""),409.87)</f>
        <v>409.87</v>
      </c>
      <c r="E1613" s="1">
        <f>IFERROR(__xludf.DUMMYFUNCTION("""COMPUTED_VALUE"""),412.53)</f>
        <v>412.53</v>
      </c>
      <c r="F1613" s="1">
        <f>IFERROR(__xludf.DUMMYFUNCTION("""COMPUTED_VALUE"""),2.7717188E7)</f>
        <v>27717188</v>
      </c>
    </row>
    <row r="1614">
      <c r="A1614" s="2">
        <f>IFERROR(__xludf.DUMMYFUNCTION("""COMPUTED_VALUE"""),33728.666666666664)</f>
        <v>33728.66667</v>
      </c>
      <c r="B1614" s="1">
        <f>IFERROR(__xludf.DUMMYFUNCTION("""COMPUTED_VALUE"""),412.54)</f>
        <v>412.54</v>
      </c>
      <c r="C1614" s="1">
        <f>IFERROR(__xludf.DUMMYFUNCTION("""COMPUTED_VALUE"""),417.84)</f>
        <v>417.84</v>
      </c>
      <c r="D1614" s="1">
        <f>IFERROR(__xludf.DUMMYFUNCTION("""COMPUTED_VALUE"""),412.54)</f>
        <v>412.54</v>
      </c>
      <c r="E1614" s="1">
        <f>IFERROR(__xludf.DUMMYFUNCTION("""COMPUTED_VALUE"""),416.91)</f>
        <v>416.91</v>
      </c>
      <c r="F1614" s="1">
        <f>IFERROR(__xludf.DUMMYFUNCTION("""COMPUTED_VALUE"""),2.7271876E7)</f>
        <v>27271876</v>
      </c>
    </row>
    <row r="1615">
      <c r="A1615" s="2">
        <f>IFERROR(__xludf.DUMMYFUNCTION("""COMPUTED_VALUE"""),33729.666666666664)</f>
        <v>33729.66667</v>
      </c>
      <c r="B1615" s="1">
        <f>IFERROR(__xludf.DUMMYFUNCTION("""COMPUTED_VALUE"""),416.91)</f>
        <v>416.91</v>
      </c>
      <c r="C1615" s="1">
        <f>IFERROR(__xludf.DUMMYFUNCTION("""COMPUTED_VALUE"""),418.53)</f>
        <v>418.53</v>
      </c>
      <c r="D1615" s="1">
        <f>IFERROR(__xludf.DUMMYFUNCTION("""COMPUTED_VALUE"""),415.77)</f>
        <v>415.77</v>
      </c>
      <c r="E1615" s="1">
        <f>IFERROR(__xludf.DUMMYFUNCTION("""COMPUTED_VALUE"""),416.84)</f>
        <v>416.84</v>
      </c>
      <c r="F1615" s="1">
        <f>IFERROR(__xludf.DUMMYFUNCTION("""COMPUTED_VALUE"""),3.1335938E7)</f>
        <v>31335938</v>
      </c>
    </row>
    <row r="1616">
      <c r="A1616" s="2">
        <f>IFERROR(__xludf.DUMMYFUNCTION("""COMPUTED_VALUE"""),33730.666666666664)</f>
        <v>33730.66667</v>
      </c>
      <c r="B1616" s="1">
        <f>IFERROR(__xludf.DUMMYFUNCTION("""COMPUTED_VALUE"""),416.84)</f>
        <v>416.84</v>
      </c>
      <c r="C1616" s="1">
        <f>IFERROR(__xludf.DUMMYFUNCTION("""COMPUTED_VALUE"""),418.48)</f>
        <v>418.48</v>
      </c>
      <c r="D1616" s="1">
        <f>IFERROR(__xludf.DUMMYFUNCTION("""COMPUTED_VALUE"""),416.4)</f>
        <v>416.4</v>
      </c>
      <c r="E1616" s="1">
        <f>IFERROR(__xludf.DUMMYFUNCTION("""COMPUTED_VALUE"""),416.79)</f>
        <v>416.79</v>
      </c>
      <c r="F1616" s="1">
        <f>IFERROR(__xludf.DUMMYFUNCTION("""COMPUTED_VALUE"""),3.1242188E7)</f>
        <v>31242188</v>
      </c>
    </row>
    <row r="1617">
      <c r="A1617" s="2">
        <f>IFERROR(__xludf.DUMMYFUNCTION("""COMPUTED_VALUE"""),33731.666666666664)</f>
        <v>33731.66667</v>
      </c>
      <c r="B1617" s="1">
        <f>IFERROR(__xludf.DUMMYFUNCTION("""COMPUTED_VALUE"""),416.79)</f>
        <v>416.79</v>
      </c>
      <c r="C1617" s="1">
        <f>IFERROR(__xludf.DUMMYFUNCTION("""COMPUTED_VALUE"""),416.84)</f>
        <v>416.84</v>
      </c>
      <c r="D1617" s="1">
        <f>IFERROR(__xludf.DUMMYFUNCTION("""COMPUTED_VALUE"""),415.38)</f>
        <v>415.38</v>
      </c>
      <c r="E1617" s="1">
        <f>IFERROR(__xludf.DUMMYFUNCTION("""COMPUTED_VALUE"""),415.85)</f>
        <v>415.85</v>
      </c>
      <c r="F1617" s="1">
        <f>IFERROR(__xludf.DUMMYFUNCTION("""COMPUTED_VALUE"""),2.6403124E7)</f>
        <v>26403124</v>
      </c>
    </row>
    <row r="1618">
      <c r="A1618" s="2">
        <f>IFERROR(__xludf.DUMMYFUNCTION("""COMPUTED_VALUE"""),33732.666666666664)</f>
        <v>33732.66667</v>
      </c>
      <c r="B1618" s="1">
        <f>IFERROR(__xludf.DUMMYFUNCTION("""COMPUTED_VALUE"""),415.87)</f>
        <v>415.87</v>
      </c>
      <c r="C1618" s="1">
        <f>IFERROR(__xludf.DUMMYFUNCTION("""COMPUTED_VALUE"""),416.85)</f>
        <v>416.85</v>
      </c>
      <c r="D1618" s="1">
        <f>IFERROR(__xludf.DUMMYFUNCTION("""COMPUTED_VALUE"""),414.41)</f>
        <v>414.41</v>
      </c>
      <c r="E1618" s="1">
        <f>IFERROR(__xludf.DUMMYFUNCTION("""COMPUTED_VALUE"""),416.05)</f>
        <v>416.05</v>
      </c>
      <c r="F1618" s="1">
        <f>IFERROR(__xludf.DUMMYFUNCTION("""COMPUTED_VALUE"""),2.63625E7)</f>
        <v>26362500</v>
      </c>
    </row>
    <row r="1619">
      <c r="A1619" s="2">
        <f>IFERROR(__xludf.DUMMYFUNCTION("""COMPUTED_VALUE"""),33735.666666666664)</f>
        <v>33735.66667</v>
      </c>
      <c r="B1619" s="1">
        <f>IFERROR(__xludf.DUMMYFUNCTION("""COMPUTED_VALUE"""),416.05)</f>
        <v>416.05</v>
      </c>
      <c r="C1619" s="1">
        <f>IFERROR(__xludf.DUMMYFUNCTION("""COMPUTED_VALUE"""),418.75)</f>
        <v>418.75</v>
      </c>
      <c r="D1619" s="1">
        <f>IFERROR(__xludf.DUMMYFUNCTION("""COMPUTED_VALUE"""),416.05)</f>
        <v>416.05</v>
      </c>
      <c r="E1619" s="1">
        <f>IFERROR(__xludf.DUMMYFUNCTION("""COMPUTED_VALUE"""),418.49)</f>
        <v>418.49</v>
      </c>
      <c r="F1619" s="1">
        <f>IFERROR(__xludf.DUMMYFUNCTION("""COMPUTED_VALUE"""),2.4332812E7)</f>
        <v>24332812</v>
      </c>
    </row>
    <row r="1620">
      <c r="A1620" s="2">
        <f>IFERROR(__xludf.DUMMYFUNCTION("""COMPUTED_VALUE"""),33736.666666666664)</f>
        <v>33736.66667</v>
      </c>
      <c r="B1620" s="1">
        <f>IFERROR(__xludf.DUMMYFUNCTION("""COMPUTED_VALUE"""),418.49)</f>
        <v>418.49</v>
      </c>
      <c r="C1620" s="1">
        <f>IFERROR(__xludf.DUMMYFUNCTION("""COMPUTED_VALUE"""),418.68)</f>
        <v>418.68</v>
      </c>
      <c r="D1620" s="1">
        <f>IFERROR(__xludf.DUMMYFUNCTION("""COMPUTED_VALUE"""),414.69)</f>
        <v>414.69</v>
      </c>
      <c r="E1620" s="1">
        <f>IFERROR(__xludf.DUMMYFUNCTION("""COMPUTED_VALUE"""),416.29)</f>
        <v>416.29</v>
      </c>
      <c r="F1620" s="1">
        <f>IFERROR(__xludf.DUMMYFUNCTION("""COMPUTED_VALUE"""),3.0135938E7)</f>
        <v>30135938</v>
      </c>
    </row>
    <row r="1621">
      <c r="A1621" s="2">
        <f>IFERROR(__xludf.DUMMYFUNCTION("""COMPUTED_VALUE"""),33737.666666666664)</f>
        <v>33737.66667</v>
      </c>
      <c r="B1621" s="1">
        <f>IFERROR(__xludf.DUMMYFUNCTION("""COMPUTED_VALUE"""),416.29)</f>
        <v>416.29</v>
      </c>
      <c r="C1621" s="1">
        <f>IFERROR(__xludf.DUMMYFUNCTION("""COMPUTED_VALUE"""),417.04)</f>
        <v>417.04</v>
      </c>
      <c r="D1621" s="1">
        <f>IFERROR(__xludf.DUMMYFUNCTION("""COMPUTED_VALUE"""),415.86)</f>
        <v>415.86</v>
      </c>
      <c r="E1621" s="1">
        <f>IFERROR(__xludf.DUMMYFUNCTION("""COMPUTED_VALUE"""),416.45)</f>
        <v>416.45</v>
      </c>
      <c r="F1621" s="1">
        <f>IFERROR(__xludf.DUMMYFUNCTION("""COMPUTED_VALUE"""),2.7476562E7)</f>
        <v>27476562</v>
      </c>
    </row>
    <row r="1622">
      <c r="A1622" s="2">
        <f>IFERROR(__xludf.DUMMYFUNCTION("""COMPUTED_VALUE"""),33738.666666666664)</f>
        <v>33738.66667</v>
      </c>
      <c r="B1622" s="1">
        <f>IFERROR(__xludf.DUMMYFUNCTION("""COMPUTED_VALUE"""),416.45)</f>
        <v>416.45</v>
      </c>
      <c r="C1622" s="1">
        <f>IFERROR(__xludf.DUMMYFUNCTION("""COMPUTED_VALUE"""),416.52)</f>
        <v>416.52</v>
      </c>
      <c r="D1622" s="1">
        <f>IFERROR(__xludf.DUMMYFUNCTION("""COMPUTED_VALUE"""),411.82)</f>
        <v>411.82</v>
      </c>
      <c r="E1622" s="1">
        <f>IFERROR(__xludf.DUMMYFUNCTION("""COMPUTED_VALUE"""),413.14)</f>
        <v>413.14</v>
      </c>
      <c r="F1622" s="1">
        <f>IFERROR(__xludf.DUMMYFUNCTION("""COMPUTED_VALUE"""),2.9554688E7)</f>
        <v>29554688</v>
      </c>
    </row>
    <row r="1623">
      <c r="A1623" s="2">
        <f>IFERROR(__xludf.DUMMYFUNCTION("""COMPUTED_VALUE"""),33739.666666666664)</f>
        <v>33739.66667</v>
      </c>
      <c r="B1623" s="1">
        <f>IFERROR(__xludf.DUMMYFUNCTION("""COMPUTED_VALUE"""),413.14)</f>
        <v>413.14</v>
      </c>
      <c r="C1623" s="1">
        <f>IFERROR(__xludf.DUMMYFUNCTION("""COMPUTED_VALUE"""),413.14)</f>
        <v>413.14</v>
      </c>
      <c r="D1623" s="1">
        <f>IFERROR(__xludf.DUMMYFUNCTION("""COMPUTED_VALUE"""),409.85)</f>
        <v>409.85</v>
      </c>
      <c r="E1623" s="1">
        <f>IFERROR(__xludf.DUMMYFUNCTION("""COMPUTED_VALUE"""),410.09)</f>
        <v>410.09</v>
      </c>
      <c r="F1623" s="1">
        <f>IFERROR(__xludf.DUMMYFUNCTION("""COMPUTED_VALUE"""),3.0115624E7)</f>
        <v>30115624</v>
      </c>
    </row>
    <row r="1624">
      <c r="A1624" s="2">
        <f>IFERROR(__xludf.DUMMYFUNCTION("""COMPUTED_VALUE"""),33742.666666666664)</f>
        <v>33742.66667</v>
      </c>
      <c r="B1624" s="1">
        <f>IFERROR(__xludf.DUMMYFUNCTION("""COMPUTED_VALUE"""),410.13)</f>
        <v>410.13</v>
      </c>
      <c r="C1624" s="1">
        <f>IFERROR(__xludf.DUMMYFUNCTION("""COMPUTED_VALUE"""),413.34)</f>
        <v>413.34</v>
      </c>
      <c r="D1624" s="1">
        <f>IFERROR(__xludf.DUMMYFUNCTION("""COMPUTED_VALUE"""),410.13)</f>
        <v>410.13</v>
      </c>
      <c r="E1624" s="1">
        <f>IFERROR(__xludf.DUMMYFUNCTION("""COMPUTED_VALUE"""),412.81)</f>
        <v>412.81</v>
      </c>
      <c r="F1624" s="1">
        <f>IFERROR(__xludf.DUMMYFUNCTION("""COMPUTED_VALUE"""),2.3653124E7)</f>
        <v>23653124</v>
      </c>
    </row>
    <row r="1625">
      <c r="A1625" s="2">
        <f>IFERROR(__xludf.DUMMYFUNCTION("""COMPUTED_VALUE"""),33743.666666666664)</f>
        <v>33743.66667</v>
      </c>
      <c r="B1625" s="1">
        <f>IFERROR(__xludf.DUMMYFUNCTION("""COMPUTED_VALUE"""),412.82)</f>
        <v>412.82</v>
      </c>
      <c r="C1625" s="1">
        <f>IFERROR(__xludf.DUMMYFUNCTION("""COMPUTED_VALUE"""),416.51)</f>
        <v>416.51</v>
      </c>
      <c r="D1625" s="1">
        <f>IFERROR(__xludf.DUMMYFUNCTION("""COMPUTED_VALUE"""),412.26)</f>
        <v>412.26</v>
      </c>
      <c r="E1625" s="1">
        <f>IFERROR(__xludf.DUMMYFUNCTION("""COMPUTED_VALUE"""),416.37)</f>
        <v>416.37</v>
      </c>
      <c r="F1625" s="1">
        <f>IFERROR(__xludf.DUMMYFUNCTION("""COMPUTED_VALUE"""),2.9239062E7)</f>
        <v>29239062</v>
      </c>
    </row>
    <row r="1626">
      <c r="A1626" s="2">
        <f>IFERROR(__xludf.DUMMYFUNCTION("""COMPUTED_VALUE"""),33744.666666666664)</f>
        <v>33744.66667</v>
      </c>
      <c r="B1626" s="1">
        <f>IFERROR(__xludf.DUMMYFUNCTION("""COMPUTED_VALUE"""),416.37)</f>
        <v>416.37</v>
      </c>
      <c r="C1626" s="1">
        <f>IFERROR(__xludf.DUMMYFUNCTION("""COMPUTED_VALUE"""),416.83)</f>
        <v>416.83</v>
      </c>
      <c r="D1626" s="1">
        <f>IFERROR(__xludf.DUMMYFUNCTION("""COMPUTED_VALUE"""),415.37)</f>
        <v>415.37</v>
      </c>
      <c r="E1626" s="1">
        <f>IFERROR(__xludf.DUMMYFUNCTION("""COMPUTED_VALUE"""),415.39)</f>
        <v>415.39</v>
      </c>
      <c r="F1626" s="1">
        <f>IFERROR(__xludf.DUMMYFUNCTION("""COMPUTED_VALUE"""),3.0965624E7)</f>
        <v>30965624</v>
      </c>
    </row>
    <row r="1627">
      <c r="A1627" s="2">
        <f>IFERROR(__xludf.DUMMYFUNCTION("""COMPUTED_VALUE"""),33745.666666666664)</f>
        <v>33745.66667</v>
      </c>
      <c r="B1627" s="1">
        <f>IFERROR(__xludf.DUMMYFUNCTION("""COMPUTED_VALUE"""),415.4)</f>
        <v>415.4</v>
      </c>
      <c r="C1627" s="1">
        <f>IFERROR(__xludf.DUMMYFUNCTION("""COMPUTED_VALUE"""),415.41)</f>
        <v>415.41</v>
      </c>
      <c r="D1627" s="1">
        <f>IFERROR(__xludf.DUMMYFUNCTION("""COMPUTED_VALUE"""),411.57)</f>
        <v>411.57</v>
      </c>
      <c r="E1627" s="1">
        <f>IFERROR(__xludf.DUMMYFUNCTION("""COMPUTED_VALUE"""),412.6)</f>
        <v>412.6</v>
      </c>
      <c r="F1627" s="1">
        <f>IFERROR(__xludf.DUMMYFUNCTION("""COMPUTED_VALUE"""),2.8884376E7)</f>
        <v>28884376</v>
      </c>
    </row>
    <row r="1628">
      <c r="A1628" s="2">
        <f>IFERROR(__xludf.DUMMYFUNCTION("""COMPUTED_VALUE"""),33746.666666666664)</f>
        <v>33746.66667</v>
      </c>
      <c r="B1628" s="1">
        <f>IFERROR(__xludf.DUMMYFUNCTION("""COMPUTED_VALUE"""),412.61)</f>
        <v>412.61</v>
      </c>
      <c r="C1628" s="1">
        <f>IFERROR(__xludf.DUMMYFUNCTION("""COMPUTED_VALUE"""),414.82)</f>
        <v>414.82</v>
      </c>
      <c r="D1628" s="1">
        <f>IFERROR(__xludf.DUMMYFUNCTION("""COMPUTED_VALUE"""),412.6)</f>
        <v>412.6</v>
      </c>
      <c r="E1628" s="1">
        <f>IFERROR(__xludf.DUMMYFUNCTION("""COMPUTED_VALUE"""),414.02)</f>
        <v>414.02</v>
      </c>
      <c r="F1628" s="1">
        <f>IFERROR(__xludf.DUMMYFUNCTION("""COMPUTED_VALUE"""),2.2923438E7)</f>
        <v>22923438</v>
      </c>
    </row>
    <row r="1629">
      <c r="A1629" s="2">
        <f>IFERROR(__xludf.DUMMYFUNCTION("""COMPUTED_VALUE"""),33750.666666666664)</f>
        <v>33750.66667</v>
      </c>
      <c r="B1629" s="1">
        <f>IFERROR(__xludf.DUMMYFUNCTION("""COMPUTED_VALUE"""),414.02)</f>
        <v>414.02</v>
      </c>
      <c r="C1629" s="1">
        <f>IFERROR(__xludf.DUMMYFUNCTION("""COMPUTED_VALUE"""),414.02)</f>
        <v>414.02</v>
      </c>
      <c r="D1629" s="1">
        <f>IFERROR(__xludf.DUMMYFUNCTION("""COMPUTED_VALUE"""),410.23)</f>
        <v>410.23</v>
      </c>
      <c r="E1629" s="1">
        <f>IFERROR(__xludf.DUMMYFUNCTION("""COMPUTED_VALUE"""),411.41)</f>
        <v>411.41</v>
      </c>
      <c r="F1629" s="1">
        <f>IFERROR(__xludf.DUMMYFUNCTION("""COMPUTED_VALUE"""),3.0890624E7)</f>
        <v>30890624</v>
      </c>
    </row>
    <row r="1630">
      <c r="A1630" s="2">
        <f>IFERROR(__xludf.DUMMYFUNCTION("""COMPUTED_VALUE"""),33751.666666666664)</f>
        <v>33751.66667</v>
      </c>
      <c r="B1630" s="1">
        <f>IFERROR(__xludf.DUMMYFUNCTION("""COMPUTED_VALUE"""),411.41)</f>
        <v>411.41</v>
      </c>
      <c r="C1630" s="1">
        <f>IFERROR(__xludf.DUMMYFUNCTION("""COMPUTED_VALUE"""),412.68)</f>
        <v>412.68</v>
      </c>
      <c r="D1630" s="1">
        <f>IFERROR(__xludf.DUMMYFUNCTION("""COMPUTED_VALUE"""),411.06)</f>
        <v>411.06</v>
      </c>
      <c r="E1630" s="1">
        <f>IFERROR(__xludf.DUMMYFUNCTION("""COMPUTED_VALUE"""),412.17)</f>
        <v>412.17</v>
      </c>
      <c r="F1630" s="1">
        <f>IFERROR(__xludf.DUMMYFUNCTION("""COMPUTED_VALUE"""),2.8475E7)</f>
        <v>28475000</v>
      </c>
    </row>
    <row r="1631">
      <c r="A1631" s="2">
        <f>IFERROR(__xludf.DUMMYFUNCTION("""COMPUTED_VALUE"""),33752.666666666664)</f>
        <v>33752.66667</v>
      </c>
      <c r="B1631" s="1">
        <f>IFERROR(__xludf.DUMMYFUNCTION("""COMPUTED_VALUE"""),412.17)</f>
        <v>412.17</v>
      </c>
      <c r="C1631" s="1">
        <f>IFERROR(__xludf.DUMMYFUNCTION("""COMPUTED_VALUE"""),416.77)</f>
        <v>416.77</v>
      </c>
      <c r="D1631" s="1">
        <f>IFERROR(__xludf.DUMMYFUNCTION("""COMPUTED_VALUE"""),411.81)</f>
        <v>411.81</v>
      </c>
      <c r="E1631" s="1">
        <f>IFERROR(__xludf.DUMMYFUNCTION("""COMPUTED_VALUE"""),416.74)</f>
        <v>416.74</v>
      </c>
      <c r="F1631" s="1">
        <f>IFERROR(__xludf.DUMMYFUNCTION("""COMPUTED_VALUE"""),3.0515624E7)</f>
        <v>30515624</v>
      </c>
    </row>
    <row r="1632">
      <c r="A1632" s="2">
        <f>IFERROR(__xludf.DUMMYFUNCTION("""COMPUTED_VALUE"""),33753.666666666664)</f>
        <v>33753.66667</v>
      </c>
      <c r="B1632" s="1">
        <f>IFERROR(__xludf.DUMMYFUNCTION("""COMPUTED_VALUE"""),416.74)</f>
        <v>416.74</v>
      </c>
      <c r="C1632" s="1">
        <f>IFERROR(__xludf.DUMMYFUNCTION("""COMPUTED_VALUE"""),418.36)</f>
        <v>418.36</v>
      </c>
      <c r="D1632" s="1">
        <f>IFERROR(__xludf.DUMMYFUNCTION("""COMPUTED_VALUE"""),415.35)</f>
        <v>415.35</v>
      </c>
      <c r="E1632" s="1">
        <f>IFERROR(__xludf.DUMMYFUNCTION("""COMPUTED_VALUE"""),415.35)</f>
        <v>415.35</v>
      </c>
      <c r="F1632" s="1">
        <f>IFERROR(__xludf.DUMMYFUNCTION("""COMPUTED_VALUE"""),3.1876562E7)</f>
        <v>31876562</v>
      </c>
    </row>
    <row r="1633">
      <c r="A1633" s="2">
        <f>IFERROR(__xludf.DUMMYFUNCTION("""COMPUTED_VALUE"""),33756.666666666664)</f>
        <v>33756.66667</v>
      </c>
      <c r="B1633" s="1">
        <f>IFERROR(__xludf.DUMMYFUNCTION("""COMPUTED_VALUE"""),415.35)</f>
        <v>415.35</v>
      </c>
      <c r="C1633" s="1">
        <f>IFERROR(__xludf.DUMMYFUNCTION("""COMPUTED_VALUE"""),417.3)</f>
        <v>417.3</v>
      </c>
      <c r="D1633" s="1">
        <f>IFERROR(__xludf.DUMMYFUNCTION("""COMPUTED_VALUE"""),412.44)</f>
        <v>412.44</v>
      </c>
      <c r="E1633" s="1">
        <f>IFERROR(__xludf.DUMMYFUNCTION("""COMPUTED_VALUE"""),417.3)</f>
        <v>417.3</v>
      </c>
      <c r="F1633" s="1">
        <f>IFERROR(__xludf.DUMMYFUNCTION("""COMPUTED_VALUE"""),2.825E7)</f>
        <v>28250000</v>
      </c>
    </row>
    <row r="1634">
      <c r="A1634" s="2">
        <f>IFERROR(__xludf.DUMMYFUNCTION("""COMPUTED_VALUE"""),33757.666666666664)</f>
        <v>33757.66667</v>
      </c>
      <c r="B1634" s="1">
        <f>IFERROR(__xludf.DUMMYFUNCTION("""COMPUTED_VALUE"""),417.3)</f>
        <v>417.3</v>
      </c>
      <c r="C1634" s="1">
        <f>IFERROR(__xludf.DUMMYFUNCTION("""COMPUTED_VALUE"""),417.3)</f>
        <v>417.3</v>
      </c>
      <c r="D1634" s="1">
        <f>IFERROR(__xludf.DUMMYFUNCTION("""COMPUTED_VALUE"""),413.5)</f>
        <v>413.5</v>
      </c>
      <c r="E1634" s="1">
        <f>IFERROR(__xludf.DUMMYFUNCTION("""COMPUTED_VALUE"""),413.5)</f>
        <v>413.5</v>
      </c>
      <c r="F1634" s="1">
        <f>IFERROR(__xludf.DUMMYFUNCTION("""COMPUTED_VALUE"""),3.165E7)</f>
        <v>31650000</v>
      </c>
    </row>
    <row r="1635">
      <c r="A1635" s="2">
        <f>IFERROR(__xludf.DUMMYFUNCTION("""COMPUTED_VALUE"""),33758.666666666664)</f>
        <v>33758.66667</v>
      </c>
      <c r="B1635" s="1">
        <f>IFERROR(__xludf.DUMMYFUNCTION("""COMPUTED_VALUE"""),413.5)</f>
        <v>413.5</v>
      </c>
      <c r="C1635" s="1">
        <f>IFERROR(__xludf.DUMMYFUNCTION("""COMPUTED_VALUE"""),416.54)</f>
        <v>416.54</v>
      </c>
      <c r="D1635" s="1">
        <f>IFERROR(__xludf.DUMMYFUNCTION("""COMPUTED_VALUE"""),413.04)</f>
        <v>413.04</v>
      </c>
      <c r="E1635" s="1">
        <f>IFERROR(__xludf.DUMMYFUNCTION("""COMPUTED_VALUE"""),414.59)</f>
        <v>414.59</v>
      </c>
      <c r="F1635" s="1">
        <f>IFERROR(__xludf.DUMMYFUNCTION("""COMPUTED_VALUE"""),3.3714064E7)</f>
        <v>33714064</v>
      </c>
    </row>
    <row r="1636">
      <c r="A1636" s="2">
        <f>IFERROR(__xludf.DUMMYFUNCTION("""COMPUTED_VALUE"""),33759.666666666664)</f>
        <v>33759.66667</v>
      </c>
      <c r="B1636" s="1">
        <f>IFERROR(__xludf.DUMMYFUNCTION("""COMPUTED_VALUE"""),414.6)</f>
        <v>414.6</v>
      </c>
      <c r="C1636" s="1">
        <f>IFERROR(__xludf.DUMMYFUNCTION("""COMPUTED_VALUE"""),414.98)</f>
        <v>414.98</v>
      </c>
      <c r="D1636" s="1">
        <f>IFERROR(__xludf.DUMMYFUNCTION("""COMPUTED_VALUE"""),412.97)</f>
        <v>412.97</v>
      </c>
      <c r="E1636" s="1">
        <f>IFERROR(__xludf.DUMMYFUNCTION("""COMPUTED_VALUE"""),413.26)</f>
        <v>413.26</v>
      </c>
      <c r="F1636" s="1">
        <f>IFERROR(__xludf.DUMMYFUNCTION("""COMPUTED_VALUE"""),3.1945312E7)</f>
        <v>31945312</v>
      </c>
    </row>
    <row r="1637">
      <c r="A1637" s="2">
        <f>IFERROR(__xludf.DUMMYFUNCTION("""COMPUTED_VALUE"""),33760.666666666664)</f>
        <v>33760.66667</v>
      </c>
      <c r="B1637" s="1">
        <f>IFERROR(__xludf.DUMMYFUNCTION("""COMPUTED_VALUE"""),413.26)</f>
        <v>413.26</v>
      </c>
      <c r="C1637" s="1">
        <f>IFERROR(__xludf.DUMMYFUNCTION("""COMPUTED_VALUE"""),413.85)</f>
        <v>413.85</v>
      </c>
      <c r="D1637" s="1">
        <f>IFERROR(__xludf.DUMMYFUNCTION("""COMPUTED_VALUE"""),410.97)</f>
        <v>410.97</v>
      </c>
      <c r="E1637" s="1">
        <f>IFERROR(__xludf.DUMMYFUNCTION("""COMPUTED_VALUE"""),413.48)</f>
        <v>413.48</v>
      </c>
      <c r="F1637" s="1">
        <f>IFERROR(__xludf.DUMMYFUNCTION("""COMPUTED_VALUE"""),3.1101562E7)</f>
        <v>31101562</v>
      </c>
    </row>
    <row r="1638">
      <c r="A1638" s="2">
        <f>IFERROR(__xludf.DUMMYFUNCTION("""COMPUTED_VALUE"""),33763.666666666664)</f>
        <v>33763.66667</v>
      </c>
      <c r="B1638" s="1">
        <f>IFERROR(__xludf.DUMMYFUNCTION("""COMPUTED_VALUE"""),413.48)</f>
        <v>413.48</v>
      </c>
      <c r="C1638" s="1">
        <f>IFERROR(__xludf.DUMMYFUNCTION("""COMPUTED_VALUE"""),413.95)</f>
        <v>413.95</v>
      </c>
      <c r="D1638" s="1">
        <f>IFERROR(__xludf.DUMMYFUNCTION("""COMPUTED_VALUE"""),412.03)</f>
        <v>412.03</v>
      </c>
      <c r="E1638" s="1">
        <f>IFERROR(__xludf.DUMMYFUNCTION("""COMPUTED_VALUE"""),413.36)</f>
        <v>413.36</v>
      </c>
      <c r="F1638" s="1">
        <f>IFERROR(__xludf.DUMMYFUNCTION("""COMPUTED_VALUE"""),2.519375E7)</f>
        <v>25193750</v>
      </c>
    </row>
    <row r="1639">
      <c r="A1639" s="2">
        <f>IFERROR(__xludf.DUMMYFUNCTION("""COMPUTED_VALUE"""),33764.666666666664)</f>
        <v>33764.66667</v>
      </c>
      <c r="B1639" s="1">
        <f>IFERROR(__xludf.DUMMYFUNCTION("""COMPUTED_VALUE"""),413.4)</f>
        <v>413.4</v>
      </c>
      <c r="C1639" s="1">
        <f>IFERROR(__xludf.DUMMYFUNCTION("""COMPUTED_VALUE"""),413.56)</f>
        <v>413.56</v>
      </c>
      <c r="D1639" s="1">
        <f>IFERROR(__xludf.DUMMYFUNCTION("""COMPUTED_VALUE"""),409.3)</f>
        <v>409.3</v>
      </c>
      <c r="E1639" s="1">
        <f>IFERROR(__xludf.DUMMYFUNCTION("""COMPUTED_VALUE"""),410.06)</f>
        <v>410.06</v>
      </c>
      <c r="F1639" s="1">
        <f>IFERROR(__xludf.DUMMYFUNCTION("""COMPUTED_VALUE"""),2.9870312E7)</f>
        <v>29870312</v>
      </c>
    </row>
    <row r="1640">
      <c r="A1640" s="2">
        <f>IFERROR(__xludf.DUMMYFUNCTION("""COMPUTED_VALUE"""),33765.666666666664)</f>
        <v>33765.66667</v>
      </c>
      <c r="B1640" s="1">
        <f>IFERROR(__xludf.DUMMYFUNCTION("""COMPUTED_VALUE"""),410.06)</f>
        <v>410.06</v>
      </c>
      <c r="C1640" s="1">
        <f>IFERROR(__xludf.DUMMYFUNCTION("""COMPUTED_VALUE"""),410.1)</f>
        <v>410.1</v>
      </c>
      <c r="D1640" s="1">
        <f>IFERROR(__xludf.DUMMYFUNCTION("""COMPUTED_VALUE"""),406.81)</f>
        <v>406.81</v>
      </c>
      <c r="E1640" s="1">
        <f>IFERROR(__xludf.DUMMYFUNCTION("""COMPUTED_VALUE"""),407.25)</f>
        <v>407.25</v>
      </c>
      <c r="F1640" s="1">
        <f>IFERROR(__xludf.DUMMYFUNCTION("""COMPUTED_VALUE"""),3.2929688E7)</f>
        <v>32929688</v>
      </c>
    </row>
    <row r="1641">
      <c r="A1641" s="2">
        <f>IFERROR(__xludf.DUMMYFUNCTION("""COMPUTED_VALUE"""),33766.666666666664)</f>
        <v>33766.66667</v>
      </c>
      <c r="B1641" s="1">
        <f>IFERROR(__xludf.DUMMYFUNCTION("""COMPUTED_VALUE"""),407.25)</f>
        <v>407.25</v>
      </c>
      <c r="C1641" s="1">
        <f>IFERROR(__xludf.DUMMYFUNCTION("""COMPUTED_VALUE"""),409.05)</f>
        <v>409.05</v>
      </c>
      <c r="D1641" s="1">
        <f>IFERROR(__xludf.DUMMYFUNCTION("""COMPUTED_VALUE"""),406.11)</f>
        <v>406.11</v>
      </c>
      <c r="E1641" s="1">
        <f>IFERROR(__xludf.DUMMYFUNCTION("""COMPUTED_VALUE"""),409.05)</f>
        <v>409.05</v>
      </c>
      <c r="F1641" s="1">
        <f>IFERROR(__xludf.DUMMYFUNCTION("""COMPUTED_VALUE"""),3.1996876E7)</f>
        <v>31996876</v>
      </c>
    </row>
    <row r="1642">
      <c r="A1642" s="2">
        <f>IFERROR(__xludf.DUMMYFUNCTION("""COMPUTED_VALUE"""),33767.666666666664)</f>
        <v>33767.66667</v>
      </c>
      <c r="B1642" s="1">
        <f>IFERROR(__xludf.DUMMYFUNCTION("""COMPUTED_VALUE"""),409.08)</f>
        <v>409.08</v>
      </c>
      <c r="C1642" s="1">
        <f>IFERROR(__xludf.DUMMYFUNCTION("""COMPUTED_VALUE"""),411.86)</f>
        <v>411.86</v>
      </c>
      <c r="D1642" s="1">
        <f>IFERROR(__xludf.DUMMYFUNCTION("""COMPUTED_VALUE"""),409.08)</f>
        <v>409.08</v>
      </c>
      <c r="E1642" s="1">
        <f>IFERROR(__xludf.DUMMYFUNCTION("""COMPUTED_VALUE"""),409.76)</f>
        <v>409.76</v>
      </c>
      <c r="F1642" s="1">
        <f>IFERROR(__xludf.DUMMYFUNCTION("""COMPUTED_VALUE"""),2.8415624E7)</f>
        <v>28415624</v>
      </c>
    </row>
    <row r="1643">
      <c r="A1643" s="2">
        <f>IFERROR(__xludf.DUMMYFUNCTION("""COMPUTED_VALUE"""),33770.666666666664)</f>
        <v>33770.66667</v>
      </c>
      <c r="B1643" s="1">
        <f>IFERROR(__xludf.DUMMYFUNCTION("""COMPUTED_VALUE"""),409.76)</f>
        <v>409.76</v>
      </c>
      <c r="C1643" s="1">
        <f>IFERROR(__xludf.DUMMYFUNCTION("""COMPUTED_VALUE"""),411.68)</f>
        <v>411.68</v>
      </c>
      <c r="D1643" s="1">
        <f>IFERROR(__xludf.DUMMYFUNCTION("""COMPUTED_VALUE"""),408.13)</f>
        <v>408.13</v>
      </c>
      <c r="E1643" s="1">
        <f>IFERROR(__xludf.DUMMYFUNCTION("""COMPUTED_VALUE"""),410.29)</f>
        <v>410.29</v>
      </c>
      <c r="F1643" s="1">
        <f>IFERROR(__xludf.DUMMYFUNCTION("""COMPUTED_VALUE"""),2.56375E7)</f>
        <v>25637500</v>
      </c>
    </row>
    <row r="1644">
      <c r="A1644" s="2">
        <f>IFERROR(__xludf.DUMMYFUNCTION("""COMPUTED_VALUE"""),33771.666666666664)</f>
        <v>33771.66667</v>
      </c>
      <c r="B1644" s="1">
        <f>IFERROR(__xludf.DUMMYFUNCTION("""COMPUTED_VALUE"""),410.29)</f>
        <v>410.29</v>
      </c>
      <c r="C1644" s="1">
        <f>IFERROR(__xludf.DUMMYFUNCTION("""COMPUTED_VALUE"""),411.4)</f>
        <v>411.4</v>
      </c>
      <c r="D1644" s="1">
        <f>IFERROR(__xludf.DUMMYFUNCTION("""COMPUTED_VALUE"""),408.32)</f>
        <v>408.32</v>
      </c>
      <c r="E1644" s="1">
        <f>IFERROR(__xludf.DUMMYFUNCTION("""COMPUTED_VALUE"""),408.32)</f>
        <v>408.32</v>
      </c>
      <c r="F1644" s="1">
        <f>IFERROR(__xludf.DUMMYFUNCTION("""COMPUTED_VALUE"""),3.0375E7)</f>
        <v>30375000</v>
      </c>
    </row>
    <row r="1645">
      <c r="A1645" s="2">
        <f>IFERROR(__xludf.DUMMYFUNCTION("""COMPUTED_VALUE"""),33772.666666666664)</f>
        <v>33772.66667</v>
      </c>
      <c r="B1645" s="1">
        <f>IFERROR(__xludf.DUMMYFUNCTION("""COMPUTED_VALUE"""),408.33)</f>
        <v>408.33</v>
      </c>
      <c r="C1645" s="1">
        <f>IFERROR(__xludf.DUMMYFUNCTION("""COMPUTED_VALUE"""),408.33)</f>
        <v>408.33</v>
      </c>
      <c r="D1645" s="1">
        <f>IFERROR(__xludf.DUMMYFUNCTION("""COMPUTED_VALUE"""),401.98)</f>
        <v>401.98</v>
      </c>
      <c r="E1645" s="1">
        <f>IFERROR(__xludf.DUMMYFUNCTION("""COMPUTED_VALUE"""),402.26)</f>
        <v>402.26</v>
      </c>
      <c r="F1645" s="1">
        <f>IFERROR(__xludf.DUMMYFUNCTION("""COMPUTED_VALUE"""),3.55875E7)</f>
        <v>35587500</v>
      </c>
    </row>
    <row r="1646">
      <c r="A1646" s="2">
        <f>IFERROR(__xludf.DUMMYFUNCTION("""COMPUTED_VALUE"""),33773.666666666664)</f>
        <v>33773.66667</v>
      </c>
      <c r="B1646" s="1">
        <f>IFERROR(__xludf.DUMMYFUNCTION("""COMPUTED_VALUE"""),402.26)</f>
        <v>402.26</v>
      </c>
      <c r="C1646" s="1">
        <f>IFERROR(__xludf.DUMMYFUNCTION("""COMPUTED_VALUE"""),402.68)</f>
        <v>402.68</v>
      </c>
      <c r="D1646" s="1">
        <f>IFERROR(__xludf.DUMMYFUNCTION("""COMPUTED_VALUE"""),400.51)</f>
        <v>400.51</v>
      </c>
      <c r="E1646" s="1">
        <f>IFERROR(__xludf.DUMMYFUNCTION("""COMPUTED_VALUE"""),400.96)</f>
        <v>400.96</v>
      </c>
      <c r="F1646" s="1">
        <f>IFERROR(__xludf.DUMMYFUNCTION("""COMPUTED_VALUE"""),3.525E7)</f>
        <v>35250000</v>
      </c>
    </row>
    <row r="1647">
      <c r="A1647" s="2">
        <f>IFERROR(__xludf.DUMMYFUNCTION("""COMPUTED_VALUE"""),33774.666666666664)</f>
        <v>33774.66667</v>
      </c>
      <c r="B1647" s="1">
        <f>IFERROR(__xludf.DUMMYFUNCTION("""COMPUTED_VALUE"""),400.96)</f>
        <v>400.96</v>
      </c>
      <c r="C1647" s="1">
        <f>IFERROR(__xludf.DUMMYFUNCTION("""COMPUTED_VALUE"""),404.23)</f>
        <v>404.23</v>
      </c>
      <c r="D1647" s="1">
        <f>IFERROR(__xludf.DUMMYFUNCTION("""COMPUTED_VALUE"""),400.96)</f>
        <v>400.96</v>
      </c>
      <c r="E1647" s="1">
        <f>IFERROR(__xludf.DUMMYFUNCTION("""COMPUTED_VALUE"""),403.67)</f>
        <v>403.67</v>
      </c>
      <c r="F1647" s="1">
        <f>IFERROR(__xludf.DUMMYFUNCTION("""COMPUTED_VALUE"""),3.6478124E7)</f>
        <v>36478124</v>
      </c>
    </row>
    <row r="1648">
      <c r="A1648" s="2">
        <f>IFERROR(__xludf.DUMMYFUNCTION("""COMPUTED_VALUE"""),33777.666666666664)</f>
        <v>33777.66667</v>
      </c>
      <c r="B1648" s="1">
        <f>IFERROR(__xludf.DUMMYFUNCTION("""COMPUTED_VALUE"""),403.64)</f>
        <v>403.64</v>
      </c>
      <c r="C1648" s="1">
        <f>IFERROR(__xludf.DUMMYFUNCTION("""COMPUTED_VALUE"""),403.64)</f>
        <v>403.64</v>
      </c>
      <c r="D1648" s="1">
        <f>IFERROR(__xludf.DUMMYFUNCTION("""COMPUTED_VALUE"""),399.92)</f>
        <v>399.92</v>
      </c>
      <c r="E1648" s="1">
        <f>IFERROR(__xludf.DUMMYFUNCTION("""COMPUTED_VALUE"""),403.4)</f>
        <v>403.4</v>
      </c>
      <c r="F1648" s="1">
        <f>IFERROR(__xludf.DUMMYFUNCTION("""COMPUTED_VALUE"""),2.6464062E7)</f>
        <v>26464062</v>
      </c>
    </row>
    <row r="1649">
      <c r="A1649" s="2">
        <f>IFERROR(__xludf.DUMMYFUNCTION("""COMPUTED_VALUE"""),33778.666666666664)</f>
        <v>33778.66667</v>
      </c>
      <c r="B1649" s="1">
        <f>IFERROR(__xludf.DUMMYFUNCTION("""COMPUTED_VALUE"""),403.4)</f>
        <v>403.4</v>
      </c>
      <c r="C1649" s="1">
        <f>IFERROR(__xludf.DUMMYFUNCTION("""COMPUTED_VALUE"""),405.41)</f>
        <v>405.41</v>
      </c>
      <c r="D1649" s="1">
        <f>IFERROR(__xludf.DUMMYFUNCTION("""COMPUTED_VALUE"""),403.4)</f>
        <v>403.4</v>
      </c>
      <c r="E1649" s="1">
        <f>IFERROR(__xludf.DUMMYFUNCTION("""COMPUTED_VALUE"""),404.04)</f>
        <v>404.04</v>
      </c>
      <c r="F1649" s="1">
        <f>IFERROR(__xludf.DUMMYFUNCTION("""COMPUTED_VALUE"""),2.9560938E7)</f>
        <v>29560938</v>
      </c>
    </row>
    <row r="1650">
      <c r="A1650" s="2">
        <f>IFERROR(__xludf.DUMMYFUNCTION("""COMPUTED_VALUE"""),33779.666666666664)</f>
        <v>33779.66667</v>
      </c>
      <c r="B1650" s="1">
        <f>IFERROR(__xludf.DUMMYFUNCTION("""COMPUTED_VALUE"""),404.05)</f>
        <v>404.05</v>
      </c>
      <c r="C1650" s="1">
        <f>IFERROR(__xludf.DUMMYFUNCTION("""COMPUTED_VALUE"""),404.76)</f>
        <v>404.76</v>
      </c>
      <c r="D1650" s="1">
        <f>IFERROR(__xludf.DUMMYFUNCTION("""COMPUTED_VALUE"""),403.26)</f>
        <v>403.26</v>
      </c>
      <c r="E1650" s="1">
        <f>IFERROR(__xludf.DUMMYFUNCTION("""COMPUTED_VALUE"""),403.84)</f>
        <v>403.84</v>
      </c>
      <c r="F1650" s="1">
        <f>IFERROR(__xludf.DUMMYFUNCTION("""COMPUTED_VALUE"""),3.0292188E7)</f>
        <v>30292188</v>
      </c>
    </row>
    <row r="1651">
      <c r="A1651" s="2">
        <f>IFERROR(__xludf.DUMMYFUNCTION("""COMPUTED_VALUE"""),33780.666666666664)</f>
        <v>33780.66667</v>
      </c>
      <c r="B1651" s="1">
        <f>IFERROR(__xludf.DUMMYFUNCTION("""COMPUTED_VALUE"""),403.83)</f>
        <v>403.83</v>
      </c>
      <c r="C1651" s="1">
        <f>IFERROR(__xludf.DUMMYFUNCTION("""COMPUTED_VALUE"""),405.53)</f>
        <v>405.53</v>
      </c>
      <c r="D1651" s="1">
        <f>IFERROR(__xludf.DUMMYFUNCTION("""COMPUTED_VALUE"""),402.01)</f>
        <v>402.01</v>
      </c>
      <c r="E1651" s="1">
        <f>IFERROR(__xludf.DUMMYFUNCTION("""COMPUTED_VALUE"""),403.12)</f>
        <v>403.12</v>
      </c>
      <c r="F1651" s="1">
        <f>IFERROR(__xludf.DUMMYFUNCTION("""COMPUTED_VALUE"""),2.85875E7)</f>
        <v>28587500</v>
      </c>
    </row>
    <row r="1652">
      <c r="A1652" s="2">
        <f>IFERROR(__xludf.DUMMYFUNCTION("""COMPUTED_VALUE"""),33781.666666666664)</f>
        <v>33781.66667</v>
      </c>
      <c r="B1652" s="1">
        <f>IFERROR(__xludf.DUMMYFUNCTION("""COMPUTED_VALUE"""),403.12)</f>
        <v>403.12</v>
      </c>
      <c r="C1652" s="1">
        <f>IFERROR(__xludf.DUMMYFUNCTION("""COMPUTED_VALUE"""),403.51)</f>
        <v>403.51</v>
      </c>
      <c r="D1652" s="1">
        <f>IFERROR(__xludf.DUMMYFUNCTION("""COMPUTED_VALUE"""),401.94)</f>
        <v>401.94</v>
      </c>
      <c r="E1652" s="1">
        <f>IFERROR(__xludf.DUMMYFUNCTION("""COMPUTED_VALUE"""),403.45)</f>
        <v>403.45</v>
      </c>
      <c r="F1652" s="1">
        <f>IFERROR(__xludf.DUMMYFUNCTION("""COMPUTED_VALUE"""),2.4129688E7)</f>
        <v>24129688</v>
      </c>
    </row>
    <row r="1653">
      <c r="A1653" s="2">
        <f>IFERROR(__xludf.DUMMYFUNCTION("""COMPUTED_VALUE"""),33784.666666666664)</f>
        <v>33784.66667</v>
      </c>
      <c r="B1653" s="1">
        <f>IFERROR(__xludf.DUMMYFUNCTION("""COMPUTED_VALUE"""),403.47)</f>
        <v>403.47</v>
      </c>
      <c r="C1653" s="1">
        <f>IFERROR(__xludf.DUMMYFUNCTION("""COMPUTED_VALUE"""),408.96)</f>
        <v>408.96</v>
      </c>
      <c r="D1653" s="1">
        <f>IFERROR(__xludf.DUMMYFUNCTION("""COMPUTED_VALUE"""),403.47)</f>
        <v>403.47</v>
      </c>
      <c r="E1653" s="1">
        <f>IFERROR(__xludf.DUMMYFUNCTION("""COMPUTED_VALUE"""),408.94)</f>
        <v>408.94</v>
      </c>
      <c r="F1653" s="1">
        <f>IFERROR(__xludf.DUMMYFUNCTION("""COMPUTED_VALUE"""),2.7617188E7)</f>
        <v>27617188</v>
      </c>
    </row>
    <row r="1654">
      <c r="A1654" s="2">
        <f>IFERROR(__xludf.DUMMYFUNCTION("""COMPUTED_VALUE"""),33785.666666666664)</f>
        <v>33785.66667</v>
      </c>
      <c r="B1654" s="1">
        <f>IFERROR(__xludf.DUMMYFUNCTION("""COMPUTED_VALUE"""),408.94)</f>
        <v>408.94</v>
      </c>
      <c r="C1654" s="1">
        <f>IFERROR(__xludf.DUMMYFUNCTION("""COMPUTED_VALUE"""),409.63)</f>
        <v>409.63</v>
      </c>
      <c r="D1654" s="1">
        <f>IFERROR(__xludf.DUMMYFUNCTION("""COMPUTED_VALUE"""),407.85)</f>
        <v>407.85</v>
      </c>
      <c r="E1654" s="1">
        <f>IFERROR(__xludf.DUMMYFUNCTION("""COMPUTED_VALUE"""),408.14)</f>
        <v>408.14</v>
      </c>
      <c r="F1654" s="1">
        <f>IFERROR(__xludf.DUMMYFUNCTION("""COMPUTED_VALUE"""),3.0551562E7)</f>
        <v>30551562</v>
      </c>
    </row>
    <row r="1655">
      <c r="A1655" s="2">
        <f>IFERROR(__xludf.DUMMYFUNCTION("""COMPUTED_VALUE"""),33786.666666666664)</f>
        <v>33786.66667</v>
      </c>
      <c r="B1655" s="1">
        <f>IFERROR(__xludf.DUMMYFUNCTION("""COMPUTED_VALUE"""),408.2)</f>
        <v>408.2</v>
      </c>
      <c r="C1655" s="1">
        <f>IFERROR(__xludf.DUMMYFUNCTION("""COMPUTED_VALUE"""),412.88)</f>
        <v>412.88</v>
      </c>
      <c r="D1655" s="1">
        <f>IFERROR(__xludf.DUMMYFUNCTION("""COMPUTED_VALUE"""),408.2)</f>
        <v>408.2</v>
      </c>
      <c r="E1655" s="1">
        <f>IFERROR(__xludf.DUMMYFUNCTION("""COMPUTED_VALUE"""),412.88)</f>
        <v>412.88</v>
      </c>
      <c r="F1655" s="1">
        <f>IFERROR(__xludf.DUMMYFUNCTION("""COMPUTED_VALUE"""),3.3476562E7)</f>
        <v>33476562</v>
      </c>
    </row>
    <row r="1656">
      <c r="A1656" s="2">
        <f>IFERROR(__xludf.DUMMYFUNCTION("""COMPUTED_VALUE"""),33787.666666666664)</f>
        <v>33787.66667</v>
      </c>
      <c r="B1656" s="1">
        <f>IFERROR(__xludf.DUMMYFUNCTION("""COMPUTED_VALUE"""),412.88)</f>
        <v>412.88</v>
      </c>
      <c r="C1656" s="1">
        <f>IFERROR(__xludf.DUMMYFUNCTION("""COMPUTED_VALUE"""),415.71)</f>
        <v>415.71</v>
      </c>
      <c r="D1656" s="1">
        <f>IFERROR(__xludf.DUMMYFUNCTION("""COMPUTED_VALUE"""),410.07)</f>
        <v>410.07</v>
      </c>
      <c r="E1656" s="1">
        <f>IFERROR(__xludf.DUMMYFUNCTION("""COMPUTED_VALUE"""),411.77)</f>
        <v>411.77</v>
      </c>
      <c r="F1656" s="1">
        <f>IFERROR(__xludf.DUMMYFUNCTION("""COMPUTED_VALUE"""),3.4406248E7)</f>
        <v>34406248</v>
      </c>
    </row>
    <row r="1657">
      <c r="A1657" s="2">
        <f>IFERROR(__xludf.DUMMYFUNCTION("""COMPUTED_VALUE"""),33791.666666666664)</f>
        <v>33791.66667</v>
      </c>
      <c r="B1657" s="1">
        <f>IFERROR(__xludf.DUMMYFUNCTION("""COMPUTED_VALUE"""),411.77)</f>
        <v>411.77</v>
      </c>
      <c r="C1657" s="1">
        <f>IFERROR(__xludf.DUMMYFUNCTION("""COMPUTED_VALUE"""),413.84)</f>
        <v>413.84</v>
      </c>
      <c r="D1657" s="1">
        <f>IFERROR(__xludf.DUMMYFUNCTION("""COMPUTED_VALUE"""),410.46)</f>
        <v>410.46</v>
      </c>
      <c r="E1657" s="1">
        <f>IFERROR(__xludf.DUMMYFUNCTION("""COMPUTED_VALUE"""),413.84)</f>
        <v>413.84</v>
      </c>
      <c r="F1657" s="1">
        <f>IFERROR(__xludf.DUMMYFUNCTION("""COMPUTED_VALUE"""),2.920625E7)</f>
        <v>29206250</v>
      </c>
    </row>
    <row r="1658">
      <c r="A1658" s="2">
        <f>IFERROR(__xludf.DUMMYFUNCTION("""COMPUTED_VALUE"""),33792.666666666664)</f>
        <v>33792.66667</v>
      </c>
      <c r="B1658" s="1">
        <f>IFERROR(__xludf.DUMMYFUNCTION("""COMPUTED_VALUE"""),413.83)</f>
        <v>413.83</v>
      </c>
      <c r="C1658" s="1">
        <f>IFERROR(__xludf.DUMMYFUNCTION("""COMPUTED_VALUE"""),415.33)</f>
        <v>415.33</v>
      </c>
      <c r="D1658" s="1">
        <f>IFERROR(__xludf.DUMMYFUNCTION("""COMPUTED_VALUE"""),408.58)</f>
        <v>408.58</v>
      </c>
      <c r="E1658" s="1">
        <f>IFERROR(__xludf.DUMMYFUNCTION("""COMPUTED_VALUE"""),409.16)</f>
        <v>409.16</v>
      </c>
      <c r="F1658" s="1">
        <f>IFERROR(__xludf.DUMMYFUNCTION("""COMPUTED_VALUE"""),3.5320312E7)</f>
        <v>35320312</v>
      </c>
    </row>
    <row r="1659">
      <c r="A1659" s="2">
        <f>IFERROR(__xludf.DUMMYFUNCTION("""COMPUTED_VALUE"""),33793.666666666664)</f>
        <v>33793.66667</v>
      </c>
      <c r="B1659" s="1">
        <f>IFERROR(__xludf.DUMMYFUNCTION("""COMPUTED_VALUE"""),409.15)</f>
        <v>409.15</v>
      </c>
      <c r="C1659" s="1">
        <f>IFERROR(__xludf.DUMMYFUNCTION("""COMPUTED_VALUE"""),410.28)</f>
        <v>410.28</v>
      </c>
      <c r="D1659" s="1">
        <f>IFERROR(__xludf.DUMMYFUNCTION("""COMPUTED_VALUE"""),407.2)</f>
        <v>407.2</v>
      </c>
      <c r="E1659" s="1">
        <f>IFERROR(__xludf.DUMMYFUNCTION("""COMPUTED_VALUE"""),410.28)</f>
        <v>410.28</v>
      </c>
      <c r="F1659" s="1">
        <f>IFERROR(__xludf.DUMMYFUNCTION("""COMPUTED_VALUE"""),3.1410938E7)</f>
        <v>31410938</v>
      </c>
    </row>
    <row r="1660">
      <c r="A1660" s="2">
        <f>IFERROR(__xludf.DUMMYFUNCTION("""COMPUTED_VALUE"""),33794.666666666664)</f>
        <v>33794.66667</v>
      </c>
      <c r="B1660" s="1">
        <f>IFERROR(__xludf.DUMMYFUNCTION("""COMPUTED_VALUE"""),410.28)</f>
        <v>410.28</v>
      </c>
      <c r="C1660" s="1">
        <f>IFERROR(__xludf.DUMMYFUNCTION("""COMPUTED_VALUE"""),414.69)</f>
        <v>414.69</v>
      </c>
      <c r="D1660" s="1">
        <f>IFERROR(__xludf.DUMMYFUNCTION("""COMPUTED_VALUE"""),410.26)</f>
        <v>410.26</v>
      </c>
      <c r="E1660" s="1">
        <f>IFERROR(__xludf.DUMMYFUNCTION("""COMPUTED_VALUE"""),414.23)</f>
        <v>414.23</v>
      </c>
      <c r="F1660" s="1">
        <f>IFERROR(__xludf.DUMMYFUNCTION("""COMPUTED_VALUE"""),3.2496876E7)</f>
        <v>32496876</v>
      </c>
    </row>
    <row r="1661">
      <c r="A1661" s="2">
        <f>IFERROR(__xludf.DUMMYFUNCTION("""COMPUTED_VALUE"""),33795.666666666664)</f>
        <v>33795.66667</v>
      </c>
      <c r="B1661" s="1">
        <f>IFERROR(__xludf.DUMMYFUNCTION("""COMPUTED_VALUE"""),414.23)</f>
        <v>414.23</v>
      </c>
      <c r="C1661" s="1">
        <f>IFERROR(__xludf.DUMMYFUNCTION("""COMPUTED_VALUE"""),415.88)</f>
        <v>415.88</v>
      </c>
      <c r="D1661" s="1">
        <f>IFERROR(__xludf.DUMMYFUNCTION("""COMPUTED_VALUE"""),413.34)</f>
        <v>413.34</v>
      </c>
      <c r="E1661" s="1">
        <f>IFERROR(__xludf.DUMMYFUNCTION("""COMPUTED_VALUE"""),414.62)</f>
        <v>414.62</v>
      </c>
      <c r="F1661" s="1">
        <f>IFERROR(__xludf.DUMMYFUNCTION("""COMPUTED_VALUE"""),2.5745312E7)</f>
        <v>25745312</v>
      </c>
    </row>
    <row r="1662">
      <c r="A1662" s="2">
        <f>IFERROR(__xludf.DUMMYFUNCTION("""COMPUTED_VALUE"""),33798.666666666664)</f>
        <v>33798.66667</v>
      </c>
      <c r="B1662" s="1">
        <f>IFERROR(__xludf.DUMMYFUNCTION("""COMPUTED_VALUE"""),414.62)</f>
        <v>414.62</v>
      </c>
      <c r="C1662" s="1">
        <f>IFERROR(__xludf.DUMMYFUNCTION("""COMPUTED_VALUE"""),415.86)</f>
        <v>415.86</v>
      </c>
      <c r="D1662" s="1">
        <f>IFERROR(__xludf.DUMMYFUNCTION("""COMPUTED_VALUE"""),413.93)</f>
        <v>413.93</v>
      </c>
      <c r="E1662" s="1">
        <f>IFERROR(__xludf.DUMMYFUNCTION("""COMPUTED_VALUE"""),414.87)</f>
        <v>414.87</v>
      </c>
      <c r="F1662" s="1">
        <f>IFERROR(__xludf.DUMMYFUNCTION("""COMPUTED_VALUE"""),2.3260938E7)</f>
        <v>23260938</v>
      </c>
    </row>
    <row r="1663">
      <c r="A1663" s="2">
        <f>IFERROR(__xludf.DUMMYFUNCTION("""COMPUTED_VALUE"""),33799.666666666664)</f>
        <v>33799.66667</v>
      </c>
      <c r="B1663" s="1">
        <f>IFERROR(__xludf.DUMMYFUNCTION("""COMPUTED_VALUE"""),414.86)</f>
        <v>414.86</v>
      </c>
      <c r="C1663" s="1">
        <f>IFERROR(__xludf.DUMMYFUNCTION("""COMPUTED_VALUE"""),417.69)</f>
        <v>417.69</v>
      </c>
      <c r="D1663" s="1">
        <f>IFERROR(__xludf.DUMMYFUNCTION("""COMPUTED_VALUE"""),414.33)</f>
        <v>414.33</v>
      </c>
      <c r="E1663" s="1">
        <f>IFERROR(__xludf.DUMMYFUNCTION("""COMPUTED_VALUE"""),417.68)</f>
        <v>417.68</v>
      </c>
      <c r="F1663" s="1">
        <f>IFERROR(__xludf.DUMMYFUNCTION("""COMPUTED_VALUE"""),3.0557812E7)</f>
        <v>30557812</v>
      </c>
    </row>
    <row r="1664">
      <c r="A1664" s="2">
        <f>IFERROR(__xludf.DUMMYFUNCTION("""COMPUTED_VALUE"""),33800.666666666664)</f>
        <v>33800.66667</v>
      </c>
      <c r="B1664" s="1">
        <f>IFERROR(__xludf.DUMMYFUNCTION("""COMPUTED_VALUE"""),417.68)</f>
        <v>417.68</v>
      </c>
      <c r="C1664" s="1">
        <f>IFERROR(__xludf.DUMMYFUNCTION("""COMPUTED_VALUE"""),417.81)</f>
        <v>417.81</v>
      </c>
      <c r="D1664" s="1">
        <f>IFERROR(__xludf.DUMMYFUNCTION("""COMPUTED_VALUE"""),416.29)</f>
        <v>416.29</v>
      </c>
      <c r="E1664" s="1">
        <f>IFERROR(__xludf.DUMMYFUNCTION("""COMPUTED_VALUE"""),417.1)</f>
        <v>417.1</v>
      </c>
      <c r="F1664" s="1">
        <f>IFERROR(__xludf.DUMMYFUNCTION("""COMPUTED_VALUE"""),3.2275E7)</f>
        <v>32275000</v>
      </c>
    </row>
    <row r="1665">
      <c r="A1665" s="2">
        <f>IFERROR(__xludf.DUMMYFUNCTION("""COMPUTED_VALUE"""),33801.666666666664)</f>
        <v>33801.66667</v>
      </c>
      <c r="B1665" s="1">
        <f>IFERROR(__xludf.DUMMYFUNCTION("""COMPUTED_VALUE"""),417.04)</f>
        <v>417.04</v>
      </c>
      <c r="C1665" s="1">
        <f>IFERROR(__xludf.DUMMYFUNCTION("""COMPUTED_VALUE"""),417.93)</f>
        <v>417.93</v>
      </c>
      <c r="D1665" s="1">
        <f>IFERROR(__xludf.DUMMYFUNCTION("""COMPUTED_VALUE"""),414.79)</f>
        <v>414.79</v>
      </c>
      <c r="E1665" s="1">
        <f>IFERROR(__xludf.DUMMYFUNCTION("""COMPUTED_VALUE"""),417.54)</f>
        <v>417.54</v>
      </c>
      <c r="F1665" s="1">
        <f>IFERROR(__xludf.DUMMYFUNCTION("""COMPUTED_VALUE"""),3.2328124E7)</f>
        <v>32328124</v>
      </c>
    </row>
    <row r="1666">
      <c r="A1666" s="2">
        <f>IFERROR(__xludf.DUMMYFUNCTION("""COMPUTED_VALUE"""),33802.666666666664)</f>
        <v>33802.66667</v>
      </c>
      <c r="B1666" s="1">
        <f>IFERROR(__xludf.DUMMYFUNCTION("""COMPUTED_VALUE"""),417.54)</f>
        <v>417.54</v>
      </c>
      <c r="C1666" s="1">
        <f>IFERROR(__xludf.DUMMYFUNCTION("""COMPUTED_VALUE"""),417.54)</f>
        <v>417.54</v>
      </c>
      <c r="D1666" s="1">
        <f>IFERROR(__xludf.DUMMYFUNCTION("""COMPUTED_VALUE"""),412.96)</f>
        <v>412.96</v>
      </c>
      <c r="E1666" s="1">
        <f>IFERROR(__xludf.DUMMYFUNCTION("""COMPUTED_VALUE"""),415.62)</f>
        <v>415.62</v>
      </c>
      <c r="F1666" s="1">
        <f>IFERROR(__xludf.DUMMYFUNCTION("""COMPUTED_VALUE"""),3.001875E7)</f>
        <v>30018750</v>
      </c>
    </row>
    <row r="1667">
      <c r="A1667" s="2">
        <f>IFERROR(__xludf.DUMMYFUNCTION("""COMPUTED_VALUE"""),33805.666666666664)</f>
        <v>33805.66667</v>
      </c>
      <c r="B1667" s="1">
        <f>IFERROR(__xludf.DUMMYFUNCTION("""COMPUTED_VALUE"""),415.62)</f>
        <v>415.62</v>
      </c>
      <c r="C1667" s="1">
        <f>IFERROR(__xludf.DUMMYFUNCTION("""COMPUTED_VALUE"""),415.62)</f>
        <v>415.62</v>
      </c>
      <c r="D1667" s="1">
        <f>IFERROR(__xludf.DUMMYFUNCTION("""COMPUTED_VALUE"""),410.72)</f>
        <v>410.72</v>
      </c>
      <c r="E1667" s="1">
        <f>IFERROR(__xludf.DUMMYFUNCTION("""COMPUTED_VALUE"""),413.75)</f>
        <v>413.75</v>
      </c>
      <c r="F1667" s="1">
        <f>IFERROR(__xludf.DUMMYFUNCTION("""COMPUTED_VALUE"""),2.59E7)</f>
        <v>25900000</v>
      </c>
    </row>
    <row r="1668">
      <c r="A1668" s="2">
        <f>IFERROR(__xludf.DUMMYFUNCTION("""COMPUTED_VALUE"""),33806.666666666664)</f>
        <v>33806.66667</v>
      </c>
      <c r="B1668" s="1">
        <f>IFERROR(__xludf.DUMMYFUNCTION("""COMPUTED_VALUE"""),413.75)</f>
        <v>413.75</v>
      </c>
      <c r="C1668" s="1">
        <f>IFERROR(__xludf.DUMMYFUNCTION("""COMPUTED_VALUE"""),414.92)</f>
        <v>414.92</v>
      </c>
      <c r="D1668" s="1">
        <f>IFERROR(__xludf.DUMMYFUNCTION("""COMPUTED_VALUE"""),413.1)</f>
        <v>413.1</v>
      </c>
      <c r="E1668" s="1">
        <f>IFERROR(__xludf.DUMMYFUNCTION("""COMPUTED_VALUE"""),413.76)</f>
        <v>413.76</v>
      </c>
      <c r="F1668" s="1">
        <f>IFERROR(__xludf.DUMMYFUNCTION("""COMPUTED_VALUE"""),2.715E7)</f>
        <v>27150000</v>
      </c>
    </row>
    <row r="1669">
      <c r="A1669" s="2">
        <f>IFERROR(__xludf.DUMMYFUNCTION("""COMPUTED_VALUE"""),33807.666666666664)</f>
        <v>33807.66667</v>
      </c>
      <c r="B1669" s="1">
        <f>IFERROR(__xludf.DUMMYFUNCTION("""COMPUTED_VALUE"""),413.74)</f>
        <v>413.74</v>
      </c>
      <c r="C1669" s="1">
        <f>IFERROR(__xludf.DUMMYFUNCTION("""COMPUTED_VALUE"""),413.74)</f>
        <v>413.74</v>
      </c>
      <c r="D1669" s="1">
        <f>IFERROR(__xludf.DUMMYFUNCTION("""COMPUTED_VALUE"""),409.95)</f>
        <v>409.95</v>
      </c>
      <c r="E1669" s="1">
        <f>IFERROR(__xludf.DUMMYFUNCTION("""COMPUTED_VALUE"""),410.93)</f>
        <v>410.93</v>
      </c>
      <c r="F1669" s="1">
        <f>IFERROR(__xludf.DUMMYFUNCTION("""COMPUTED_VALUE"""),2.97125E7)</f>
        <v>29712500</v>
      </c>
    </row>
    <row r="1670">
      <c r="A1670" s="2">
        <f>IFERROR(__xludf.DUMMYFUNCTION("""COMPUTED_VALUE"""),33808.666666666664)</f>
        <v>33808.66667</v>
      </c>
      <c r="B1670" s="1">
        <f>IFERROR(__xludf.DUMMYFUNCTION("""COMPUTED_VALUE"""),410.93)</f>
        <v>410.93</v>
      </c>
      <c r="C1670" s="1">
        <f>IFERROR(__xludf.DUMMYFUNCTION("""COMPUTED_VALUE"""),412.08)</f>
        <v>412.08</v>
      </c>
      <c r="D1670" s="1">
        <f>IFERROR(__xludf.DUMMYFUNCTION("""COMPUTED_VALUE"""),409.81)</f>
        <v>409.81</v>
      </c>
      <c r="E1670" s="1">
        <f>IFERROR(__xludf.DUMMYFUNCTION("""COMPUTED_VALUE"""),412.08)</f>
        <v>412.08</v>
      </c>
      <c r="F1670" s="1">
        <f>IFERROR(__xludf.DUMMYFUNCTION("""COMPUTED_VALUE"""),2.7420312E7)</f>
        <v>27420312</v>
      </c>
    </row>
    <row r="1671">
      <c r="A1671" s="2">
        <f>IFERROR(__xludf.DUMMYFUNCTION("""COMPUTED_VALUE"""),33809.666666666664)</f>
        <v>33809.66667</v>
      </c>
      <c r="B1671" s="1">
        <f>IFERROR(__xludf.DUMMYFUNCTION("""COMPUTED_VALUE"""),412.07)</f>
        <v>412.07</v>
      </c>
      <c r="C1671" s="1">
        <f>IFERROR(__xludf.DUMMYFUNCTION("""COMPUTED_VALUE"""),412.07)</f>
        <v>412.07</v>
      </c>
      <c r="D1671" s="1">
        <f>IFERROR(__xludf.DUMMYFUNCTION("""COMPUTED_VALUE"""),409.93)</f>
        <v>409.93</v>
      </c>
      <c r="E1671" s="1">
        <f>IFERROR(__xludf.DUMMYFUNCTION("""COMPUTED_VALUE"""),411.6)</f>
        <v>411.6</v>
      </c>
      <c r="F1671" s="1">
        <f>IFERROR(__xludf.DUMMYFUNCTION("""COMPUTED_VALUE"""),2.5607812E7)</f>
        <v>25607812</v>
      </c>
    </row>
    <row r="1672">
      <c r="A1672" s="2">
        <f>IFERROR(__xludf.DUMMYFUNCTION("""COMPUTED_VALUE"""),33812.666666666664)</f>
        <v>33812.66667</v>
      </c>
      <c r="B1672" s="1">
        <f>IFERROR(__xludf.DUMMYFUNCTION("""COMPUTED_VALUE"""),411.6)</f>
        <v>411.6</v>
      </c>
      <c r="C1672" s="1">
        <f>IFERROR(__xludf.DUMMYFUNCTION("""COMPUTED_VALUE"""),412.67)</f>
        <v>412.67</v>
      </c>
      <c r="D1672" s="1">
        <f>IFERROR(__xludf.DUMMYFUNCTION("""COMPUTED_VALUE"""),411.27)</f>
        <v>411.27</v>
      </c>
      <c r="E1672" s="1">
        <f>IFERROR(__xludf.DUMMYFUNCTION("""COMPUTED_VALUE"""),411.54)</f>
        <v>411.54</v>
      </c>
      <c r="F1672" s="1">
        <f>IFERROR(__xludf.DUMMYFUNCTION("""COMPUTED_VALUE"""),2.5734376E7)</f>
        <v>25734376</v>
      </c>
    </row>
    <row r="1673">
      <c r="A1673" s="2">
        <f>IFERROR(__xludf.DUMMYFUNCTION("""COMPUTED_VALUE"""),33813.666666666664)</f>
        <v>33813.66667</v>
      </c>
      <c r="B1673" s="1">
        <f>IFERROR(__xludf.DUMMYFUNCTION("""COMPUTED_VALUE"""),411.55)</f>
        <v>411.55</v>
      </c>
      <c r="C1673" s="1">
        <f>IFERROR(__xludf.DUMMYFUNCTION("""COMPUTED_VALUE"""),417.55)</f>
        <v>417.55</v>
      </c>
      <c r="D1673" s="1">
        <f>IFERROR(__xludf.DUMMYFUNCTION("""COMPUTED_VALUE"""),411.55)</f>
        <v>411.55</v>
      </c>
      <c r="E1673" s="1">
        <f>IFERROR(__xludf.DUMMYFUNCTION("""COMPUTED_VALUE"""),417.52)</f>
        <v>417.52</v>
      </c>
      <c r="F1673" s="1">
        <f>IFERROR(__xludf.DUMMYFUNCTION("""COMPUTED_VALUE"""),3.4071876E7)</f>
        <v>34071876</v>
      </c>
    </row>
    <row r="1674">
      <c r="A1674" s="2">
        <f>IFERROR(__xludf.DUMMYFUNCTION("""COMPUTED_VALUE"""),33814.666666666664)</f>
        <v>33814.66667</v>
      </c>
      <c r="B1674" s="1">
        <f>IFERROR(__xludf.DUMMYFUNCTION("""COMPUTED_VALUE"""),417.52)</f>
        <v>417.52</v>
      </c>
      <c r="C1674" s="1">
        <f>IFERROR(__xludf.DUMMYFUNCTION("""COMPUTED_VALUE"""),423.02)</f>
        <v>423.02</v>
      </c>
      <c r="D1674" s="1">
        <f>IFERROR(__xludf.DUMMYFUNCTION("""COMPUTED_VALUE"""),417.52)</f>
        <v>417.52</v>
      </c>
      <c r="E1674" s="1">
        <f>IFERROR(__xludf.DUMMYFUNCTION("""COMPUTED_VALUE"""),422.23)</f>
        <v>422.23</v>
      </c>
      <c r="F1674" s="1">
        <f>IFERROR(__xludf.DUMMYFUNCTION("""COMPUTED_VALUE"""),4.3101564E7)</f>
        <v>43101564</v>
      </c>
    </row>
    <row r="1675">
      <c r="A1675" s="2">
        <f>IFERROR(__xludf.DUMMYFUNCTION("""COMPUTED_VALUE"""),33815.666666666664)</f>
        <v>33815.66667</v>
      </c>
      <c r="B1675" s="1">
        <f>IFERROR(__xludf.DUMMYFUNCTION("""COMPUTED_VALUE"""),422.2)</f>
        <v>422.2</v>
      </c>
      <c r="C1675" s="1">
        <f>IFERROR(__xludf.DUMMYFUNCTION("""COMPUTED_VALUE"""),423.94)</f>
        <v>423.94</v>
      </c>
      <c r="D1675" s="1">
        <f>IFERROR(__xludf.DUMMYFUNCTION("""COMPUTED_VALUE"""),421.57)</f>
        <v>421.57</v>
      </c>
      <c r="E1675" s="1">
        <f>IFERROR(__xludf.DUMMYFUNCTION("""COMPUTED_VALUE"""),423.92)</f>
        <v>423.92</v>
      </c>
      <c r="F1675" s="1">
        <f>IFERROR(__xludf.DUMMYFUNCTION("""COMPUTED_VALUE"""),3.0220312E7)</f>
        <v>30220312</v>
      </c>
    </row>
    <row r="1676">
      <c r="A1676" s="2">
        <f>IFERROR(__xludf.DUMMYFUNCTION("""COMPUTED_VALUE"""),33816.666666666664)</f>
        <v>33816.66667</v>
      </c>
      <c r="B1676" s="1">
        <f>IFERROR(__xludf.DUMMYFUNCTION("""COMPUTED_VALUE"""),423.92)</f>
        <v>423.92</v>
      </c>
      <c r="C1676" s="1">
        <f>IFERROR(__xludf.DUMMYFUNCTION("""COMPUTED_VALUE"""),424.8)</f>
        <v>424.8</v>
      </c>
      <c r="D1676" s="1">
        <f>IFERROR(__xludf.DUMMYFUNCTION("""COMPUTED_VALUE"""),422.46)</f>
        <v>422.46</v>
      </c>
      <c r="E1676" s="1">
        <f>IFERROR(__xludf.DUMMYFUNCTION("""COMPUTED_VALUE"""),424.21)</f>
        <v>424.21</v>
      </c>
      <c r="F1676" s="1">
        <f>IFERROR(__xludf.DUMMYFUNCTION("""COMPUTED_VALUE"""),2.701875E7)</f>
        <v>27018750</v>
      </c>
    </row>
    <row r="1677">
      <c r="A1677" s="2">
        <f>IFERROR(__xludf.DUMMYFUNCTION("""COMPUTED_VALUE"""),33819.666666666664)</f>
        <v>33819.66667</v>
      </c>
      <c r="B1677" s="1">
        <f>IFERROR(__xludf.DUMMYFUNCTION("""COMPUTED_VALUE"""),424.19)</f>
        <v>424.19</v>
      </c>
      <c r="C1677" s="1">
        <f>IFERROR(__xludf.DUMMYFUNCTION("""COMPUTED_VALUE"""),425.09)</f>
        <v>425.09</v>
      </c>
      <c r="D1677" s="1">
        <f>IFERROR(__xludf.DUMMYFUNCTION("""COMPUTED_VALUE"""),422.84)</f>
        <v>422.84</v>
      </c>
      <c r="E1677" s="1">
        <f>IFERROR(__xludf.DUMMYFUNCTION("""COMPUTED_VALUE"""),425.09)</f>
        <v>425.09</v>
      </c>
      <c r="F1677" s="1">
        <f>IFERROR(__xludf.DUMMYFUNCTION("""COMPUTED_VALUE"""),2.5696876E7)</f>
        <v>25696876</v>
      </c>
    </row>
    <row r="1678">
      <c r="A1678" s="2">
        <f>IFERROR(__xludf.DUMMYFUNCTION("""COMPUTED_VALUE"""),33820.666666666664)</f>
        <v>33820.66667</v>
      </c>
      <c r="B1678" s="1">
        <f>IFERROR(__xludf.DUMMYFUNCTION("""COMPUTED_VALUE"""),425.09)</f>
        <v>425.09</v>
      </c>
      <c r="C1678" s="1">
        <f>IFERROR(__xludf.DUMMYFUNCTION("""COMPUTED_VALUE"""),425.14)</f>
        <v>425.14</v>
      </c>
      <c r="D1678" s="1">
        <f>IFERROR(__xludf.DUMMYFUNCTION("""COMPUTED_VALUE"""),423.1)</f>
        <v>423.1</v>
      </c>
      <c r="E1678" s="1">
        <f>IFERROR(__xludf.DUMMYFUNCTION("""COMPUTED_VALUE"""),424.36)</f>
        <v>424.36</v>
      </c>
      <c r="F1678" s="1">
        <f>IFERROR(__xludf.DUMMYFUNCTION("""COMPUTED_VALUE"""),2.605625E7)</f>
        <v>26056250</v>
      </c>
    </row>
    <row r="1679">
      <c r="A1679" s="2">
        <f>IFERROR(__xludf.DUMMYFUNCTION("""COMPUTED_VALUE"""),33821.666666666664)</f>
        <v>33821.66667</v>
      </c>
      <c r="B1679" s="1">
        <f>IFERROR(__xludf.DUMMYFUNCTION("""COMPUTED_VALUE"""),424.35)</f>
        <v>424.35</v>
      </c>
      <c r="C1679" s="1">
        <f>IFERROR(__xludf.DUMMYFUNCTION("""COMPUTED_VALUE"""),424.35)</f>
        <v>424.35</v>
      </c>
      <c r="D1679" s="1">
        <f>IFERROR(__xludf.DUMMYFUNCTION("""COMPUTED_VALUE"""),421.92)</f>
        <v>421.92</v>
      </c>
      <c r="E1679" s="1">
        <f>IFERROR(__xludf.DUMMYFUNCTION("""COMPUTED_VALUE"""),422.19)</f>
        <v>422.19</v>
      </c>
      <c r="F1679" s="1">
        <f>IFERROR(__xludf.DUMMYFUNCTION("""COMPUTED_VALUE"""),2.6945312E7)</f>
        <v>26945312</v>
      </c>
    </row>
    <row r="1680">
      <c r="A1680" s="2">
        <f>IFERROR(__xludf.DUMMYFUNCTION("""COMPUTED_VALUE"""),33822.666666666664)</f>
        <v>33822.66667</v>
      </c>
      <c r="B1680" s="1">
        <f>IFERROR(__xludf.DUMMYFUNCTION("""COMPUTED_VALUE"""),422.19)</f>
        <v>422.19</v>
      </c>
      <c r="C1680" s="1">
        <f>IFERROR(__xludf.DUMMYFUNCTION("""COMPUTED_VALUE"""),422.36)</f>
        <v>422.36</v>
      </c>
      <c r="D1680" s="1">
        <f>IFERROR(__xludf.DUMMYFUNCTION("""COMPUTED_VALUE"""),420.26)</f>
        <v>420.26</v>
      </c>
      <c r="E1680" s="1">
        <f>IFERROR(__xludf.DUMMYFUNCTION("""COMPUTED_VALUE"""),420.59)</f>
        <v>420.59</v>
      </c>
      <c r="F1680" s="1">
        <f>IFERROR(__xludf.DUMMYFUNCTION("""COMPUTED_VALUE"""),2.835E7)</f>
        <v>28350000</v>
      </c>
    </row>
    <row r="1681">
      <c r="A1681" s="2">
        <f>IFERROR(__xludf.DUMMYFUNCTION("""COMPUTED_VALUE"""),33823.666666666664)</f>
        <v>33823.66667</v>
      </c>
      <c r="B1681" s="1">
        <f>IFERROR(__xludf.DUMMYFUNCTION("""COMPUTED_VALUE"""),420.59)</f>
        <v>420.59</v>
      </c>
      <c r="C1681" s="1">
        <f>IFERROR(__xludf.DUMMYFUNCTION("""COMPUTED_VALUE"""),423.45)</f>
        <v>423.45</v>
      </c>
      <c r="D1681" s="1">
        <f>IFERROR(__xludf.DUMMYFUNCTION("""COMPUTED_VALUE"""),418.51)</f>
        <v>418.51</v>
      </c>
      <c r="E1681" s="1">
        <f>IFERROR(__xludf.DUMMYFUNCTION("""COMPUTED_VALUE"""),418.88)</f>
        <v>418.88</v>
      </c>
      <c r="F1681" s="1">
        <f>IFERROR(__xludf.DUMMYFUNCTION("""COMPUTED_VALUE"""),2.97875E7)</f>
        <v>29787500</v>
      </c>
    </row>
    <row r="1682">
      <c r="A1682" s="2">
        <f>IFERROR(__xludf.DUMMYFUNCTION("""COMPUTED_VALUE"""),33826.666666666664)</f>
        <v>33826.66667</v>
      </c>
      <c r="B1682" s="1">
        <f>IFERROR(__xludf.DUMMYFUNCTION("""COMPUTED_VALUE"""),418.87)</f>
        <v>418.87</v>
      </c>
      <c r="C1682" s="1">
        <f>IFERROR(__xludf.DUMMYFUNCTION("""COMPUTED_VALUE"""),419.42)</f>
        <v>419.42</v>
      </c>
      <c r="D1682" s="1">
        <f>IFERROR(__xludf.DUMMYFUNCTION("""COMPUTED_VALUE"""),417.04)</f>
        <v>417.04</v>
      </c>
      <c r="E1682" s="1">
        <f>IFERROR(__xludf.DUMMYFUNCTION("""COMPUTED_VALUE"""),419.42)</f>
        <v>419.42</v>
      </c>
      <c r="F1682" s="1">
        <f>IFERROR(__xludf.DUMMYFUNCTION("""COMPUTED_VALUE"""),2.22625E7)</f>
        <v>22262500</v>
      </c>
    </row>
    <row r="1683">
      <c r="A1683" s="2">
        <f>IFERROR(__xludf.DUMMYFUNCTION("""COMPUTED_VALUE"""),33827.666666666664)</f>
        <v>33827.66667</v>
      </c>
      <c r="B1683" s="1">
        <f>IFERROR(__xludf.DUMMYFUNCTION("""COMPUTED_VALUE"""),419.45)</f>
        <v>419.45</v>
      </c>
      <c r="C1683" s="1">
        <f>IFERROR(__xludf.DUMMYFUNCTION("""COMPUTED_VALUE"""),419.72)</f>
        <v>419.72</v>
      </c>
      <c r="D1683" s="1">
        <f>IFERROR(__xludf.DUMMYFUNCTION("""COMPUTED_VALUE"""),416.53)</f>
        <v>416.53</v>
      </c>
      <c r="E1683" s="1">
        <f>IFERROR(__xludf.DUMMYFUNCTION("""COMPUTED_VALUE"""),418.9)</f>
        <v>418.9</v>
      </c>
      <c r="F1683" s="1">
        <f>IFERROR(__xludf.DUMMYFUNCTION("""COMPUTED_VALUE"""),2.7178124E7)</f>
        <v>27178124</v>
      </c>
    </row>
    <row r="1684">
      <c r="A1684" s="2">
        <f>IFERROR(__xludf.DUMMYFUNCTION("""COMPUTED_VALUE"""),33828.666666666664)</f>
        <v>33828.66667</v>
      </c>
      <c r="B1684" s="1">
        <f>IFERROR(__xludf.DUMMYFUNCTION("""COMPUTED_VALUE"""),418.89)</f>
        <v>418.89</v>
      </c>
      <c r="C1684" s="1">
        <f>IFERROR(__xludf.DUMMYFUNCTION("""COMPUTED_VALUE"""),419.75)</f>
        <v>419.75</v>
      </c>
      <c r="D1684" s="1">
        <f>IFERROR(__xludf.DUMMYFUNCTION("""COMPUTED_VALUE"""),416.43)</f>
        <v>416.43</v>
      </c>
      <c r="E1684" s="1">
        <f>IFERROR(__xludf.DUMMYFUNCTION("""COMPUTED_VALUE"""),417.78)</f>
        <v>417.78</v>
      </c>
      <c r="F1684" s="1">
        <f>IFERROR(__xludf.DUMMYFUNCTION("""COMPUTED_VALUE"""),2.75875E7)</f>
        <v>27587500</v>
      </c>
    </row>
    <row r="1685">
      <c r="A1685" s="2">
        <f>IFERROR(__xludf.DUMMYFUNCTION("""COMPUTED_VALUE"""),33829.666666666664)</f>
        <v>33829.66667</v>
      </c>
      <c r="B1685" s="1">
        <f>IFERROR(__xludf.DUMMYFUNCTION("""COMPUTED_VALUE"""),417.78)</f>
        <v>417.78</v>
      </c>
      <c r="C1685" s="1">
        <f>IFERROR(__xludf.DUMMYFUNCTION("""COMPUTED_VALUE"""),419.88)</f>
        <v>419.88</v>
      </c>
      <c r="D1685" s="1">
        <f>IFERROR(__xludf.DUMMYFUNCTION("""COMPUTED_VALUE"""),416.4)</f>
        <v>416.4</v>
      </c>
      <c r="E1685" s="1">
        <f>IFERROR(__xludf.DUMMYFUNCTION("""COMPUTED_VALUE"""),417.73)</f>
        <v>417.73</v>
      </c>
      <c r="F1685" s="1">
        <f>IFERROR(__xludf.DUMMYFUNCTION("""COMPUTED_VALUE"""),2.9023438E7)</f>
        <v>29023438</v>
      </c>
    </row>
    <row r="1686">
      <c r="A1686" s="2">
        <f>IFERROR(__xludf.DUMMYFUNCTION("""COMPUTED_VALUE"""),33830.666666666664)</f>
        <v>33830.66667</v>
      </c>
      <c r="B1686" s="1">
        <f>IFERROR(__xludf.DUMMYFUNCTION("""COMPUTED_VALUE"""),417.74)</f>
        <v>417.74</v>
      </c>
      <c r="C1686" s="1">
        <f>IFERROR(__xludf.DUMMYFUNCTION("""COMPUTED_VALUE"""),420.4)</f>
        <v>420.4</v>
      </c>
      <c r="D1686" s="1">
        <f>IFERROR(__xludf.DUMMYFUNCTION("""COMPUTED_VALUE"""),417.74)</f>
        <v>417.74</v>
      </c>
      <c r="E1686" s="1">
        <f>IFERROR(__xludf.DUMMYFUNCTION("""COMPUTED_VALUE"""),419.91)</f>
        <v>419.91</v>
      </c>
      <c r="F1686" s="1">
        <f>IFERROR(__xludf.DUMMYFUNCTION("""COMPUTED_VALUE"""),2.6065624E7)</f>
        <v>26065624</v>
      </c>
    </row>
    <row r="1687">
      <c r="A1687" s="2">
        <f>IFERROR(__xludf.DUMMYFUNCTION("""COMPUTED_VALUE"""),33833.666666666664)</f>
        <v>33833.66667</v>
      </c>
      <c r="B1687" s="1">
        <f>IFERROR(__xludf.DUMMYFUNCTION("""COMPUTED_VALUE"""),419.89)</f>
        <v>419.89</v>
      </c>
      <c r="C1687" s="1">
        <f>IFERROR(__xludf.DUMMYFUNCTION("""COMPUTED_VALUE"""),421.89)</f>
        <v>421.89</v>
      </c>
      <c r="D1687" s="1">
        <f>IFERROR(__xludf.DUMMYFUNCTION("""COMPUTED_VALUE"""),419.44)</f>
        <v>419.44</v>
      </c>
      <c r="E1687" s="1">
        <f>IFERROR(__xludf.DUMMYFUNCTION("""COMPUTED_VALUE"""),420.74)</f>
        <v>420.74</v>
      </c>
      <c r="F1687" s="1">
        <f>IFERROR(__xludf.DUMMYFUNCTION("""COMPUTED_VALUE"""),2.3879688E7)</f>
        <v>23879688</v>
      </c>
    </row>
    <row r="1688">
      <c r="A1688" s="2">
        <f>IFERROR(__xludf.DUMMYFUNCTION("""COMPUTED_VALUE"""),33834.666666666664)</f>
        <v>33834.66667</v>
      </c>
      <c r="B1688" s="1">
        <f>IFERROR(__xludf.DUMMYFUNCTION("""COMPUTED_VALUE"""),420.74)</f>
        <v>420.74</v>
      </c>
      <c r="C1688" s="1">
        <f>IFERROR(__xludf.DUMMYFUNCTION("""COMPUTED_VALUE"""),421.4)</f>
        <v>421.4</v>
      </c>
      <c r="D1688" s="1">
        <f>IFERROR(__xludf.DUMMYFUNCTION("""COMPUTED_VALUE"""),419.78)</f>
        <v>419.78</v>
      </c>
      <c r="E1688" s="1">
        <f>IFERROR(__xludf.DUMMYFUNCTION("""COMPUTED_VALUE"""),421.34)</f>
        <v>421.34</v>
      </c>
      <c r="F1688" s="1">
        <f>IFERROR(__xludf.DUMMYFUNCTION("""COMPUTED_VALUE"""),2.6835938E7)</f>
        <v>26835938</v>
      </c>
    </row>
    <row r="1689">
      <c r="A1689" s="2">
        <f>IFERROR(__xludf.DUMMYFUNCTION("""COMPUTED_VALUE"""),33835.666666666664)</f>
        <v>33835.66667</v>
      </c>
      <c r="B1689" s="1">
        <f>IFERROR(__xludf.DUMMYFUNCTION("""COMPUTED_VALUE"""),421.34)</f>
        <v>421.34</v>
      </c>
      <c r="C1689" s="1">
        <f>IFERROR(__xludf.DUMMYFUNCTION("""COMPUTED_VALUE"""),421.62)</f>
        <v>421.62</v>
      </c>
      <c r="D1689" s="1">
        <f>IFERROR(__xludf.DUMMYFUNCTION("""COMPUTED_VALUE"""),418.19)</f>
        <v>418.19</v>
      </c>
      <c r="E1689" s="1">
        <f>IFERROR(__xludf.DUMMYFUNCTION("""COMPUTED_VALUE"""),418.19)</f>
        <v>418.19</v>
      </c>
      <c r="F1689" s="1">
        <f>IFERROR(__xludf.DUMMYFUNCTION("""COMPUTED_VALUE"""),2.9229688E7)</f>
        <v>29229688</v>
      </c>
    </row>
    <row r="1690">
      <c r="A1690" s="2">
        <f>IFERROR(__xludf.DUMMYFUNCTION("""COMPUTED_VALUE"""),33836.666666666664)</f>
        <v>33836.66667</v>
      </c>
      <c r="B1690" s="1">
        <f>IFERROR(__xludf.DUMMYFUNCTION("""COMPUTED_VALUE"""),418.19)</f>
        <v>418.19</v>
      </c>
      <c r="C1690" s="1">
        <f>IFERROR(__xludf.DUMMYFUNCTION("""COMPUTED_VALUE"""),418.85)</f>
        <v>418.85</v>
      </c>
      <c r="D1690" s="1">
        <f>IFERROR(__xludf.DUMMYFUNCTION("""COMPUTED_VALUE"""),416.93)</f>
        <v>416.93</v>
      </c>
      <c r="E1690" s="1">
        <f>IFERROR(__xludf.DUMMYFUNCTION("""COMPUTED_VALUE"""),418.26)</f>
        <v>418.26</v>
      </c>
      <c r="F1690" s="1">
        <f>IFERROR(__xludf.DUMMYFUNCTION("""COMPUTED_VALUE"""),2.8659376E7)</f>
        <v>28659376</v>
      </c>
    </row>
    <row r="1691">
      <c r="A1691" s="2">
        <f>IFERROR(__xludf.DUMMYFUNCTION("""COMPUTED_VALUE"""),33837.666666666664)</f>
        <v>33837.66667</v>
      </c>
      <c r="B1691" s="1">
        <f>IFERROR(__xludf.DUMMYFUNCTION("""COMPUTED_VALUE"""),418.27)</f>
        <v>418.27</v>
      </c>
      <c r="C1691" s="1">
        <f>IFERROR(__xludf.DUMMYFUNCTION("""COMPUTED_VALUE"""),420.35)</f>
        <v>420.35</v>
      </c>
      <c r="D1691" s="1">
        <f>IFERROR(__xludf.DUMMYFUNCTION("""COMPUTED_VALUE"""),413.58)</f>
        <v>413.58</v>
      </c>
      <c r="E1691" s="1">
        <f>IFERROR(__xludf.DUMMYFUNCTION("""COMPUTED_VALUE"""),414.85)</f>
        <v>414.85</v>
      </c>
      <c r="F1691" s="1">
        <f>IFERROR(__xludf.DUMMYFUNCTION("""COMPUTED_VALUE"""),3.2E7)</f>
        <v>32000000</v>
      </c>
    </row>
    <row r="1692">
      <c r="A1692" s="2">
        <f>IFERROR(__xludf.DUMMYFUNCTION("""COMPUTED_VALUE"""),33840.666666666664)</f>
        <v>33840.66667</v>
      </c>
      <c r="B1692" s="1">
        <f>IFERROR(__xludf.DUMMYFUNCTION("""COMPUTED_VALUE"""),414.8)</f>
        <v>414.8</v>
      </c>
      <c r="C1692" s="1">
        <f>IFERROR(__xludf.DUMMYFUNCTION("""COMPUTED_VALUE"""),414.8)</f>
        <v>414.8</v>
      </c>
      <c r="D1692" s="1">
        <f>IFERROR(__xludf.DUMMYFUNCTION("""COMPUTED_VALUE"""),410.07)</f>
        <v>410.07</v>
      </c>
      <c r="E1692" s="1">
        <f>IFERROR(__xludf.DUMMYFUNCTION("""COMPUTED_VALUE"""),410.72)</f>
        <v>410.72</v>
      </c>
      <c r="F1692" s="1">
        <f>IFERROR(__xludf.DUMMYFUNCTION("""COMPUTED_VALUE"""),2.5889062E7)</f>
        <v>25889062</v>
      </c>
    </row>
    <row r="1693">
      <c r="A1693" s="2">
        <f>IFERROR(__xludf.DUMMYFUNCTION("""COMPUTED_VALUE"""),33841.666666666664)</f>
        <v>33841.66667</v>
      </c>
      <c r="B1693" s="1">
        <f>IFERROR(__xludf.DUMMYFUNCTION("""COMPUTED_VALUE"""),410.73)</f>
        <v>410.73</v>
      </c>
      <c r="C1693" s="1">
        <f>IFERROR(__xludf.DUMMYFUNCTION("""COMPUTED_VALUE"""),411.64)</f>
        <v>411.64</v>
      </c>
      <c r="D1693" s="1">
        <f>IFERROR(__xludf.DUMMYFUNCTION("""COMPUTED_VALUE"""),408.3)</f>
        <v>408.3</v>
      </c>
      <c r="E1693" s="1">
        <f>IFERROR(__xludf.DUMMYFUNCTION("""COMPUTED_VALUE"""),411.61)</f>
        <v>411.61</v>
      </c>
      <c r="F1693" s="1">
        <f>IFERROR(__xludf.DUMMYFUNCTION("""COMPUTED_VALUE"""),3.168125E7)</f>
        <v>31681250</v>
      </c>
    </row>
    <row r="1694">
      <c r="A1694" s="2">
        <f>IFERROR(__xludf.DUMMYFUNCTION("""COMPUTED_VALUE"""),33842.666666666664)</f>
        <v>33842.66667</v>
      </c>
      <c r="B1694" s="1">
        <f>IFERROR(__xludf.DUMMYFUNCTION("""COMPUTED_VALUE"""),411.65)</f>
        <v>411.65</v>
      </c>
      <c r="C1694" s="1">
        <f>IFERROR(__xludf.DUMMYFUNCTION("""COMPUTED_VALUE"""),413.61)</f>
        <v>413.61</v>
      </c>
      <c r="D1694" s="1">
        <f>IFERROR(__xludf.DUMMYFUNCTION("""COMPUTED_VALUE"""),410.53)</f>
        <v>410.53</v>
      </c>
      <c r="E1694" s="1">
        <f>IFERROR(__xludf.DUMMYFUNCTION("""COMPUTED_VALUE"""),413.51)</f>
        <v>413.51</v>
      </c>
      <c r="F1694" s="1">
        <f>IFERROR(__xludf.DUMMYFUNCTION("""COMPUTED_VALUE"""),2.6853124E7)</f>
        <v>26853124</v>
      </c>
    </row>
    <row r="1695">
      <c r="A1695" s="2">
        <f>IFERROR(__xludf.DUMMYFUNCTION("""COMPUTED_VALUE"""),33843.666666666664)</f>
        <v>33843.66667</v>
      </c>
      <c r="B1695" s="1">
        <f>IFERROR(__xludf.DUMMYFUNCTION("""COMPUTED_VALUE"""),413.51)</f>
        <v>413.51</v>
      </c>
      <c r="C1695" s="1">
        <f>IFERROR(__xludf.DUMMYFUNCTION("""COMPUTED_VALUE"""),415.83)</f>
        <v>415.83</v>
      </c>
      <c r="D1695" s="1">
        <f>IFERROR(__xludf.DUMMYFUNCTION("""COMPUTED_VALUE"""),413.51)</f>
        <v>413.51</v>
      </c>
      <c r="E1695" s="1">
        <f>IFERROR(__xludf.DUMMYFUNCTION("""COMPUTED_VALUE"""),413.53)</f>
        <v>413.53</v>
      </c>
      <c r="F1695" s="1">
        <f>IFERROR(__xludf.DUMMYFUNCTION("""COMPUTED_VALUE"""),2.790625E7)</f>
        <v>27906250</v>
      </c>
    </row>
    <row r="1696">
      <c r="A1696" s="2">
        <f>IFERROR(__xludf.DUMMYFUNCTION("""COMPUTED_VALUE"""),33844.666666666664)</f>
        <v>33844.66667</v>
      </c>
      <c r="B1696" s="1">
        <f>IFERROR(__xludf.DUMMYFUNCTION("""COMPUTED_VALUE"""),413.54)</f>
        <v>413.54</v>
      </c>
      <c r="C1696" s="1">
        <f>IFERROR(__xludf.DUMMYFUNCTION("""COMPUTED_VALUE"""),414.95)</f>
        <v>414.95</v>
      </c>
      <c r="D1696" s="1">
        <f>IFERROR(__xludf.DUMMYFUNCTION("""COMPUTED_VALUE"""),413.38)</f>
        <v>413.38</v>
      </c>
      <c r="E1696" s="1">
        <f>IFERROR(__xludf.DUMMYFUNCTION("""COMPUTED_VALUE"""),414.84)</f>
        <v>414.84</v>
      </c>
      <c r="F1696" s="1">
        <f>IFERROR(__xludf.DUMMYFUNCTION("""COMPUTED_VALUE"""),2.3790624E7)</f>
        <v>23790624</v>
      </c>
    </row>
    <row r="1697">
      <c r="A1697" s="2">
        <f>IFERROR(__xludf.DUMMYFUNCTION("""COMPUTED_VALUE"""),33847.666666666664)</f>
        <v>33847.66667</v>
      </c>
      <c r="B1697" s="1">
        <f>IFERROR(__xludf.DUMMYFUNCTION("""COMPUTED_VALUE"""),414.87)</f>
        <v>414.87</v>
      </c>
      <c r="C1697" s="1">
        <f>IFERROR(__xludf.DUMMYFUNCTION("""COMPUTED_VALUE"""),415.29)</f>
        <v>415.29</v>
      </c>
      <c r="D1697" s="1">
        <f>IFERROR(__xludf.DUMMYFUNCTION("""COMPUTED_VALUE"""),413.76)</f>
        <v>413.76</v>
      </c>
      <c r="E1697" s="1">
        <f>IFERROR(__xludf.DUMMYFUNCTION("""COMPUTED_VALUE"""),414.03)</f>
        <v>414.03</v>
      </c>
      <c r="F1697" s="1">
        <f>IFERROR(__xludf.DUMMYFUNCTION("""COMPUTED_VALUE"""),2.523125E7)</f>
        <v>25231250</v>
      </c>
    </row>
    <row r="1698">
      <c r="A1698" s="2">
        <f>IFERROR(__xludf.DUMMYFUNCTION("""COMPUTED_VALUE"""),33848.666666666664)</f>
        <v>33848.66667</v>
      </c>
      <c r="B1698" s="1">
        <f>IFERROR(__xludf.DUMMYFUNCTION("""COMPUTED_VALUE"""),414.03)</f>
        <v>414.03</v>
      </c>
      <c r="C1698" s="1">
        <f>IFERROR(__xludf.DUMMYFUNCTION("""COMPUTED_VALUE"""),416.07)</f>
        <v>416.07</v>
      </c>
      <c r="D1698" s="1">
        <f>IFERROR(__xludf.DUMMYFUNCTION("""COMPUTED_VALUE"""),413.35)</f>
        <v>413.35</v>
      </c>
      <c r="E1698" s="1">
        <f>IFERROR(__xludf.DUMMYFUNCTION("""COMPUTED_VALUE"""),416.07)</f>
        <v>416.07</v>
      </c>
      <c r="F1698" s="1">
        <f>IFERROR(__xludf.DUMMYFUNCTION("""COMPUTED_VALUE"""),2.698125E7)</f>
        <v>26981250</v>
      </c>
    </row>
    <row r="1699">
      <c r="A1699" s="2">
        <f>IFERROR(__xludf.DUMMYFUNCTION("""COMPUTED_VALUE"""),33849.666666666664)</f>
        <v>33849.66667</v>
      </c>
      <c r="B1699" s="1">
        <f>IFERROR(__xludf.DUMMYFUNCTION("""COMPUTED_VALUE"""),416.07)</f>
        <v>416.07</v>
      </c>
      <c r="C1699" s="1">
        <f>IFERROR(__xludf.DUMMYFUNCTION("""COMPUTED_VALUE"""),418.28)</f>
        <v>418.28</v>
      </c>
      <c r="D1699" s="1">
        <f>IFERROR(__xludf.DUMMYFUNCTION("""COMPUTED_VALUE"""),415.31)</f>
        <v>415.31</v>
      </c>
      <c r="E1699" s="1">
        <f>IFERROR(__xludf.DUMMYFUNCTION("""COMPUTED_VALUE"""),417.98)</f>
        <v>417.98</v>
      </c>
      <c r="F1699" s="1">
        <f>IFERROR(__xludf.DUMMYFUNCTION("""COMPUTED_VALUE"""),2.929375E7)</f>
        <v>29293750</v>
      </c>
    </row>
    <row r="1700">
      <c r="A1700" s="2">
        <f>IFERROR(__xludf.DUMMYFUNCTION("""COMPUTED_VALUE"""),33850.666666666664)</f>
        <v>33850.66667</v>
      </c>
      <c r="B1700" s="1">
        <f>IFERROR(__xludf.DUMMYFUNCTION("""COMPUTED_VALUE"""),417.98)</f>
        <v>417.98</v>
      </c>
      <c r="C1700" s="1">
        <f>IFERROR(__xludf.DUMMYFUNCTION("""COMPUTED_VALUE"""),420.31)</f>
        <v>420.31</v>
      </c>
      <c r="D1700" s="1">
        <f>IFERROR(__xludf.DUMMYFUNCTION("""COMPUTED_VALUE"""),417.49)</f>
        <v>417.49</v>
      </c>
      <c r="E1700" s="1">
        <f>IFERROR(__xludf.DUMMYFUNCTION("""COMPUTED_VALUE"""),417.98)</f>
        <v>417.98</v>
      </c>
      <c r="F1700" s="1">
        <f>IFERROR(__xludf.DUMMYFUNCTION("""COMPUTED_VALUE"""),3.3203124E7)</f>
        <v>33203124</v>
      </c>
    </row>
    <row r="1701">
      <c r="A1701" s="2">
        <f>IFERROR(__xludf.DUMMYFUNCTION("""COMPUTED_VALUE"""),33851.666666666664)</f>
        <v>33851.66667</v>
      </c>
      <c r="B1701" s="1">
        <f>IFERROR(__xludf.DUMMYFUNCTION("""COMPUTED_VALUE"""),417.98)</f>
        <v>417.98</v>
      </c>
      <c r="C1701" s="1">
        <f>IFERROR(__xludf.DUMMYFUNCTION("""COMPUTED_VALUE"""),418.62)</f>
        <v>418.62</v>
      </c>
      <c r="D1701" s="1">
        <f>IFERROR(__xludf.DUMMYFUNCTION("""COMPUTED_VALUE"""),416.76)</f>
        <v>416.76</v>
      </c>
      <c r="E1701" s="1">
        <f>IFERROR(__xludf.DUMMYFUNCTION("""COMPUTED_VALUE"""),417.08)</f>
        <v>417.08</v>
      </c>
      <c r="F1701" s="1">
        <f>IFERROR(__xludf.DUMMYFUNCTION("""COMPUTED_VALUE"""),1.9434376E7)</f>
        <v>19434376</v>
      </c>
    </row>
    <row r="1702">
      <c r="A1702" s="2">
        <f>IFERROR(__xludf.DUMMYFUNCTION("""COMPUTED_VALUE"""),33855.666666666664)</f>
        <v>33855.66667</v>
      </c>
      <c r="B1702" s="1">
        <f>IFERROR(__xludf.DUMMYFUNCTION("""COMPUTED_VALUE"""),417.08)</f>
        <v>417.08</v>
      </c>
      <c r="C1702" s="1">
        <f>IFERROR(__xludf.DUMMYFUNCTION("""COMPUTED_VALUE"""),417.18)</f>
        <v>417.18</v>
      </c>
      <c r="D1702" s="1">
        <f>IFERROR(__xludf.DUMMYFUNCTION("""COMPUTED_VALUE"""),414.3)</f>
        <v>414.3</v>
      </c>
      <c r="E1702" s="1">
        <f>IFERROR(__xludf.DUMMYFUNCTION("""COMPUTED_VALUE"""),414.44)</f>
        <v>414.44</v>
      </c>
      <c r="F1702" s="1">
        <f>IFERROR(__xludf.DUMMYFUNCTION("""COMPUTED_VALUE"""),2.5225E7)</f>
        <v>25225000</v>
      </c>
    </row>
    <row r="1703">
      <c r="A1703" s="2">
        <f>IFERROR(__xludf.DUMMYFUNCTION("""COMPUTED_VALUE"""),33856.666666666664)</f>
        <v>33856.66667</v>
      </c>
      <c r="B1703" s="1">
        <f>IFERROR(__xludf.DUMMYFUNCTION("""COMPUTED_VALUE"""),414.44)</f>
        <v>414.44</v>
      </c>
      <c r="C1703" s="1">
        <f>IFERROR(__xludf.DUMMYFUNCTION("""COMPUTED_VALUE"""),416.44)</f>
        <v>416.44</v>
      </c>
      <c r="D1703" s="1">
        <f>IFERROR(__xludf.DUMMYFUNCTION("""COMPUTED_VALUE"""),414.44)</f>
        <v>414.44</v>
      </c>
      <c r="E1703" s="1">
        <f>IFERROR(__xludf.DUMMYFUNCTION("""COMPUTED_VALUE"""),416.36)</f>
        <v>416.36</v>
      </c>
      <c r="F1703" s="1">
        <f>IFERROR(__xludf.DUMMYFUNCTION("""COMPUTED_VALUE"""),2.79375E7)</f>
        <v>27937500</v>
      </c>
    </row>
    <row r="1704">
      <c r="A1704" s="2">
        <f>IFERROR(__xludf.DUMMYFUNCTION("""COMPUTED_VALUE"""),33857.666666666664)</f>
        <v>33857.66667</v>
      </c>
      <c r="B1704" s="1">
        <f>IFERROR(__xludf.DUMMYFUNCTION("""COMPUTED_VALUE"""),416.34)</f>
        <v>416.34</v>
      </c>
      <c r="C1704" s="1">
        <f>IFERROR(__xludf.DUMMYFUNCTION("""COMPUTED_VALUE"""),420.52)</f>
        <v>420.52</v>
      </c>
      <c r="D1704" s="1">
        <f>IFERROR(__xludf.DUMMYFUNCTION("""COMPUTED_VALUE"""),416.34)</f>
        <v>416.34</v>
      </c>
      <c r="E1704" s="1">
        <f>IFERROR(__xludf.DUMMYFUNCTION("""COMPUTED_VALUE"""),419.95)</f>
        <v>419.95</v>
      </c>
      <c r="F1704" s="1">
        <f>IFERROR(__xludf.DUMMYFUNCTION("""COMPUTED_VALUE"""),3.4685936E7)</f>
        <v>34685936</v>
      </c>
    </row>
    <row r="1705">
      <c r="A1705" s="2">
        <f>IFERROR(__xludf.DUMMYFUNCTION("""COMPUTED_VALUE"""),33858.666666666664)</f>
        <v>33858.66667</v>
      </c>
      <c r="B1705" s="1">
        <f>IFERROR(__xludf.DUMMYFUNCTION("""COMPUTED_VALUE"""),419.95)</f>
        <v>419.95</v>
      </c>
      <c r="C1705" s="1">
        <f>IFERROR(__xludf.DUMMYFUNCTION("""COMPUTED_VALUE"""),420.58)</f>
        <v>420.58</v>
      </c>
      <c r="D1705" s="1">
        <f>IFERROR(__xludf.DUMMYFUNCTION("""COMPUTED_VALUE"""),419.13)</f>
        <v>419.13</v>
      </c>
      <c r="E1705" s="1">
        <f>IFERROR(__xludf.DUMMYFUNCTION("""COMPUTED_VALUE"""),419.58)</f>
        <v>419.58</v>
      </c>
      <c r="F1705" s="1">
        <f>IFERROR(__xludf.DUMMYFUNCTION("""COMPUTED_VALUE"""),2.82125E7)</f>
        <v>28212500</v>
      </c>
    </row>
    <row r="1706">
      <c r="A1706" s="2">
        <f>IFERROR(__xludf.DUMMYFUNCTION("""COMPUTED_VALUE"""),33861.666666666664)</f>
        <v>33861.66667</v>
      </c>
      <c r="B1706" s="1">
        <f>IFERROR(__xludf.DUMMYFUNCTION("""COMPUTED_VALUE"""),419.65)</f>
        <v>419.65</v>
      </c>
      <c r="C1706" s="1">
        <f>IFERROR(__xludf.DUMMYFUNCTION("""COMPUTED_VALUE"""),425.27)</f>
        <v>425.27</v>
      </c>
      <c r="D1706" s="1">
        <f>IFERROR(__xludf.DUMMYFUNCTION("""COMPUTED_VALUE"""),419.65)</f>
        <v>419.65</v>
      </c>
      <c r="E1706" s="1">
        <f>IFERROR(__xludf.DUMMYFUNCTION("""COMPUTED_VALUE"""),425.27)</f>
        <v>425.27</v>
      </c>
      <c r="F1706" s="1">
        <f>IFERROR(__xludf.DUMMYFUNCTION("""COMPUTED_VALUE"""),3.9209376E7)</f>
        <v>39209376</v>
      </c>
    </row>
    <row r="1707">
      <c r="A1707" s="2">
        <f>IFERROR(__xludf.DUMMYFUNCTION("""COMPUTED_VALUE"""),33862.666666666664)</f>
        <v>33862.66667</v>
      </c>
      <c r="B1707" s="1">
        <f>IFERROR(__xludf.DUMMYFUNCTION("""COMPUTED_VALUE"""),425.22)</f>
        <v>425.22</v>
      </c>
      <c r="C1707" s="1">
        <f>IFERROR(__xludf.DUMMYFUNCTION("""COMPUTED_VALUE"""),425.22)</f>
        <v>425.22</v>
      </c>
      <c r="D1707" s="1">
        <f>IFERROR(__xludf.DUMMYFUNCTION("""COMPUTED_VALUE"""),419.54)</f>
        <v>419.54</v>
      </c>
      <c r="E1707" s="1">
        <f>IFERROR(__xludf.DUMMYFUNCTION("""COMPUTED_VALUE"""),419.77)</f>
        <v>419.77</v>
      </c>
      <c r="F1707" s="1">
        <f>IFERROR(__xludf.DUMMYFUNCTION("""COMPUTED_VALUE"""),3.3103124E7)</f>
        <v>33103124</v>
      </c>
    </row>
    <row r="1708">
      <c r="A1708" s="2">
        <f>IFERROR(__xludf.DUMMYFUNCTION("""COMPUTED_VALUE"""),33863.666666666664)</f>
        <v>33863.66667</v>
      </c>
      <c r="B1708" s="1">
        <f>IFERROR(__xludf.DUMMYFUNCTION("""COMPUTED_VALUE"""),419.71)</f>
        <v>419.71</v>
      </c>
      <c r="C1708" s="1">
        <f>IFERROR(__xludf.DUMMYFUNCTION("""COMPUTED_VALUE"""),422.44)</f>
        <v>422.44</v>
      </c>
      <c r="D1708" s="1">
        <f>IFERROR(__xludf.DUMMYFUNCTION("""COMPUTED_VALUE"""),417.77)</f>
        <v>417.77</v>
      </c>
      <c r="E1708" s="1">
        <f>IFERROR(__xludf.DUMMYFUNCTION("""COMPUTED_VALUE"""),419.92)</f>
        <v>419.92</v>
      </c>
      <c r="F1708" s="1">
        <f>IFERROR(__xludf.DUMMYFUNCTION("""COMPUTED_VALUE"""),3.6164064E7)</f>
        <v>36164064</v>
      </c>
    </row>
    <row r="1709">
      <c r="A1709" s="2">
        <f>IFERROR(__xludf.DUMMYFUNCTION("""COMPUTED_VALUE"""),33864.666666666664)</f>
        <v>33864.66667</v>
      </c>
      <c r="B1709" s="1">
        <f>IFERROR(__xludf.DUMMYFUNCTION("""COMPUTED_VALUE"""),419.92)</f>
        <v>419.92</v>
      </c>
      <c r="C1709" s="1">
        <f>IFERROR(__xludf.DUMMYFUNCTION("""COMPUTED_VALUE"""),421.43)</f>
        <v>421.43</v>
      </c>
      <c r="D1709" s="1">
        <f>IFERROR(__xludf.DUMMYFUNCTION("""COMPUTED_VALUE"""),419.62)</f>
        <v>419.62</v>
      </c>
      <c r="E1709" s="1">
        <f>IFERROR(__xludf.DUMMYFUNCTION("""COMPUTED_VALUE"""),419.93)</f>
        <v>419.93</v>
      </c>
      <c r="F1709" s="1">
        <f>IFERROR(__xludf.DUMMYFUNCTION("""COMPUTED_VALUE"""),2.9417188E7)</f>
        <v>29417188</v>
      </c>
    </row>
    <row r="1710">
      <c r="A1710" s="2">
        <f>IFERROR(__xludf.DUMMYFUNCTION("""COMPUTED_VALUE"""),33865.666666666664)</f>
        <v>33865.66667</v>
      </c>
      <c r="B1710" s="1">
        <f>IFERROR(__xludf.DUMMYFUNCTION("""COMPUTED_VALUE"""),419.92)</f>
        <v>419.92</v>
      </c>
      <c r="C1710" s="1">
        <f>IFERROR(__xludf.DUMMYFUNCTION("""COMPUTED_VALUE"""),422.93)</f>
        <v>422.93</v>
      </c>
      <c r="D1710" s="1">
        <f>IFERROR(__xludf.DUMMYFUNCTION("""COMPUTED_VALUE"""),419.92)</f>
        <v>419.92</v>
      </c>
      <c r="E1710" s="1">
        <f>IFERROR(__xludf.DUMMYFUNCTION("""COMPUTED_VALUE"""),422.93)</f>
        <v>422.93</v>
      </c>
      <c r="F1710" s="1">
        <f>IFERROR(__xludf.DUMMYFUNCTION("""COMPUTED_VALUE"""),3.71E7)</f>
        <v>37100000</v>
      </c>
    </row>
    <row r="1711">
      <c r="A1711" s="2">
        <f>IFERROR(__xludf.DUMMYFUNCTION("""COMPUTED_VALUE"""),33868.666666666664)</f>
        <v>33868.66667</v>
      </c>
      <c r="B1711" s="1">
        <f>IFERROR(__xludf.DUMMYFUNCTION("""COMPUTED_VALUE"""),422.9)</f>
        <v>422.9</v>
      </c>
      <c r="C1711" s="1">
        <f>IFERROR(__xludf.DUMMYFUNCTION("""COMPUTED_VALUE"""),422.9)</f>
        <v>422.9</v>
      </c>
      <c r="D1711" s="1">
        <f>IFERROR(__xludf.DUMMYFUNCTION("""COMPUTED_VALUE"""),421.18)</f>
        <v>421.18</v>
      </c>
      <c r="E1711" s="1">
        <f>IFERROR(__xludf.DUMMYFUNCTION("""COMPUTED_VALUE"""),422.14)</f>
        <v>422.14</v>
      </c>
      <c r="F1711" s="1">
        <f>IFERROR(__xludf.DUMMYFUNCTION("""COMPUTED_VALUE"""),2.4053124E7)</f>
        <v>24053124</v>
      </c>
    </row>
    <row r="1712">
      <c r="A1712" s="2">
        <f>IFERROR(__xludf.DUMMYFUNCTION("""COMPUTED_VALUE"""),33869.666666666664)</f>
        <v>33869.66667</v>
      </c>
      <c r="B1712" s="1">
        <f>IFERROR(__xludf.DUMMYFUNCTION("""COMPUTED_VALUE"""),422.14)</f>
        <v>422.14</v>
      </c>
      <c r="C1712" s="1">
        <f>IFERROR(__xludf.DUMMYFUNCTION("""COMPUTED_VALUE"""),422.14)</f>
        <v>422.14</v>
      </c>
      <c r="D1712" s="1">
        <f>IFERROR(__xludf.DUMMYFUNCTION("""COMPUTED_VALUE"""),417.13)</f>
        <v>417.13</v>
      </c>
      <c r="E1712" s="1">
        <f>IFERROR(__xludf.DUMMYFUNCTION("""COMPUTED_VALUE"""),417.14)</f>
        <v>417.14</v>
      </c>
      <c r="F1712" s="1">
        <f>IFERROR(__xludf.DUMMYFUNCTION("""COMPUTED_VALUE"""),2.9501562E7)</f>
        <v>29501562</v>
      </c>
    </row>
    <row r="1713">
      <c r="A1713" s="2">
        <f>IFERROR(__xludf.DUMMYFUNCTION("""COMPUTED_VALUE"""),33870.666666666664)</f>
        <v>33870.66667</v>
      </c>
      <c r="B1713" s="1">
        <f>IFERROR(__xludf.DUMMYFUNCTION("""COMPUTED_VALUE"""),417.14)</f>
        <v>417.14</v>
      </c>
      <c r="C1713" s="1">
        <f>IFERROR(__xludf.DUMMYFUNCTION("""COMPUTED_VALUE"""),417.88)</f>
        <v>417.88</v>
      </c>
      <c r="D1713" s="1">
        <f>IFERROR(__xludf.DUMMYFUNCTION("""COMPUTED_VALUE"""),416.0)</f>
        <v>416</v>
      </c>
      <c r="E1713" s="1">
        <f>IFERROR(__xludf.DUMMYFUNCTION("""COMPUTED_VALUE"""),417.44)</f>
        <v>417.44</v>
      </c>
      <c r="F1713" s="1">
        <f>IFERROR(__xludf.DUMMYFUNCTION("""COMPUTED_VALUE"""),3.2140624E7)</f>
        <v>32140624</v>
      </c>
    </row>
    <row r="1714">
      <c r="A1714" s="2">
        <f>IFERROR(__xludf.DUMMYFUNCTION("""COMPUTED_VALUE"""),33871.666666666664)</f>
        <v>33871.66667</v>
      </c>
      <c r="B1714" s="1">
        <f>IFERROR(__xludf.DUMMYFUNCTION("""COMPUTED_VALUE"""),417.46)</f>
        <v>417.46</v>
      </c>
      <c r="C1714" s="1">
        <f>IFERROR(__xludf.DUMMYFUNCTION("""COMPUTED_VALUE"""),419.01)</f>
        <v>419.01</v>
      </c>
      <c r="D1714" s="1">
        <f>IFERROR(__xludf.DUMMYFUNCTION("""COMPUTED_VALUE"""),417.46)</f>
        <v>417.46</v>
      </c>
      <c r="E1714" s="1">
        <f>IFERROR(__xludf.DUMMYFUNCTION("""COMPUTED_VALUE"""),418.47)</f>
        <v>418.47</v>
      </c>
      <c r="F1714" s="1">
        <f>IFERROR(__xludf.DUMMYFUNCTION("""COMPUTED_VALUE"""),2.936875E7)</f>
        <v>29368750</v>
      </c>
    </row>
    <row r="1715">
      <c r="A1715" s="2">
        <f>IFERROR(__xludf.DUMMYFUNCTION("""COMPUTED_VALUE"""),33872.666666666664)</f>
        <v>33872.66667</v>
      </c>
      <c r="B1715" s="1">
        <f>IFERROR(__xludf.DUMMYFUNCTION("""COMPUTED_VALUE"""),418.47)</f>
        <v>418.47</v>
      </c>
      <c r="C1715" s="1">
        <f>IFERROR(__xludf.DUMMYFUNCTION("""COMPUTED_VALUE"""),418.63)</f>
        <v>418.63</v>
      </c>
      <c r="D1715" s="1">
        <f>IFERROR(__xludf.DUMMYFUNCTION("""COMPUTED_VALUE"""),412.71)</f>
        <v>412.71</v>
      </c>
      <c r="E1715" s="1">
        <f>IFERROR(__xludf.DUMMYFUNCTION("""COMPUTED_VALUE"""),414.35)</f>
        <v>414.35</v>
      </c>
      <c r="F1715" s="1">
        <f>IFERROR(__xludf.DUMMYFUNCTION("""COMPUTED_VALUE"""),3.3385938E7)</f>
        <v>33385938</v>
      </c>
    </row>
    <row r="1716">
      <c r="A1716" s="2">
        <f>IFERROR(__xludf.DUMMYFUNCTION("""COMPUTED_VALUE"""),33875.666666666664)</f>
        <v>33875.66667</v>
      </c>
      <c r="B1716" s="1">
        <f>IFERROR(__xludf.DUMMYFUNCTION("""COMPUTED_VALUE"""),414.35)</f>
        <v>414.35</v>
      </c>
      <c r="C1716" s="1">
        <f>IFERROR(__xludf.DUMMYFUNCTION("""COMPUTED_VALUE"""),416.62)</f>
        <v>416.62</v>
      </c>
      <c r="D1716" s="1">
        <f>IFERROR(__xludf.DUMMYFUNCTION("""COMPUTED_VALUE"""),413.0)</f>
        <v>413</v>
      </c>
      <c r="E1716" s="1">
        <f>IFERROR(__xludf.DUMMYFUNCTION("""COMPUTED_VALUE"""),416.62)</f>
        <v>416.62</v>
      </c>
      <c r="F1716" s="1">
        <f>IFERROR(__xludf.DUMMYFUNCTION("""COMPUTED_VALUE"""),2.480625E7)</f>
        <v>24806250</v>
      </c>
    </row>
    <row r="1717">
      <c r="A1717" s="2">
        <f>IFERROR(__xludf.DUMMYFUNCTION("""COMPUTED_VALUE"""),33876.666666666664)</f>
        <v>33876.66667</v>
      </c>
      <c r="B1717" s="1">
        <f>IFERROR(__xludf.DUMMYFUNCTION("""COMPUTED_VALUE"""),416.62)</f>
        <v>416.62</v>
      </c>
      <c r="C1717" s="1">
        <f>IFERROR(__xludf.DUMMYFUNCTION("""COMPUTED_VALUE"""),417.38)</f>
        <v>417.38</v>
      </c>
      <c r="D1717" s="1">
        <f>IFERROR(__xludf.DUMMYFUNCTION("""COMPUTED_VALUE"""),415.34)</f>
        <v>415.34</v>
      </c>
      <c r="E1717" s="1">
        <f>IFERROR(__xludf.DUMMYFUNCTION("""COMPUTED_VALUE"""),416.8)</f>
        <v>416.8</v>
      </c>
      <c r="F1717" s="1">
        <f>IFERROR(__xludf.DUMMYFUNCTION("""COMPUTED_VALUE"""),2.6679688E7)</f>
        <v>26679688</v>
      </c>
    </row>
    <row r="1718">
      <c r="A1718" s="2">
        <f>IFERROR(__xludf.DUMMYFUNCTION("""COMPUTED_VALUE"""),33877.666666666664)</f>
        <v>33877.66667</v>
      </c>
      <c r="B1718" s="1">
        <f>IFERROR(__xludf.DUMMYFUNCTION("""COMPUTED_VALUE"""),416.79)</f>
        <v>416.79</v>
      </c>
      <c r="C1718" s="1">
        <f>IFERROR(__xludf.DUMMYFUNCTION("""COMPUTED_VALUE"""),418.58)</f>
        <v>418.58</v>
      </c>
      <c r="D1718" s="1">
        <f>IFERROR(__xludf.DUMMYFUNCTION("""COMPUTED_VALUE"""),416.67)</f>
        <v>416.67</v>
      </c>
      <c r="E1718" s="1">
        <f>IFERROR(__xludf.DUMMYFUNCTION("""COMPUTED_VALUE"""),417.8)</f>
        <v>417.8</v>
      </c>
      <c r="F1718" s="1">
        <f>IFERROR(__xludf.DUMMYFUNCTION("""COMPUTED_VALUE"""),2.8823438E7)</f>
        <v>28823438</v>
      </c>
    </row>
    <row r="1719">
      <c r="A1719" s="2">
        <f>IFERROR(__xludf.DUMMYFUNCTION("""COMPUTED_VALUE"""),33878.666666666664)</f>
        <v>33878.66667</v>
      </c>
      <c r="B1719" s="1">
        <f>IFERROR(__xludf.DUMMYFUNCTION("""COMPUTED_VALUE"""),417.8)</f>
        <v>417.8</v>
      </c>
      <c r="C1719" s="1">
        <f>IFERROR(__xludf.DUMMYFUNCTION("""COMPUTED_VALUE"""),418.67)</f>
        <v>418.67</v>
      </c>
      <c r="D1719" s="1">
        <f>IFERROR(__xludf.DUMMYFUNCTION("""COMPUTED_VALUE"""),415.46)</f>
        <v>415.46</v>
      </c>
      <c r="E1719" s="1">
        <f>IFERROR(__xludf.DUMMYFUNCTION("""COMPUTED_VALUE"""),416.29)</f>
        <v>416.29</v>
      </c>
      <c r="F1719" s="1">
        <f>IFERROR(__xludf.DUMMYFUNCTION("""COMPUTED_VALUE"""),3.1996876E7)</f>
        <v>31996876</v>
      </c>
    </row>
    <row r="1720">
      <c r="A1720" s="2">
        <f>IFERROR(__xludf.DUMMYFUNCTION("""COMPUTED_VALUE"""),33879.666666666664)</f>
        <v>33879.66667</v>
      </c>
      <c r="B1720" s="1">
        <f>IFERROR(__xludf.DUMMYFUNCTION("""COMPUTED_VALUE"""),416.29)</f>
        <v>416.29</v>
      </c>
      <c r="C1720" s="1">
        <f>IFERROR(__xludf.DUMMYFUNCTION("""COMPUTED_VALUE"""),416.35)</f>
        <v>416.35</v>
      </c>
      <c r="D1720" s="1">
        <f>IFERROR(__xludf.DUMMYFUNCTION("""COMPUTED_VALUE"""),410.45)</f>
        <v>410.45</v>
      </c>
      <c r="E1720" s="1">
        <f>IFERROR(__xludf.DUMMYFUNCTION("""COMPUTED_VALUE"""),410.47)</f>
        <v>410.47</v>
      </c>
      <c r="F1720" s="1">
        <f>IFERROR(__xludf.DUMMYFUNCTION("""COMPUTED_VALUE"""),2.9379688E7)</f>
        <v>29379688</v>
      </c>
    </row>
    <row r="1721">
      <c r="A1721" s="2">
        <f>IFERROR(__xludf.DUMMYFUNCTION("""COMPUTED_VALUE"""),33882.666666666664)</f>
        <v>33882.66667</v>
      </c>
      <c r="B1721" s="1">
        <f>IFERROR(__xludf.DUMMYFUNCTION("""COMPUTED_VALUE"""),410.47)</f>
        <v>410.47</v>
      </c>
      <c r="C1721" s="1">
        <f>IFERROR(__xludf.DUMMYFUNCTION("""COMPUTED_VALUE"""),410.47)</f>
        <v>410.47</v>
      </c>
      <c r="D1721" s="1">
        <f>IFERROR(__xludf.DUMMYFUNCTION("""COMPUTED_VALUE"""),396.8)</f>
        <v>396.8</v>
      </c>
      <c r="E1721" s="1">
        <f>IFERROR(__xludf.DUMMYFUNCTION("""COMPUTED_VALUE"""),407.57)</f>
        <v>407.57</v>
      </c>
      <c r="F1721" s="1">
        <f>IFERROR(__xludf.DUMMYFUNCTION("""COMPUTED_VALUE"""),4.4773436E7)</f>
        <v>44773436</v>
      </c>
    </row>
    <row r="1722">
      <c r="A1722" s="2">
        <f>IFERROR(__xludf.DUMMYFUNCTION("""COMPUTED_VALUE"""),33883.666666666664)</f>
        <v>33883.66667</v>
      </c>
      <c r="B1722" s="1">
        <f>IFERROR(__xludf.DUMMYFUNCTION("""COMPUTED_VALUE"""),407.57)</f>
        <v>407.57</v>
      </c>
      <c r="C1722" s="1">
        <f>IFERROR(__xludf.DUMMYFUNCTION("""COMPUTED_VALUE"""),408.56)</f>
        <v>408.56</v>
      </c>
      <c r="D1722" s="1">
        <f>IFERROR(__xludf.DUMMYFUNCTION("""COMPUTED_VALUE"""),404.84)</f>
        <v>404.84</v>
      </c>
      <c r="E1722" s="1">
        <f>IFERROR(__xludf.DUMMYFUNCTION("""COMPUTED_VALUE"""),407.18)</f>
        <v>407.18</v>
      </c>
      <c r="F1722" s="1">
        <f>IFERROR(__xludf.DUMMYFUNCTION("""COMPUTED_VALUE"""),3.1796876E7)</f>
        <v>31796876</v>
      </c>
    </row>
    <row r="1723">
      <c r="A1723" s="2">
        <f>IFERROR(__xludf.DUMMYFUNCTION("""COMPUTED_VALUE"""),33884.666666666664)</f>
        <v>33884.66667</v>
      </c>
      <c r="B1723" s="1">
        <f>IFERROR(__xludf.DUMMYFUNCTION("""COMPUTED_VALUE"""),407.17)</f>
        <v>407.17</v>
      </c>
      <c r="C1723" s="1">
        <f>IFERROR(__xludf.DUMMYFUNCTION("""COMPUTED_VALUE"""),408.6)</f>
        <v>408.6</v>
      </c>
      <c r="D1723" s="1">
        <f>IFERROR(__xludf.DUMMYFUNCTION("""COMPUTED_VALUE"""),403.91)</f>
        <v>403.91</v>
      </c>
      <c r="E1723" s="1">
        <f>IFERROR(__xludf.DUMMYFUNCTION("""COMPUTED_VALUE"""),404.25)</f>
        <v>404.25</v>
      </c>
      <c r="F1723" s="1">
        <f>IFERROR(__xludf.DUMMYFUNCTION("""COMPUTED_VALUE"""),2.8809376E7)</f>
        <v>28809376</v>
      </c>
    </row>
    <row r="1724">
      <c r="A1724" s="2">
        <f>IFERROR(__xludf.DUMMYFUNCTION("""COMPUTED_VALUE"""),33885.666666666664)</f>
        <v>33885.66667</v>
      </c>
      <c r="B1724" s="1">
        <f>IFERROR(__xludf.DUMMYFUNCTION("""COMPUTED_VALUE"""),404.29)</f>
        <v>404.29</v>
      </c>
      <c r="C1724" s="1">
        <f>IFERROR(__xludf.DUMMYFUNCTION("""COMPUTED_VALUE"""),408.04)</f>
        <v>408.04</v>
      </c>
      <c r="D1724" s="1">
        <f>IFERROR(__xludf.DUMMYFUNCTION("""COMPUTED_VALUE"""),404.29)</f>
        <v>404.29</v>
      </c>
      <c r="E1724" s="1">
        <f>IFERROR(__xludf.DUMMYFUNCTION("""COMPUTED_VALUE"""),407.75)</f>
        <v>407.75</v>
      </c>
      <c r="F1724" s="1">
        <f>IFERROR(__xludf.DUMMYFUNCTION("""COMPUTED_VALUE"""),3.203125E7)</f>
        <v>32031250</v>
      </c>
    </row>
    <row r="1725">
      <c r="A1725" s="2">
        <f>IFERROR(__xludf.DUMMYFUNCTION("""COMPUTED_VALUE"""),33886.666666666664)</f>
        <v>33886.66667</v>
      </c>
      <c r="B1725" s="1">
        <f>IFERROR(__xludf.DUMMYFUNCTION("""COMPUTED_VALUE"""),407.75)</f>
        <v>407.75</v>
      </c>
      <c r="C1725" s="1">
        <f>IFERROR(__xludf.DUMMYFUNCTION("""COMPUTED_VALUE"""),407.75)</f>
        <v>407.75</v>
      </c>
      <c r="D1725" s="1">
        <f>IFERROR(__xludf.DUMMYFUNCTION("""COMPUTED_VALUE"""),402.42)</f>
        <v>402.42</v>
      </c>
      <c r="E1725" s="1">
        <f>IFERROR(__xludf.DUMMYFUNCTION("""COMPUTED_VALUE"""),402.66)</f>
        <v>402.66</v>
      </c>
      <c r="F1725" s="1">
        <f>IFERROR(__xludf.DUMMYFUNCTION("""COMPUTED_VALUE"""),2.7959376E7)</f>
        <v>27959376</v>
      </c>
    </row>
    <row r="1726">
      <c r="A1726" s="2">
        <f>IFERROR(__xludf.DUMMYFUNCTION("""COMPUTED_VALUE"""),33889.666666666664)</f>
        <v>33889.66667</v>
      </c>
      <c r="B1726" s="1">
        <f>IFERROR(__xludf.DUMMYFUNCTION("""COMPUTED_VALUE"""),402.66)</f>
        <v>402.66</v>
      </c>
      <c r="C1726" s="1">
        <f>IFERROR(__xludf.DUMMYFUNCTION("""COMPUTED_VALUE"""),407.44)</f>
        <v>407.44</v>
      </c>
      <c r="D1726" s="1">
        <f>IFERROR(__xludf.DUMMYFUNCTION("""COMPUTED_VALUE"""),402.66)</f>
        <v>402.66</v>
      </c>
      <c r="E1726" s="1">
        <f>IFERROR(__xludf.DUMMYFUNCTION("""COMPUTED_VALUE"""),407.44)</f>
        <v>407.44</v>
      </c>
      <c r="F1726" s="1">
        <f>IFERROR(__xludf.DUMMYFUNCTION("""COMPUTED_VALUE"""),1.9792188E7)</f>
        <v>19792188</v>
      </c>
    </row>
    <row r="1727">
      <c r="A1727" s="2">
        <f>IFERROR(__xludf.DUMMYFUNCTION("""COMPUTED_VALUE"""),33890.666666666664)</f>
        <v>33890.66667</v>
      </c>
      <c r="B1727" s="1">
        <f>IFERROR(__xludf.DUMMYFUNCTION("""COMPUTED_VALUE"""),407.44)</f>
        <v>407.44</v>
      </c>
      <c r="C1727" s="1">
        <f>IFERROR(__xludf.DUMMYFUNCTION("""COMPUTED_VALUE"""),410.64)</f>
        <v>410.64</v>
      </c>
      <c r="D1727" s="1">
        <f>IFERROR(__xludf.DUMMYFUNCTION("""COMPUTED_VALUE"""),406.83)</f>
        <v>406.83</v>
      </c>
      <c r="E1727" s="1">
        <f>IFERROR(__xludf.DUMMYFUNCTION("""COMPUTED_VALUE"""),409.3)</f>
        <v>409.3</v>
      </c>
      <c r="F1727" s="1">
        <f>IFERROR(__xludf.DUMMYFUNCTION("""COMPUTED_VALUE"""),2.9164062E7)</f>
        <v>29164062</v>
      </c>
    </row>
    <row r="1728">
      <c r="A1728" s="2">
        <f>IFERROR(__xludf.DUMMYFUNCTION("""COMPUTED_VALUE"""),33891.666666666664)</f>
        <v>33891.66667</v>
      </c>
      <c r="B1728" s="1">
        <f>IFERROR(__xludf.DUMMYFUNCTION("""COMPUTED_VALUE"""),409.3)</f>
        <v>409.3</v>
      </c>
      <c r="C1728" s="1">
        <f>IFERROR(__xludf.DUMMYFUNCTION("""COMPUTED_VALUE"""),411.52)</f>
        <v>411.52</v>
      </c>
      <c r="D1728" s="1">
        <f>IFERROR(__xludf.DUMMYFUNCTION("""COMPUTED_VALUE"""),407.86)</f>
        <v>407.86</v>
      </c>
      <c r="E1728" s="1">
        <f>IFERROR(__xludf.DUMMYFUNCTION("""COMPUTED_VALUE"""),409.37)</f>
        <v>409.37</v>
      </c>
      <c r="F1728" s="1">
        <f>IFERROR(__xludf.DUMMYFUNCTION("""COMPUTED_VALUE"""),2.7484376E7)</f>
        <v>27484376</v>
      </c>
    </row>
    <row r="1729">
      <c r="A1729" s="2">
        <f>IFERROR(__xludf.DUMMYFUNCTION("""COMPUTED_VALUE"""),33892.666666666664)</f>
        <v>33892.66667</v>
      </c>
      <c r="B1729" s="1">
        <f>IFERROR(__xludf.DUMMYFUNCTION("""COMPUTED_VALUE"""),409.34)</f>
        <v>409.34</v>
      </c>
      <c r="C1729" s="1">
        <f>IFERROR(__xludf.DUMMYFUNCTION("""COMPUTED_VALUE"""),411.03)</f>
        <v>411.03</v>
      </c>
      <c r="D1729" s="1">
        <f>IFERROR(__xludf.DUMMYFUNCTION("""COMPUTED_VALUE"""),407.92)</f>
        <v>407.92</v>
      </c>
      <c r="E1729" s="1">
        <f>IFERROR(__xludf.DUMMYFUNCTION("""COMPUTED_VALUE"""),409.6)</f>
        <v>409.6</v>
      </c>
      <c r="F1729" s="1">
        <f>IFERROR(__xludf.DUMMYFUNCTION("""COMPUTED_VALUE"""),3.3373438E7)</f>
        <v>33373438</v>
      </c>
    </row>
    <row r="1730">
      <c r="A1730" s="2">
        <f>IFERROR(__xludf.DUMMYFUNCTION("""COMPUTED_VALUE"""),33893.666666666664)</f>
        <v>33893.66667</v>
      </c>
      <c r="B1730" s="1">
        <f>IFERROR(__xludf.DUMMYFUNCTION("""COMPUTED_VALUE"""),409.6)</f>
        <v>409.6</v>
      </c>
      <c r="C1730" s="1">
        <f>IFERROR(__xludf.DUMMYFUNCTION("""COMPUTED_VALUE"""),411.73)</f>
        <v>411.73</v>
      </c>
      <c r="D1730" s="1">
        <f>IFERROR(__xludf.DUMMYFUNCTION("""COMPUTED_VALUE"""),407.43)</f>
        <v>407.43</v>
      </c>
      <c r="E1730" s="1">
        <f>IFERROR(__xludf.DUMMYFUNCTION("""COMPUTED_VALUE"""),411.73)</f>
        <v>411.73</v>
      </c>
      <c r="F1730" s="1">
        <f>IFERROR(__xludf.DUMMYFUNCTION("""COMPUTED_VALUE"""),3.68625E7)</f>
        <v>36862500</v>
      </c>
    </row>
    <row r="1731">
      <c r="A1731" s="2">
        <f>IFERROR(__xludf.DUMMYFUNCTION("""COMPUTED_VALUE"""),33896.666666666664)</f>
        <v>33896.66667</v>
      </c>
      <c r="B1731" s="1">
        <f>IFERROR(__xludf.DUMMYFUNCTION("""COMPUTED_VALUE"""),411.73)</f>
        <v>411.73</v>
      </c>
      <c r="C1731" s="1">
        <f>IFERROR(__xludf.DUMMYFUNCTION("""COMPUTED_VALUE"""),414.98)</f>
        <v>414.98</v>
      </c>
      <c r="D1731" s="1">
        <f>IFERROR(__xludf.DUMMYFUNCTION("""COMPUTED_VALUE"""),410.66)</f>
        <v>410.66</v>
      </c>
      <c r="E1731" s="1">
        <f>IFERROR(__xludf.DUMMYFUNCTION("""COMPUTED_VALUE"""),414.98)</f>
        <v>414.98</v>
      </c>
      <c r="F1731" s="1">
        <f>IFERROR(__xludf.DUMMYFUNCTION("""COMPUTED_VALUE"""),3.4710936E7)</f>
        <v>34710936</v>
      </c>
    </row>
    <row r="1732">
      <c r="A1732" s="2">
        <f>IFERROR(__xludf.DUMMYFUNCTION("""COMPUTED_VALUE"""),33897.666666666664)</f>
        <v>33897.66667</v>
      </c>
      <c r="B1732" s="1">
        <f>IFERROR(__xludf.DUMMYFUNCTION("""COMPUTED_VALUE"""),414.98)</f>
        <v>414.98</v>
      </c>
      <c r="C1732" s="1">
        <f>IFERROR(__xludf.DUMMYFUNCTION("""COMPUTED_VALUE"""),417.98)</f>
        <v>417.98</v>
      </c>
      <c r="D1732" s="1">
        <f>IFERROR(__xludf.DUMMYFUNCTION("""COMPUTED_VALUE"""),414.49)</f>
        <v>414.49</v>
      </c>
      <c r="E1732" s="1">
        <f>IFERROR(__xludf.DUMMYFUNCTION("""COMPUTED_VALUE"""),415.48)</f>
        <v>415.48</v>
      </c>
      <c r="F1732" s="1">
        <f>IFERROR(__xludf.DUMMYFUNCTION("""COMPUTED_VALUE"""),4.0345312E7)</f>
        <v>40345312</v>
      </c>
    </row>
    <row r="1733">
      <c r="A1733" s="2">
        <f>IFERROR(__xludf.DUMMYFUNCTION("""COMPUTED_VALUE"""),33898.666666666664)</f>
        <v>33898.66667</v>
      </c>
      <c r="B1733" s="1">
        <f>IFERROR(__xludf.DUMMYFUNCTION("""COMPUTED_VALUE"""),415.53)</f>
        <v>415.53</v>
      </c>
      <c r="C1733" s="1">
        <f>IFERROR(__xludf.DUMMYFUNCTION("""COMPUTED_VALUE"""),416.15)</f>
        <v>416.15</v>
      </c>
      <c r="D1733" s="1">
        <f>IFERROR(__xludf.DUMMYFUNCTION("""COMPUTED_VALUE"""),414.54)</f>
        <v>414.54</v>
      </c>
      <c r="E1733" s="1">
        <f>IFERROR(__xludf.DUMMYFUNCTION("""COMPUTED_VALUE"""),415.67)</f>
        <v>415.67</v>
      </c>
      <c r="F1733" s="1">
        <f>IFERROR(__xludf.DUMMYFUNCTION("""COMPUTED_VALUE"""),3.4234376E7)</f>
        <v>34234376</v>
      </c>
    </row>
    <row r="1734">
      <c r="A1734" s="2">
        <f>IFERROR(__xludf.DUMMYFUNCTION("""COMPUTED_VALUE"""),33899.666666666664)</f>
        <v>33899.66667</v>
      </c>
      <c r="B1734" s="1">
        <f>IFERROR(__xludf.DUMMYFUNCTION("""COMPUTED_VALUE"""),415.67)</f>
        <v>415.67</v>
      </c>
      <c r="C1734" s="1">
        <f>IFERROR(__xludf.DUMMYFUNCTION("""COMPUTED_VALUE"""),416.81)</f>
        <v>416.81</v>
      </c>
      <c r="D1734" s="1">
        <f>IFERROR(__xludf.DUMMYFUNCTION("""COMPUTED_VALUE"""),413.1)</f>
        <v>413.1</v>
      </c>
      <c r="E1734" s="1">
        <f>IFERROR(__xludf.DUMMYFUNCTION("""COMPUTED_VALUE"""),414.9)</f>
        <v>414.9</v>
      </c>
      <c r="F1734" s="1">
        <f>IFERROR(__xludf.DUMMYFUNCTION("""COMPUTED_VALUE"""),3.38125E7)</f>
        <v>33812500</v>
      </c>
    </row>
    <row r="1735">
      <c r="A1735" s="2">
        <f>IFERROR(__xludf.DUMMYFUNCTION("""COMPUTED_VALUE"""),33900.666666666664)</f>
        <v>33900.66667</v>
      </c>
      <c r="B1735" s="1">
        <f>IFERROR(__xludf.DUMMYFUNCTION("""COMPUTED_VALUE"""),414.9)</f>
        <v>414.9</v>
      </c>
      <c r="C1735" s="1">
        <f>IFERROR(__xludf.DUMMYFUNCTION("""COMPUTED_VALUE"""),416.23)</f>
        <v>416.23</v>
      </c>
      <c r="D1735" s="1">
        <f>IFERROR(__xludf.DUMMYFUNCTION("""COMPUTED_VALUE"""),413.68)</f>
        <v>413.68</v>
      </c>
      <c r="E1735" s="1">
        <f>IFERROR(__xludf.DUMMYFUNCTION("""COMPUTED_VALUE"""),414.1)</f>
        <v>414.1</v>
      </c>
      <c r="F1735" s="1">
        <f>IFERROR(__xludf.DUMMYFUNCTION("""COMPUTED_VALUE"""),3.1103124E7)</f>
        <v>31103124</v>
      </c>
    </row>
    <row r="1736">
      <c r="A1736" s="2">
        <f>IFERROR(__xludf.DUMMYFUNCTION("""COMPUTED_VALUE"""),33903.666666666664)</f>
        <v>33903.66667</v>
      </c>
      <c r="B1736" s="1">
        <f>IFERROR(__xludf.DUMMYFUNCTION("""COMPUTED_VALUE"""),414.09)</f>
        <v>414.09</v>
      </c>
      <c r="C1736" s="1">
        <f>IFERROR(__xludf.DUMMYFUNCTION("""COMPUTED_VALUE"""),418.17)</f>
        <v>418.17</v>
      </c>
      <c r="D1736" s="1">
        <f>IFERROR(__xludf.DUMMYFUNCTION("""COMPUTED_VALUE"""),413.71)</f>
        <v>413.71</v>
      </c>
      <c r="E1736" s="1">
        <f>IFERROR(__xludf.DUMMYFUNCTION("""COMPUTED_VALUE"""),418.16)</f>
        <v>418.16</v>
      </c>
      <c r="F1736" s="1">
        <f>IFERROR(__xludf.DUMMYFUNCTION("""COMPUTED_VALUE"""),2.9384376E7)</f>
        <v>29384376</v>
      </c>
    </row>
    <row r="1737">
      <c r="A1737" s="2">
        <f>IFERROR(__xludf.DUMMYFUNCTION("""COMPUTED_VALUE"""),33904.666666666664)</f>
        <v>33904.66667</v>
      </c>
      <c r="B1737" s="1">
        <f>IFERROR(__xludf.DUMMYFUNCTION("""COMPUTED_VALUE"""),418.18)</f>
        <v>418.18</v>
      </c>
      <c r="C1737" s="1">
        <f>IFERROR(__xludf.DUMMYFUNCTION("""COMPUTED_VALUE"""),419.2)</f>
        <v>419.2</v>
      </c>
      <c r="D1737" s="1">
        <f>IFERROR(__xludf.DUMMYFUNCTION("""COMPUTED_VALUE"""),416.97)</f>
        <v>416.97</v>
      </c>
      <c r="E1737" s="1">
        <f>IFERROR(__xludf.DUMMYFUNCTION("""COMPUTED_VALUE"""),418.49)</f>
        <v>418.49</v>
      </c>
      <c r="F1737" s="1">
        <f>IFERROR(__xludf.DUMMYFUNCTION("""COMPUTED_VALUE"""),3.1520312E7)</f>
        <v>31520312</v>
      </c>
    </row>
    <row r="1738">
      <c r="A1738" s="2">
        <f>IFERROR(__xludf.DUMMYFUNCTION("""COMPUTED_VALUE"""),33905.666666666664)</f>
        <v>33905.66667</v>
      </c>
      <c r="B1738" s="1">
        <f>IFERROR(__xludf.DUMMYFUNCTION("""COMPUTED_VALUE"""),418.49)</f>
        <v>418.49</v>
      </c>
      <c r="C1738" s="1">
        <f>IFERROR(__xludf.DUMMYFUNCTION("""COMPUTED_VALUE"""),420.13)</f>
        <v>420.13</v>
      </c>
      <c r="D1738" s="1">
        <f>IFERROR(__xludf.DUMMYFUNCTION("""COMPUTED_VALUE"""),417.56)</f>
        <v>417.56</v>
      </c>
      <c r="E1738" s="1">
        <f>IFERROR(__xludf.DUMMYFUNCTION("""COMPUTED_VALUE"""),420.13)</f>
        <v>420.13</v>
      </c>
      <c r="F1738" s="1">
        <f>IFERROR(__xludf.DUMMYFUNCTION("""COMPUTED_VALUE"""),3.1860938E7)</f>
        <v>31860938</v>
      </c>
    </row>
    <row r="1739">
      <c r="A1739" s="2">
        <f>IFERROR(__xludf.DUMMYFUNCTION("""COMPUTED_VALUE"""),33906.666666666664)</f>
        <v>33906.66667</v>
      </c>
      <c r="B1739" s="1">
        <f>IFERROR(__xludf.DUMMYFUNCTION("""COMPUTED_VALUE"""),420.15)</f>
        <v>420.15</v>
      </c>
      <c r="C1739" s="1">
        <f>IFERROR(__xludf.DUMMYFUNCTION("""COMPUTED_VALUE"""),421.16)</f>
        <v>421.16</v>
      </c>
      <c r="D1739" s="1">
        <f>IFERROR(__xludf.DUMMYFUNCTION("""COMPUTED_VALUE"""),419.83)</f>
        <v>419.83</v>
      </c>
      <c r="E1739" s="1">
        <f>IFERROR(__xludf.DUMMYFUNCTION("""COMPUTED_VALUE"""),420.86)</f>
        <v>420.86</v>
      </c>
      <c r="F1739" s="1">
        <f>IFERROR(__xludf.DUMMYFUNCTION("""COMPUTED_VALUE"""),3.2273438E7)</f>
        <v>32273438</v>
      </c>
    </row>
    <row r="1740">
      <c r="A1740" s="2">
        <f>IFERROR(__xludf.DUMMYFUNCTION("""COMPUTED_VALUE"""),33907.666666666664)</f>
        <v>33907.66667</v>
      </c>
      <c r="B1740" s="1">
        <f>IFERROR(__xludf.DUMMYFUNCTION("""COMPUTED_VALUE"""),420.86)</f>
        <v>420.86</v>
      </c>
      <c r="C1740" s="1">
        <f>IFERROR(__xludf.DUMMYFUNCTION("""COMPUTED_VALUE"""),421.13)</f>
        <v>421.13</v>
      </c>
      <c r="D1740" s="1">
        <f>IFERROR(__xludf.DUMMYFUNCTION("""COMPUTED_VALUE"""),418.54)</f>
        <v>418.54</v>
      </c>
      <c r="E1740" s="1">
        <f>IFERROR(__xludf.DUMMYFUNCTION("""COMPUTED_VALUE"""),418.68)</f>
        <v>418.68</v>
      </c>
      <c r="F1740" s="1">
        <f>IFERROR(__xludf.DUMMYFUNCTION("""COMPUTED_VALUE"""),3.1551562E7)</f>
        <v>31551562</v>
      </c>
    </row>
    <row r="1741">
      <c r="A1741" s="2">
        <f>IFERROR(__xludf.DUMMYFUNCTION("""COMPUTED_VALUE"""),33910.666666666664)</f>
        <v>33910.66667</v>
      </c>
      <c r="B1741" s="1">
        <f>IFERROR(__xludf.DUMMYFUNCTION("""COMPUTED_VALUE"""),418.66)</f>
        <v>418.66</v>
      </c>
      <c r="C1741" s="1">
        <f>IFERROR(__xludf.DUMMYFUNCTION("""COMPUTED_VALUE"""),422.75)</f>
        <v>422.75</v>
      </c>
      <c r="D1741" s="1">
        <f>IFERROR(__xludf.DUMMYFUNCTION("""COMPUTED_VALUE"""),418.12)</f>
        <v>418.12</v>
      </c>
      <c r="E1741" s="1">
        <f>IFERROR(__xludf.DUMMYFUNCTION("""COMPUTED_VALUE"""),422.75)</f>
        <v>422.75</v>
      </c>
      <c r="F1741" s="1">
        <f>IFERROR(__xludf.DUMMYFUNCTION("""COMPUTED_VALUE"""),3.17625E7)</f>
        <v>31762500</v>
      </c>
    </row>
    <row r="1742">
      <c r="A1742" s="2">
        <f>IFERROR(__xludf.DUMMYFUNCTION("""COMPUTED_VALUE"""),33911.666666666664)</f>
        <v>33911.66667</v>
      </c>
      <c r="B1742" s="1">
        <f>IFERROR(__xludf.DUMMYFUNCTION("""COMPUTED_VALUE"""),422.75)</f>
        <v>422.75</v>
      </c>
      <c r="C1742" s="1">
        <f>IFERROR(__xludf.DUMMYFUNCTION("""COMPUTED_VALUE"""),422.81)</f>
        <v>422.81</v>
      </c>
      <c r="D1742" s="1">
        <f>IFERROR(__xludf.DUMMYFUNCTION("""COMPUTED_VALUE"""),418.59)</f>
        <v>418.59</v>
      </c>
      <c r="E1742" s="1">
        <f>IFERROR(__xludf.DUMMYFUNCTION("""COMPUTED_VALUE"""),419.92)</f>
        <v>419.92</v>
      </c>
      <c r="F1742" s="1">
        <f>IFERROR(__xludf.DUMMYFUNCTION("""COMPUTED_VALUE"""),3.2521876E7)</f>
        <v>32521876</v>
      </c>
    </row>
    <row r="1743">
      <c r="A1743" s="2">
        <f>IFERROR(__xludf.DUMMYFUNCTION("""COMPUTED_VALUE"""),33912.666666666664)</f>
        <v>33912.66667</v>
      </c>
      <c r="B1743" s="1">
        <f>IFERROR(__xludf.DUMMYFUNCTION("""COMPUTED_VALUE"""),419.91)</f>
        <v>419.91</v>
      </c>
      <c r="C1743" s="1">
        <f>IFERROR(__xludf.DUMMYFUNCTION("""COMPUTED_VALUE"""),421.07)</f>
        <v>421.07</v>
      </c>
      <c r="D1743" s="1">
        <f>IFERROR(__xludf.DUMMYFUNCTION("""COMPUTED_VALUE"""),416.61)</f>
        <v>416.61</v>
      </c>
      <c r="E1743" s="1">
        <f>IFERROR(__xludf.DUMMYFUNCTION("""COMPUTED_VALUE"""),417.11)</f>
        <v>417.11</v>
      </c>
      <c r="F1743" s="1">
        <f>IFERROR(__xludf.DUMMYFUNCTION("""COMPUTED_VALUE"""),3.0375E7)</f>
        <v>30375000</v>
      </c>
    </row>
    <row r="1744">
      <c r="A1744" s="2">
        <f>IFERROR(__xludf.DUMMYFUNCTION("""COMPUTED_VALUE"""),33913.666666666664)</f>
        <v>33913.66667</v>
      </c>
      <c r="B1744" s="1">
        <f>IFERROR(__xludf.DUMMYFUNCTION("""COMPUTED_VALUE"""),417.08)</f>
        <v>417.08</v>
      </c>
      <c r="C1744" s="1">
        <f>IFERROR(__xludf.DUMMYFUNCTION("""COMPUTED_VALUE"""),418.4)</f>
        <v>418.4</v>
      </c>
      <c r="D1744" s="1">
        <f>IFERROR(__xludf.DUMMYFUNCTION("""COMPUTED_VALUE"""),415.58)</f>
        <v>415.58</v>
      </c>
      <c r="E1744" s="1">
        <f>IFERROR(__xludf.DUMMYFUNCTION("""COMPUTED_VALUE"""),418.34)</f>
        <v>418.34</v>
      </c>
      <c r="F1744" s="1">
        <f>IFERROR(__xludf.DUMMYFUNCTION("""COMPUTED_VALUE"""),3.4332812E7)</f>
        <v>34332812</v>
      </c>
    </row>
    <row r="1745">
      <c r="A1745" s="2">
        <f>IFERROR(__xludf.DUMMYFUNCTION("""COMPUTED_VALUE"""),33914.666666666664)</f>
        <v>33914.66667</v>
      </c>
      <c r="B1745" s="1">
        <f>IFERROR(__xludf.DUMMYFUNCTION("""COMPUTED_VALUE"""),418.35)</f>
        <v>418.35</v>
      </c>
      <c r="C1745" s="1">
        <f>IFERROR(__xludf.DUMMYFUNCTION("""COMPUTED_VALUE"""),418.35)</f>
        <v>418.35</v>
      </c>
      <c r="D1745" s="1">
        <f>IFERROR(__xludf.DUMMYFUNCTION("""COMPUTED_VALUE"""),417.01)</f>
        <v>417.01</v>
      </c>
      <c r="E1745" s="1">
        <f>IFERROR(__xludf.DUMMYFUNCTION("""COMPUTED_VALUE"""),417.58)</f>
        <v>417.58</v>
      </c>
      <c r="F1745" s="1">
        <f>IFERROR(__xludf.DUMMYFUNCTION("""COMPUTED_VALUE"""),3.2079688E7)</f>
        <v>32079688</v>
      </c>
    </row>
    <row r="1746">
      <c r="A1746" s="2">
        <f>IFERROR(__xludf.DUMMYFUNCTION("""COMPUTED_VALUE"""),33917.666666666664)</f>
        <v>33917.66667</v>
      </c>
      <c r="B1746" s="1">
        <f>IFERROR(__xludf.DUMMYFUNCTION("""COMPUTED_VALUE"""),417.58)</f>
        <v>417.58</v>
      </c>
      <c r="C1746" s="1">
        <f>IFERROR(__xludf.DUMMYFUNCTION("""COMPUTED_VALUE"""),420.13)</f>
        <v>420.13</v>
      </c>
      <c r="D1746" s="1">
        <f>IFERROR(__xludf.DUMMYFUNCTION("""COMPUTED_VALUE"""),416.79)</f>
        <v>416.79</v>
      </c>
      <c r="E1746" s="1">
        <f>IFERROR(__xludf.DUMMYFUNCTION("""COMPUTED_VALUE"""),418.59)</f>
        <v>418.59</v>
      </c>
      <c r="F1746" s="1">
        <f>IFERROR(__xludf.DUMMYFUNCTION("""COMPUTED_VALUE"""),3.086875E7)</f>
        <v>30868750</v>
      </c>
    </row>
    <row r="1747">
      <c r="A1747" s="2">
        <f>IFERROR(__xludf.DUMMYFUNCTION("""COMPUTED_VALUE"""),33918.666666666664)</f>
        <v>33918.66667</v>
      </c>
      <c r="B1747" s="1">
        <f>IFERROR(__xludf.DUMMYFUNCTION("""COMPUTED_VALUE"""),418.59)</f>
        <v>418.59</v>
      </c>
      <c r="C1747" s="1">
        <f>IFERROR(__xludf.DUMMYFUNCTION("""COMPUTED_VALUE"""),419.71)</f>
        <v>419.71</v>
      </c>
      <c r="D1747" s="1">
        <f>IFERROR(__xludf.DUMMYFUNCTION("""COMPUTED_VALUE"""),417.98)</f>
        <v>417.98</v>
      </c>
      <c r="E1747" s="1">
        <f>IFERROR(__xludf.DUMMYFUNCTION("""COMPUTED_VALUE"""),418.62)</f>
        <v>418.62</v>
      </c>
      <c r="F1747" s="1">
        <f>IFERROR(__xludf.DUMMYFUNCTION("""COMPUTED_VALUE"""),3.4871876E7)</f>
        <v>34871876</v>
      </c>
    </row>
    <row r="1748">
      <c r="A1748" s="2">
        <f>IFERROR(__xludf.DUMMYFUNCTION("""COMPUTED_VALUE"""),33919.666666666664)</f>
        <v>33919.66667</v>
      </c>
      <c r="B1748" s="1">
        <f>IFERROR(__xludf.DUMMYFUNCTION("""COMPUTED_VALUE"""),418.62)</f>
        <v>418.62</v>
      </c>
      <c r="C1748" s="1">
        <f>IFERROR(__xludf.DUMMYFUNCTION("""COMPUTED_VALUE"""),422.33)</f>
        <v>422.33</v>
      </c>
      <c r="D1748" s="1">
        <f>IFERROR(__xludf.DUMMYFUNCTION("""COMPUTED_VALUE"""),418.4)</f>
        <v>418.4</v>
      </c>
      <c r="E1748" s="1">
        <f>IFERROR(__xludf.DUMMYFUNCTION("""COMPUTED_VALUE"""),422.2)</f>
        <v>422.2</v>
      </c>
      <c r="F1748" s="1">
        <f>IFERROR(__xludf.DUMMYFUNCTION("""COMPUTED_VALUE"""),3.8085936E7)</f>
        <v>38085936</v>
      </c>
    </row>
    <row r="1749">
      <c r="A1749" s="2">
        <f>IFERROR(__xludf.DUMMYFUNCTION("""COMPUTED_VALUE"""),33920.666666666664)</f>
        <v>33920.66667</v>
      </c>
      <c r="B1749" s="1">
        <f>IFERROR(__xludf.DUMMYFUNCTION("""COMPUTED_VALUE"""),422.2)</f>
        <v>422.2</v>
      </c>
      <c r="C1749" s="1">
        <f>IFERROR(__xludf.DUMMYFUNCTION("""COMPUTED_VALUE"""),423.1)</f>
        <v>423.1</v>
      </c>
      <c r="D1749" s="1">
        <f>IFERROR(__xludf.DUMMYFUNCTION("""COMPUTED_VALUE"""),421.7)</f>
        <v>421.7</v>
      </c>
      <c r="E1749" s="1">
        <f>IFERROR(__xludf.DUMMYFUNCTION("""COMPUTED_VALUE"""),422.87)</f>
        <v>422.87</v>
      </c>
      <c r="F1749" s="1">
        <f>IFERROR(__xludf.DUMMYFUNCTION("""COMPUTED_VALUE"""),3.5314064E7)</f>
        <v>35314064</v>
      </c>
    </row>
    <row r="1750">
      <c r="A1750" s="2">
        <f>IFERROR(__xludf.DUMMYFUNCTION("""COMPUTED_VALUE"""),33921.666666666664)</f>
        <v>33921.66667</v>
      </c>
      <c r="B1750" s="1">
        <f>IFERROR(__xludf.DUMMYFUNCTION("""COMPUTED_VALUE"""),422.89)</f>
        <v>422.89</v>
      </c>
      <c r="C1750" s="1">
        <f>IFERROR(__xludf.DUMMYFUNCTION("""COMPUTED_VALUE"""),422.91)</f>
        <v>422.91</v>
      </c>
      <c r="D1750" s="1">
        <f>IFERROR(__xludf.DUMMYFUNCTION("""COMPUTED_VALUE"""),421.04)</f>
        <v>421.04</v>
      </c>
      <c r="E1750" s="1">
        <f>IFERROR(__xludf.DUMMYFUNCTION("""COMPUTED_VALUE"""),422.43)</f>
        <v>422.43</v>
      </c>
      <c r="F1750" s="1">
        <f>IFERROR(__xludf.DUMMYFUNCTION("""COMPUTED_VALUE"""),3.0148438E7)</f>
        <v>30148438</v>
      </c>
    </row>
    <row r="1751">
      <c r="A1751" s="2">
        <f>IFERROR(__xludf.DUMMYFUNCTION("""COMPUTED_VALUE"""),33924.666666666664)</f>
        <v>33924.66667</v>
      </c>
      <c r="B1751" s="1">
        <f>IFERROR(__xludf.DUMMYFUNCTION("""COMPUTED_VALUE"""),422.44)</f>
        <v>422.44</v>
      </c>
      <c r="C1751" s="1">
        <f>IFERROR(__xludf.DUMMYFUNCTION("""COMPUTED_VALUE"""),422.44)</f>
        <v>422.44</v>
      </c>
      <c r="D1751" s="1">
        <f>IFERROR(__xludf.DUMMYFUNCTION("""COMPUTED_VALUE"""),420.35)</f>
        <v>420.35</v>
      </c>
      <c r="E1751" s="1">
        <f>IFERROR(__xludf.DUMMYFUNCTION("""COMPUTED_VALUE"""),420.68)</f>
        <v>420.68</v>
      </c>
      <c r="F1751" s="1">
        <f>IFERROR(__xludf.DUMMYFUNCTION("""COMPUTED_VALUE"""),2.7125E7)</f>
        <v>27125000</v>
      </c>
    </row>
    <row r="1752">
      <c r="A1752" s="2">
        <f>IFERROR(__xludf.DUMMYFUNCTION("""COMPUTED_VALUE"""),33925.666666666664)</f>
        <v>33925.66667</v>
      </c>
      <c r="B1752" s="1">
        <f>IFERROR(__xludf.DUMMYFUNCTION("""COMPUTED_VALUE"""),420.63)</f>
        <v>420.63</v>
      </c>
      <c r="C1752" s="1">
        <f>IFERROR(__xludf.DUMMYFUNCTION("""COMPUTED_VALUE"""),420.97)</f>
        <v>420.97</v>
      </c>
      <c r="D1752" s="1">
        <f>IFERROR(__xludf.DUMMYFUNCTION("""COMPUTED_VALUE"""),418.31)</f>
        <v>418.31</v>
      </c>
      <c r="E1752" s="1">
        <f>IFERROR(__xludf.DUMMYFUNCTION("""COMPUTED_VALUE"""),419.27)</f>
        <v>419.27</v>
      </c>
      <c r="F1752" s="1">
        <f>IFERROR(__xludf.DUMMYFUNCTION("""COMPUTED_VALUE"""),2.9321876E7)</f>
        <v>29321876</v>
      </c>
    </row>
    <row r="1753">
      <c r="A1753" s="2">
        <f>IFERROR(__xludf.DUMMYFUNCTION("""COMPUTED_VALUE"""),33926.666666666664)</f>
        <v>33926.66667</v>
      </c>
      <c r="B1753" s="1">
        <f>IFERROR(__xludf.DUMMYFUNCTION("""COMPUTED_VALUE"""),419.27)</f>
        <v>419.27</v>
      </c>
      <c r="C1753" s="1">
        <f>IFERROR(__xludf.DUMMYFUNCTION("""COMPUTED_VALUE"""),423.49)</f>
        <v>423.49</v>
      </c>
      <c r="D1753" s="1">
        <f>IFERROR(__xludf.DUMMYFUNCTION("""COMPUTED_VALUE"""),419.24)</f>
        <v>419.24</v>
      </c>
      <c r="E1753" s="1">
        <f>IFERROR(__xludf.DUMMYFUNCTION("""COMPUTED_VALUE"""),422.85)</f>
        <v>422.85</v>
      </c>
      <c r="F1753" s="1">
        <f>IFERROR(__xludf.DUMMYFUNCTION("""COMPUTED_VALUE"""),3.4231248E7)</f>
        <v>34231248</v>
      </c>
    </row>
    <row r="1754">
      <c r="A1754" s="2">
        <f>IFERROR(__xludf.DUMMYFUNCTION("""COMPUTED_VALUE"""),33927.666666666664)</f>
        <v>33927.66667</v>
      </c>
      <c r="B1754" s="1">
        <f>IFERROR(__xludf.DUMMYFUNCTION("""COMPUTED_VALUE"""),422.86)</f>
        <v>422.86</v>
      </c>
      <c r="C1754" s="1">
        <f>IFERROR(__xludf.DUMMYFUNCTION("""COMPUTED_VALUE"""),423.61)</f>
        <v>423.61</v>
      </c>
      <c r="D1754" s="1">
        <f>IFERROR(__xludf.DUMMYFUNCTION("""COMPUTED_VALUE"""),422.5)</f>
        <v>422.5</v>
      </c>
      <c r="E1754" s="1">
        <f>IFERROR(__xludf.DUMMYFUNCTION("""COMPUTED_VALUE"""),423.61)</f>
        <v>423.61</v>
      </c>
      <c r="F1754" s="1">
        <f>IFERROR(__xludf.DUMMYFUNCTION("""COMPUTED_VALUE"""),3.4175E7)</f>
        <v>34175000</v>
      </c>
    </row>
    <row r="1755">
      <c r="A1755" s="2">
        <f>IFERROR(__xludf.DUMMYFUNCTION("""COMPUTED_VALUE"""),33928.666666666664)</f>
        <v>33928.66667</v>
      </c>
      <c r="B1755" s="1">
        <f>IFERROR(__xludf.DUMMYFUNCTION("""COMPUTED_VALUE"""),423.61)</f>
        <v>423.61</v>
      </c>
      <c r="C1755" s="1">
        <f>IFERROR(__xludf.DUMMYFUNCTION("""COMPUTED_VALUE"""),426.98)</f>
        <v>426.98</v>
      </c>
      <c r="D1755" s="1">
        <f>IFERROR(__xludf.DUMMYFUNCTION("""COMPUTED_VALUE"""),423.61)</f>
        <v>423.61</v>
      </c>
      <c r="E1755" s="1">
        <f>IFERROR(__xludf.DUMMYFUNCTION("""COMPUTED_VALUE"""),426.65)</f>
        <v>426.65</v>
      </c>
      <c r="F1755" s="1">
        <f>IFERROR(__xludf.DUMMYFUNCTION("""COMPUTED_VALUE"""),4.0228124E7)</f>
        <v>40228124</v>
      </c>
    </row>
    <row r="1756">
      <c r="A1756" s="2">
        <f>IFERROR(__xludf.DUMMYFUNCTION("""COMPUTED_VALUE"""),33931.666666666664)</f>
        <v>33931.66667</v>
      </c>
      <c r="B1756" s="1">
        <f>IFERROR(__xludf.DUMMYFUNCTION("""COMPUTED_VALUE"""),426.65)</f>
        <v>426.65</v>
      </c>
      <c r="C1756" s="1">
        <f>IFERROR(__xludf.DUMMYFUNCTION("""COMPUTED_VALUE"""),426.65)</f>
        <v>426.65</v>
      </c>
      <c r="D1756" s="1">
        <f>IFERROR(__xludf.DUMMYFUNCTION("""COMPUTED_VALUE"""),424.95)</f>
        <v>424.95</v>
      </c>
      <c r="E1756" s="1">
        <f>IFERROR(__xludf.DUMMYFUNCTION("""COMPUTED_VALUE"""),425.12)</f>
        <v>425.12</v>
      </c>
      <c r="F1756" s="1">
        <f>IFERROR(__xludf.DUMMYFUNCTION("""COMPUTED_VALUE"""),3.0082812E7)</f>
        <v>30082812</v>
      </c>
    </row>
    <row r="1757">
      <c r="A1757" s="2">
        <f>IFERROR(__xludf.DUMMYFUNCTION("""COMPUTED_VALUE"""),33932.666666666664)</f>
        <v>33932.66667</v>
      </c>
      <c r="B1757" s="1">
        <f>IFERROR(__xludf.DUMMYFUNCTION("""COMPUTED_VALUE"""),425.14)</f>
        <v>425.14</v>
      </c>
      <c r="C1757" s="1">
        <f>IFERROR(__xludf.DUMMYFUNCTION("""COMPUTED_VALUE"""),429.31)</f>
        <v>429.31</v>
      </c>
      <c r="D1757" s="1">
        <f>IFERROR(__xludf.DUMMYFUNCTION("""COMPUTED_VALUE"""),424.83)</f>
        <v>424.83</v>
      </c>
      <c r="E1757" s="1">
        <f>IFERROR(__xludf.DUMMYFUNCTION("""COMPUTED_VALUE"""),427.59)</f>
        <v>427.59</v>
      </c>
      <c r="F1757" s="1">
        <f>IFERROR(__xludf.DUMMYFUNCTION("""COMPUTED_VALUE"""),3.7740624E7)</f>
        <v>37740624</v>
      </c>
    </row>
    <row r="1758">
      <c r="A1758" s="2">
        <f>IFERROR(__xludf.DUMMYFUNCTION("""COMPUTED_VALUE"""),33933.666666666664)</f>
        <v>33933.66667</v>
      </c>
      <c r="B1758" s="1">
        <f>IFERROR(__xludf.DUMMYFUNCTION("""COMPUTED_VALUE"""),427.59)</f>
        <v>427.59</v>
      </c>
      <c r="C1758" s="1">
        <f>IFERROR(__xludf.DUMMYFUNCTION("""COMPUTED_VALUE"""),429.41)</f>
        <v>429.41</v>
      </c>
      <c r="D1758" s="1">
        <f>IFERROR(__xludf.DUMMYFUNCTION("""COMPUTED_VALUE"""),427.58)</f>
        <v>427.58</v>
      </c>
      <c r="E1758" s="1">
        <f>IFERROR(__xludf.DUMMYFUNCTION("""COMPUTED_VALUE"""),429.19)</f>
        <v>429.19</v>
      </c>
      <c r="F1758" s="1">
        <f>IFERROR(__xludf.DUMMYFUNCTION("""COMPUTED_VALUE"""),3.2453124E7)</f>
        <v>32453124</v>
      </c>
    </row>
    <row r="1759">
      <c r="A1759" s="2">
        <f>IFERROR(__xludf.DUMMYFUNCTION("""COMPUTED_VALUE"""),33935.666666666664)</f>
        <v>33935.66667</v>
      </c>
      <c r="B1759" s="1">
        <f>IFERROR(__xludf.DUMMYFUNCTION("""COMPUTED_VALUE"""),429.19)</f>
        <v>429.19</v>
      </c>
      <c r="C1759" s="1">
        <f>IFERROR(__xludf.DUMMYFUNCTION("""COMPUTED_VALUE"""),431.93)</f>
        <v>431.93</v>
      </c>
      <c r="D1759" s="1">
        <f>IFERROR(__xludf.DUMMYFUNCTION("""COMPUTED_VALUE"""),429.17)</f>
        <v>429.17</v>
      </c>
      <c r="E1759" s="1">
        <f>IFERROR(__xludf.DUMMYFUNCTION("""COMPUTED_VALUE"""),430.16)</f>
        <v>430.16</v>
      </c>
      <c r="F1759" s="1">
        <f>IFERROR(__xludf.DUMMYFUNCTION("""COMPUTED_VALUE"""),1.6565625E7)</f>
        <v>16565625</v>
      </c>
    </row>
    <row r="1760">
      <c r="A1760" s="2">
        <f>IFERROR(__xludf.DUMMYFUNCTION("""COMPUTED_VALUE"""),33938.666666666664)</f>
        <v>33938.66667</v>
      </c>
      <c r="B1760" s="1">
        <f>IFERROR(__xludf.DUMMYFUNCTION("""COMPUTED_VALUE"""),430.19)</f>
        <v>430.19</v>
      </c>
      <c r="C1760" s="1">
        <f>IFERROR(__xludf.DUMMYFUNCTION("""COMPUTED_VALUE"""),431.53)</f>
        <v>431.53</v>
      </c>
      <c r="D1760" s="1">
        <f>IFERROR(__xludf.DUMMYFUNCTION("""COMPUTED_VALUE"""),429.36)</f>
        <v>429.36</v>
      </c>
      <c r="E1760" s="1">
        <f>IFERROR(__xludf.DUMMYFUNCTION("""COMPUTED_VALUE"""),431.35)</f>
        <v>431.35</v>
      </c>
      <c r="F1760" s="1">
        <f>IFERROR(__xludf.DUMMYFUNCTION("""COMPUTED_VALUE"""),3.5960936E7)</f>
        <v>35960936</v>
      </c>
    </row>
    <row r="1761">
      <c r="A1761" s="2">
        <f>IFERROR(__xludf.DUMMYFUNCTION("""COMPUTED_VALUE"""),33939.666666666664)</f>
        <v>33939.66667</v>
      </c>
      <c r="B1761" s="1">
        <f>IFERROR(__xludf.DUMMYFUNCTION("""COMPUTED_VALUE"""),431.35)</f>
        <v>431.35</v>
      </c>
      <c r="C1761" s="1">
        <f>IFERROR(__xludf.DUMMYFUNCTION("""COMPUTED_VALUE"""),431.47)</f>
        <v>431.47</v>
      </c>
      <c r="D1761" s="1">
        <f>IFERROR(__xludf.DUMMYFUNCTION("""COMPUTED_VALUE"""),429.2)</f>
        <v>429.2</v>
      </c>
      <c r="E1761" s="1">
        <f>IFERROR(__xludf.DUMMYFUNCTION("""COMPUTED_VALUE"""),430.78)</f>
        <v>430.78</v>
      </c>
      <c r="F1761" s="1">
        <f>IFERROR(__xludf.DUMMYFUNCTION("""COMPUTED_VALUE"""),4.0476564E7)</f>
        <v>40476564</v>
      </c>
    </row>
    <row r="1762">
      <c r="A1762" s="2">
        <f>IFERROR(__xludf.DUMMYFUNCTION("""COMPUTED_VALUE"""),33940.666666666664)</f>
        <v>33940.66667</v>
      </c>
      <c r="B1762" s="1">
        <f>IFERROR(__xludf.DUMMYFUNCTION("""COMPUTED_VALUE"""),430.78)</f>
        <v>430.78</v>
      </c>
      <c r="C1762" s="1">
        <f>IFERROR(__xludf.DUMMYFUNCTION("""COMPUTED_VALUE"""),430.87)</f>
        <v>430.87</v>
      </c>
      <c r="D1762" s="1">
        <f>IFERROR(__xludf.DUMMYFUNCTION("""COMPUTED_VALUE"""),428.61)</f>
        <v>428.61</v>
      </c>
      <c r="E1762" s="1">
        <f>IFERROR(__xludf.DUMMYFUNCTION("""COMPUTED_VALUE"""),429.89)</f>
        <v>429.89</v>
      </c>
      <c r="F1762" s="1">
        <f>IFERROR(__xludf.DUMMYFUNCTION("""COMPUTED_VALUE"""),3.8595312E7)</f>
        <v>38595312</v>
      </c>
    </row>
    <row r="1763">
      <c r="A1763" s="2">
        <f>IFERROR(__xludf.DUMMYFUNCTION("""COMPUTED_VALUE"""),33941.666666666664)</f>
        <v>33941.66667</v>
      </c>
      <c r="B1763" s="1">
        <f>IFERROR(__xludf.DUMMYFUNCTION("""COMPUTED_VALUE"""),429.98)</f>
        <v>429.98</v>
      </c>
      <c r="C1763" s="1">
        <f>IFERROR(__xludf.DUMMYFUNCTION("""COMPUTED_VALUE"""),430.99)</f>
        <v>430.99</v>
      </c>
      <c r="D1763" s="1">
        <f>IFERROR(__xludf.DUMMYFUNCTION("""COMPUTED_VALUE"""),428.8)</f>
        <v>428.8</v>
      </c>
      <c r="E1763" s="1">
        <f>IFERROR(__xludf.DUMMYFUNCTION("""COMPUTED_VALUE"""),429.91)</f>
        <v>429.91</v>
      </c>
      <c r="F1763" s="1">
        <f>IFERROR(__xludf.DUMMYFUNCTION("""COMPUTED_VALUE"""),3.7195312E7)</f>
        <v>37195312</v>
      </c>
    </row>
    <row r="1764">
      <c r="A1764" s="2">
        <f>IFERROR(__xludf.DUMMYFUNCTION("""COMPUTED_VALUE"""),33942.666666666664)</f>
        <v>33942.66667</v>
      </c>
      <c r="B1764" s="1">
        <f>IFERROR(__xludf.DUMMYFUNCTION("""COMPUTED_VALUE"""),429.93)</f>
        <v>429.93</v>
      </c>
      <c r="C1764" s="1">
        <f>IFERROR(__xludf.DUMMYFUNCTION("""COMPUTED_VALUE"""),432.89)</f>
        <v>432.89</v>
      </c>
      <c r="D1764" s="1">
        <f>IFERROR(__xludf.DUMMYFUNCTION("""COMPUTED_VALUE"""),429.74)</f>
        <v>429.74</v>
      </c>
      <c r="E1764" s="1">
        <f>IFERROR(__xludf.DUMMYFUNCTION("""COMPUTED_VALUE"""),432.06)</f>
        <v>432.06</v>
      </c>
      <c r="F1764" s="1">
        <f>IFERROR(__xludf.DUMMYFUNCTION("""COMPUTED_VALUE"""),3.67125E7)</f>
        <v>36712500</v>
      </c>
    </row>
    <row r="1765">
      <c r="A1765" s="2">
        <f>IFERROR(__xludf.DUMMYFUNCTION("""COMPUTED_VALUE"""),33945.666666666664)</f>
        <v>33945.66667</v>
      </c>
      <c r="B1765" s="1">
        <f>IFERROR(__xludf.DUMMYFUNCTION("""COMPUTED_VALUE"""),432.06)</f>
        <v>432.06</v>
      </c>
      <c r="C1765" s="1">
        <f>IFERROR(__xludf.DUMMYFUNCTION("""COMPUTED_VALUE"""),435.31)</f>
        <v>435.31</v>
      </c>
      <c r="D1765" s="1">
        <f>IFERROR(__xludf.DUMMYFUNCTION("""COMPUTED_VALUE"""),432.06)</f>
        <v>432.06</v>
      </c>
      <c r="E1765" s="1">
        <f>IFERROR(__xludf.DUMMYFUNCTION("""COMPUTED_VALUE"""),435.31)</f>
        <v>435.31</v>
      </c>
      <c r="F1765" s="1">
        <f>IFERROR(__xludf.DUMMYFUNCTION("""COMPUTED_VALUE"""),3.4015624E7)</f>
        <v>34015624</v>
      </c>
    </row>
    <row r="1766">
      <c r="A1766" s="2">
        <f>IFERROR(__xludf.DUMMYFUNCTION("""COMPUTED_VALUE"""),33946.666666666664)</f>
        <v>33946.66667</v>
      </c>
      <c r="B1766" s="1">
        <f>IFERROR(__xludf.DUMMYFUNCTION("""COMPUTED_VALUE"""),435.31)</f>
        <v>435.31</v>
      </c>
      <c r="C1766" s="1">
        <f>IFERROR(__xludf.DUMMYFUNCTION("""COMPUTED_VALUE"""),436.99)</f>
        <v>436.99</v>
      </c>
      <c r="D1766" s="1">
        <f>IFERROR(__xludf.DUMMYFUNCTION("""COMPUTED_VALUE"""),434.68)</f>
        <v>434.68</v>
      </c>
      <c r="E1766" s="1">
        <f>IFERROR(__xludf.DUMMYFUNCTION("""COMPUTED_VALUE"""),436.99)</f>
        <v>436.99</v>
      </c>
      <c r="F1766" s="1">
        <f>IFERROR(__xludf.DUMMYFUNCTION("""COMPUTED_VALUE"""),3.6614064E7)</f>
        <v>36614064</v>
      </c>
    </row>
    <row r="1767">
      <c r="A1767" s="2">
        <f>IFERROR(__xludf.DUMMYFUNCTION("""COMPUTED_VALUE"""),33947.666666666664)</f>
        <v>33947.66667</v>
      </c>
      <c r="B1767" s="1">
        <f>IFERROR(__xludf.DUMMYFUNCTION("""COMPUTED_VALUE"""),436.99)</f>
        <v>436.99</v>
      </c>
      <c r="C1767" s="1">
        <f>IFERROR(__xludf.DUMMYFUNCTION("""COMPUTED_VALUE"""),436.99)</f>
        <v>436.99</v>
      </c>
      <c r="D1767" s="1">
        <f>IFERROR(__xludf.DUMMYFUNCTION("""COMPUTED_VALUE"""),433.98)</f>
        <v>433.98</v>
      </c>
      <c r="E1767" s="1">
        <f>IFERROR(__xludf.DUMMYFUNCTION("""COMPUTED_VALUE"""),435.65)</f>
        <v>435.65</v>
      </c>
      <c r="F1767" s="1">
        <f>IFERROR(__xludf.DUMMYFUNCTION("""COMPUTED_VALUE"""),3.5946876E7)</f>
        <v>35946876</v>
      </c>
    </row>
    <row r="1768">
      <c r="A1768" s="2">
        <f>IFERROR(__xludf.DUMMYFUNCTION("""COMPUTED_VALUE"""),33948.666666666664)</f>
        <v>33948.66667</v>
      </c>
      <c r="B1768" s="1">
        <f>IFERROR(__xludf.DUMMYFUNCTION("""COMPUTED_VALUE"""),435.66)</f>
        <v>435.66</v>
      </c>
      <c r="C1768" s="1">
        <f>IFERROR(__xludf.DUMMYFUNCTION("""COMPUTED_VALUE"""),435.66)</f>
        <v>435.66</v>
      </c>
      <c r="D1768" s="1">
        <f>IFERROR(__xludf.DUMMYFUNCTION("""COMPUTED_VALUE"""),432.65)</f>
        <v>432.65</v>
      </c>
      <c r="E1768" s="1">
        <f>IFERROR(__xludf.DUMMYFUNCTION("""COMPUTED_VALUE"""),434.64)</f>
        <v>434.64</v>
      </c>
      <c r="F1768" s="1">
        <f>IFERROR(__xludf.DUMMYFUNCTION("""COMPUTED_VALUE"""),3.76E7)</f>
        <v>37600000</v>
      </c>
    </row>
    <row r="1769">
      <c r="A1769" s="2">
        <f>IFERROR(__xludf.DUMMYFUNCTION("""COMPUTED_VALUE"""),33949.666666666664)</f>
        <v>33949.66667</v>
      </c>
      <c r="B1769" s="1">
        <f>IFERROR(__xludf.DUMMYFUNCTION("""COMPUTED_VALUE"""),434.64)</f>
        <v>434.64</v>
      </c>
      <c r="C1769" s="1">
        <f>IFERROR(__xludf.DUMMYFUNCTION("""COMPUTED_VALUE"""),434.64)</f>
        <v>434.64</v>
      </c>
      <c r="D1769" s="1">
        <f>IFERROR(__xludf.DUMMYFUNCTION("""COMPUTED_VALUE"""),433.34)</f>
        <v>433.34</v>
      </c>
      <c r="E1769" s="1">
        <f>IFERROR(__xludf.DUMMYFUNCTION("""COMPUTED_VALUE"""),433.73)</f>
        <v>433.73</v>
      </c>
      <c r="F1769" s="1">
        <f>IFERROR(__xludf.DUMMYFUNCTION("""COMPUTED_VALUE"""),2.5704688E7)</f>
        <v>25704688</v>
      </c>
    </row>
    <row r="1770">
      <c r="A1770" s="2">
        <f>IFERROR(__xludf.DUMMYFUNCTION("""COMPUTED_VALUE"""),33952.666666666664)</f>
        <v>33952.66667</v>
      </c>
      <c r="B1770" s="1">
        <f>IFERROR(__xludf.DUMMYFUNCTION("""COMPUTED_VALUE"""),433.73)</f>
        <v>433.73</v>
      </c>
      <c r="C1770" s="1">
        <f>IFERROR(__xludf.DUMMYFUNCTION("""COMPUTED_VALUE"""),435.26)</f>
        <v>435.26</v>
      </c>
      <c r="D1770" s="1">
        <f>IFERROR(__xludf.DUMMYFUNCTION("""COMPUTED_VALUE"""),432.83)</f>
        <v>432.83</v>
      </c>
      <c r="E1770" s="1">
        <f>IFERROR(__xludf.DUMMYFUNCTION("""COMPUTED_VALUE"""),432.84)</f>
        <v>432.84</v>
      </c>
      <c r="F1770" s="1">
        <f>IFERROR(__xludf.DUMMYFUNCTION("""COMPUTED_VALUE"""),2.9225E7)</f>
        <v>29225000</v>
      </c>
    </row>
    <row r="1771">
      <c r="A1771" s="2">
        <f>IFERROR(__xludf.DUMMYFUNCTION("""COMPUTED_VALUE"""),33953.666666666664)</f>
        <v>33953.66667</v>
      </c>
      <c r="B1771" s="1">
        <f>IFERROR(__xludf.DUMMYFUNCTION("""COMPUTED_VALUE"""),432.82)</f>
        <v>432.82</v>
      </c>
      <c r="C1771" s="1">
        <f>IFERROR(__xludf.DUMMYFUNCTION("""COMPUTED_VALUE"""),433.66)</f>
        <v>433.66</v>
      </c>
      <c r="D1771" s="1">
        <f>IFERROR(__xludf.DUMMYFUNCTION("""COMPUTED_VALUE"""),431.92)</f>
        <v>431.92</v>
      </c>
      <c r="E1771" s="1">
        <f>IFERROR(__xludf.DUMMYFUNCTION("""COMPUTED_VALUE"""),432.57)</f>
        <v>432.57</v>
      </c>
      <c r="F1771" s="1">
        <f>IFERROR(__xludf.DUMMYFUNCTION("""COMPUTED_VALUE"""),3.5589064E7)</f>
        <v>35589064</v>
      </c>
    </row>
    <row r="1772">
      <c r="A1772" s="2">
        <f>IFERROR(__xludf.DUMMYFUNCTION("""COMPUTED_VALUE"""),33954.666666666664)</f>
        <v>33954.66667</v>
      </c>
      <c r="B1772" s="1">
        <f>IFERROR(__xludf.DUMMYFUNCTION("""COMPUTED_VALUE"""),432.58)</f>
        <v>432.58</v>
      </c>
      <c r="C1772" s="1">
        <f>IFERROR(__xludf.DUMMYFUNCTION("""COMPUTED_VALUE"""),434.22)</f>
        <v>434.22</v>
      </c>
      <c r="D1772" s="1">
        <f>IFERROR(__xludf.DUMMYFUNCTION("""COMPUTED_VALUE"""),430.88)</f>
        <v>430.88</v>
      </c>
      <c r="E1772" s="1">
        <f>IFERROR(__xludf.DUMMYFUNCTION("""COMPUTED_VALUE"""),431.52)</f>
        <v>431.52</v>
      </c>
      <c r="F1772" s="1">
        <f>IFERROR(__xludf.DUMMYFUNCTION("""COMPUTED_VALUE"""),3.7832812E7)</f>
        <v>37832812</v>
      </c>
    </row>
    <row r="1773">
      <c r="A1773" s="2">
        <f>IFERROR(__xludf.DUMMYFUNCTION("""COMPUTED_VALUE"""),33955.666666666664)</f>
        <v>33955.66667</v>
      </c>
      <c r="B1773" s="1">
        <f>IFERROR(__xludf.DUMMYFUNCTION("""COMPUTED_VALUE"""),431.52)</f>
        <v>431.52</v>
      </c>
      <c r="C1773" s="1">
        <f>IFERROR(__xludf.DUMMYFUNCTION("""COMPUTED_VALUE"""),435.44)</f>
        <v>435.44</v>
      </c>
      <c r="D1773" s="1">
        <f>IFERROR(__xludf.DUMMYFUNCTION("""COMPUTED_VALUE"""),431.46)</f>
        <v>431.46</v>
      </c>
      <c r="E1773" s="1">
        <f>IFERROR(__xludf.DUMMYFUNCTION("""COMPUTED_VALUE"""),435.43)</f>
        <v>435.43</v>
      </c>
      <c r="F1773" s="1">
        <f>IFERROR(__xludf.DUMMYFUNCTION("""COMPUTED_VALUE"""),3.9318752E7)</f>
        <v>39318752</v>
      </c>
    </row>
    <row r="1774">
      <c r="A1774" s="2">
        <f>IFERROR(__xludf.DUMMYFUNCTION("""COMPUTED_VALUE"""),33956.666666666664)</f>
        <v>33956.66667</v>
      </c>
      <c r="B1774" s="1">
        <f>IFERROR(__xludf.DUMMYFUNCTION("""COMPUTED_VALUE"""),435.46)</f>
        <v>435.46</v>
      </c>
      <c r="C1774" s="1">
        <f>IFERROR(__xludf.DUMMYFUNCTION("""COMPUTED_VALUE"""),441.29)</f>
        <v>441.29</v>
      </c>
      <c r="D1774" s="1">
        <f>IFERROR(__xludf.DUMMYFUNCTION("""COMPUTED_VALUE"""),435.46)</f>
        <v>435.46</v>
      </c>
      <c r="E1774" s="1">
        <f>IFERROR(__xludf.DUMMYFUNCTION("""COMPUTED_VALUE"""),441.28)</f>
        <v>441.28</v>
      </c>
      <c r="F1774" s="1">
        <f>IFERROR(__xludf.DUMMYFUNCTION("""COMPUTED_VALUE"""),6.0828124E7)</f>
        <v>60828124</v>
      </c>
    </row>
    <row r="1775">
      <c r="A1775" s="2">
        <f>IFERROR(__xludf.DUMMYFUNCTION("""COMPUTED_VALUE"""),33959.666666666664)</f>
        <v>33959.66667</v>
      </c>
      <c r="B1775" s="1">
        <f>IFERROR(__xludf.DUMMYFUNCTION("""COMPUTED_VALUE"""),441.26)</f>
        <v>441.26</v>
      </c>
      <c r="C1775" s="1">
        <f>IFERROR(__xludf.DUMMYFUNCTION("""COMPUTED_VALUE"""),441.26)</f>
        <v>441.26</v>
      </c>
      <c r="D1775" s="1">
        <f>IFERROR(__xludf.DUMMYFUNCTION("""COMPUTED_VALUE"""),439.65)</f>
        <v>439.65</v>
      </c>
      <c r="E1775" s="1">
        <f>IFERROR(__xludf.DUMMYFUNCTION("""COMPUTED_VALUE"""),440.7)</f>
        <v>440.7</v>
      </c>
      <c r="F1775" s="1">
        <f>IFERROR(__xludf.DUMMYFUNCTION("""COMPUTED_VALUE"""),3.5106248E7)</f>
        <v>35106248</v>
      </c>
    </row>
    <row r="1776">
      <c r="A1776" s="2">
        <f>IFERROR(__xludf.DUMMYFUNCTION("""COMPUTED_VALUE"""),33960.666666666664)</f>
        <v>33960.66667</v>
      </c>
      <c r="B1776" s="1">
        <f>IFERROR(__xludf.DUMMYFUNCTION("""COMPUTED_VALUE"""),440.7)</f>
        <v>440.7</v>
      </c>
      <c r="C1776" s="1">
        <f>IFERROR(__xludf.DUMMYFUNCTION("""COMPUTED_VALUE"""),441.64)</f>
        <v>441.64</v>
      </c>
      <c r="D1776" s="1">
        <f>IFERROR(__xludf.DUMMYFUNCTION("""COMPUTED_VALUE"""),438.25)</f>
        <v>438.25</v>
      </c>
      <c r="E1776" s="1">
        <f>IFERROR(__xludf.DUMMYFUNCTION("""COMPUTED_VALUE"""),440.31)</f>
        <v>440.31</v>
      </c>
      <c r="F1776" s="1">
        <f>IFERROR(__xludf.DUMMYFUNCTION("""COMPUTED_VALUE"""),3.9129688E7)</f>
        <v>39129688</v>
      </c>
    </row>
    <row r="1777">
      <c r="A1777" s="2">
        <f>IFERROR(__xludf.DUMMYFUNCTION("""COMPUTED_VALUE"""),33961.666666666664)</f>
        <v>33961.66667</v>
      </c>
      <c r="B1777" s="1">
        <f>IFERROR(__xludf.DUMMYFUNCTION("""COMPUTED_VALUE"""),440.29)</f>
        <v>440.29</v>
      </c>
      <c r="C1777" s="1">
        <f>IFERROR(__xludf.DUMMYFUNCTION("""COMPUTED_VALUE"""),441.11)</f>
        <v>441.11</v>
      </c>
      <c r="D1777" s="1">
        <f>IFERROR(__xludf.DUMMYFUNCTION("""COMPUTED_VALUE"""),439.03)</f>
        <v>439.03</v>
      </c>
      <c r="E1777" s="1">
        <f>IFERROR(__xludf.DUMMYFUNCTION("""COMPUTED_VALUE"""),439.03)</f>
        <v>439.03</v>
      </c>
      <c r="F1777" s="1">
        <f>IFERROR(__xludf.DUMMYFUNCTION("""COMPUTED_VALUE"""),3.6584376E7)</f>
        <v>36584376</v>
      </c>
    </row>
    <row r="1778">
      <c r="A1778" s="2">
        <f>IFERROR(__xludf.DUMMYFUNCTION("""COMPUTED_VALUE"""),33962.666666666664)</f>
        <v>33962.66667</v>
      </c>
      <c r="B1778" s="1">
        <f>IFERROR(__xludf.DUMMYFUNCTION("""COMPUTED_VALUE"""),439.03)</f>
        <v>439.03</v>
      </c>
      <c r="C1778" s="1">
        <f>IFERROR(__xludf.DUMMYFUNCTION("""COMPUTED_VALUE"""),439.81)</f>
        <v>439.81</v>
      </c>
      <c r="D1778" s="1">
        <f>IFERROR(__xludf.DUMMYFUNCTION("""COMPUTED_VALUE"""),439.03)</f>
        <v>439.03</v>
      </c>
      <c r="E1778" s="1">
        <f>IFERROR(__xludf.DUMMYFUNCTION("""COMPUTED_VALUE"""),439.77)</f>
        <v>439.77</v>
      </c>
      <c r="F1778" s="1">
        <f>IFERROR(__xludf.DUMMYFUNCTION("""COMPUTED_VALUE"""),1.488125E7)</f>
        <v>14881250</v>
      </c>
    </row>
    <row r="1779">
      <c r="A1779" s="2">
        <f>IFERROR(__xludf.DUMMYFUNCTION("""COMPUTED_VALUE"""),33966.666666666664)</f>
        <v>33966.66667</v>
      </c>
      <c r="B1779" s="1">
        <f>IFERROR(__xludf.DUMMYFUNCTION("""COMPUTED_VALUE"""),439.77)</f>
        <v>439.77</v>
      </c>
      <c r="C1779" s="1">
        <f>IFERROR(__xludf.DUMMYFUNCTION("""COMPUTED_VALUE"""),439.77)</f>
        <v>439.77</v>
      </c>
      <c r="D1779" s="1">
        <f>IFERROR(__xludf.DUMMYFUNCTION("""COMPUTED_VALUE"""),437.26)</f>
        <v>437.26</v>
      </c>
      <c r="E1779" s="1">
        <f>IFERROR(__xludf.DUMMYFUNCTION("""COMPUTED_VALUE"""),439.15)</f>
        <v>439.15</v>
      </c>
      <c r="F1779" s="1">
        <f>IFERROR(__xludf.DUMMYFUNCTION("""COMPUTED_VALUE"""),2.2495312E7)</f>
        <v>22495312</v>
      </c>
    </row>
    <row r="1780">
      <c r="A1780" s="2">
        <f>IFERROR(__xludf.DUMMYFUNCTION("""COMPUTED_VALUE"""),33967.666666666664)</f>
        <v>33967.66667</v>
      </c>
      <c r="B1780" s="1">
        <f>IFERROR(__xludf.DUMMYFUNCTION("""COMPUTED_VALUE"""),439.15)</f>
        <v>439.15</v>
      </c>
      <c r="C1780" s="1">
        <f>IFERROR(__xludf.DUMMYFUNCTION("""COMPUTED_VALUE"""),442.65)</f>
        <v>442.65</v>
      </c>
      <c r="D1780" s="1">
        <f>IFERROR(__xludf.DUMMYFUNCTION("""COMPUTED_VALUE"""),437.6)</f>
        <v>437.6</v>
      </c>
      <c r="E1780" s="1">
        <f>IFERROR(__xludf.DUMMYFUNCTION("""COMPUTED_VALUE"""),437.98)</f>
        <v>437.98</v>
      </c>
      <c r="F1780" s="1">
        <f>IFERROR(__xludf.DUMMYFUNCTION("""COMPUTED_VALUE"""),3.3384376E7)</f>
        <v>33384376</v>
      </c>
    </row>
    <row r="1781">
      <c r="A1781" s="2">
        <f>IFERROR(__xludf.DUMMYFUNCTION("""COMPUTED_VALUE"""),33968.666666666664)</f>
        <v>33968.66667</v>
      </c>
      <c r="B1781" s="1">
        <f>IFERROR(__xludf.DUMMYFUNCTION("""COMPUTED_VALUE"""),437.98)</f>
        <v>437.98</v>
      </c>
      <c r="C1781" s="1">
        <f>IFERROR(__xludf.DUMMYFUNCTION("""COMPUTED_VALUE"""),439.37)</f>
        <v>439.37</v>
      </c>
      <c r="D1781" s="1">
        <f>IFERROR(__xludf.DUMMYFUNCTION("""COMPUTED_VALUE"""),437.12)</f>
        <v>437.12</v>
      </c>
      <c r="E1781" s="1">
        <f>IFERROR(__xludf.DUMMYFUNCTION("""COMPUTED_VALUE"""),438.82)</f>
        <v>438.82</v>
      </c>
      <c r="F1781" s="1">
        <f>IFERROR(__xludf.DUMMYFUNCTION("""COMPUTED_VALUE"""),2.8739062E7)</f>
        <v>28739062</v>
      </c>
    </row>
    <row r="1782">
      <c r="A1782" s="2">
        <f>IFERROR(__xludf.DUMMYFUNCTION("""COMPUTED_VALUE"""),33969.666666666664)</f>
        <v>33969.66667</v>
      </c>
      <c r="B1782" s="1">
        <f>IFERROR(__xludf.DUMMYFUNCTION("""COMPUTED_VALUE"""),438.82)</f>
        <v>438.82</v>
      </c>
      <c r="C1782" s="1">
        <f>IFERROR(__xludf.DUMMYFUNCTION("""COMPUTED_VALUE"""),439.59)</f>
        <v>439.59</v>
      </c>
      <c r="D1782" s="1">
        <f>IFERROR(__xludf.DUMMYFUNCTION("""COMPUTED_VALUE"""),435.71)</f>
        <v>435.71</v>
      </c>
      <c r="E1782" s="1">
        <f>IFERROR(__xludf.DUMMYFUNCTION("""COMPUTED_VALUE"""),435.71)</f>
        <v>435.71</v>
      </c>
      <c r="F1782" s="1">
        <f>IFERROR(__xludf.DUMMYFUNCTION("""COMPUTED_VALUE"""),2.5923438E7)</f>
        <v>25923438</v>
      </c>
    </row>
    <row r="1783">
      <c r="A1783" s="2">
        <f>IFERROR(__xludf.DUMMYFUNCTION("""COMPUTED_VALUE"""),33973.666666666664)</f>
        <v>33973.66667</v>
      </c>
      <c r="B1783" s="1">
        <f>IFERROR(__xludf.DUMMYFUNCTION("""COMPUTED_VALUE"""),435.7)</f>
        <v>435.7</v>
      </c>
      <c r="C1783" s="1">
        <f>IFERROR(__xludf.DUMMYFUNCTION("""COMPUTED_VALUE"""),437.32)</f>
        <v>437.32</v>
      </c>
      <c r="D1783" s="1">
        <f>IFERROR(__xludf.DUMMYFUNCTION("""COMPUTED_VALUE"""),434.48)</f>
        <v>434.48</v>
      </c>
      <c r="E1783" s="1">
        <f>IFERROR(__xludf.DUMMYFUNCTION("""COMPUTED_VALUE"""),435.38)</f>
        <v>435.38</v>
      </c>
      <c r="F1783" s="1">
        <f>IFERROR(__xludf.DUMMYFUNCTION("""COMPUTED_VALUE"""),3.1439062E7)</f>
        <v>31439062</v>
      </c>
    </row>
    <row r="1784">
      <c r="A1784" s="2">
        <f>IFERROR(__xludf.DUMMYFUNCTION("""COMPUTED_VALUE"""),33974.666666666664)</f>
        <v>33974.66667</v>
      </c>
      <c r="B1784" s="1">
        <f>IFERROR(__xludf.DUMMYFUNCTION("""COMPUTED_VALUE"""),435.38)</f>
        <v>435.38</v>
      </c>
      <c r="C1784" s="1">
        <f>IFERROR(__xludf.DUMMYFUNCTION("""COMPUTED_VALUE"""),435.4)</f>
        <v>435.4</v>
      </c>
      <c r="D1784" s="1">
        <f>IFERROR(__xludf.DUMMYFUNCTION("""COMPUTED_VALUE"""),433.55)</f>
        <v>433.55</v>
      </c>
      <c r="E1784" s="1">
        <f>IFERROR(__xludf.DUMMYFUNCTION("""COMPUTED_VALUE"""),434.34)</f>
        <v>434.34</v>
      </c>
      <c r="F1784" s="1">
        <f>IFERROR(__xludf.DUMMYFUNCTION("""COMPUTED_VALUE"""),3.7554688E7)</f>
        <v>37554688</v>
      </c>
    </row>
    <row r="1785">
      <c r="A1785" s="2">
        <f>IFERROR(__xludf.DUMMYFUNCTION("""COMPUTED_VALUE"""),33975.666666666664)</f>
        <v>33975.66667</v>
      </c>
      <c r="B1785" s="1">
        <f>IFERROR(__xludf.DUMMYFUNCTION("""COMPUTED_VALUE"""),434.34)</f>
        <v>434.34</v>
      </c>
      <c r="C1785" s="1">
        <f>IFERROR(__xludf.DUMMYFUNCTION("""COMPUTED_VALUE"""),435.17)</f>
        <v>435.17</v>
      </c>
      <c r="D1785" s="1">
        <f>IFERROR(__xludf.DUMMYFUNCTION("""COMPUTED_VALUE"""),432.52)</f>
        <v>432.52</v>
      </c>
      <c r="E1785" s="1">
        <f>IFERROR(__xludf.DUMMYFUNCTION("""COMPUTED_VALUE"""),434.52)</f>
        <v>434.52</v>
      </c>
      <c r="F1785" s="1">
        <f>IFERROR(__xludf.DUMMYFUNCTION("""COMPUTED_VALUE"""),4.6131248E7)</f>
        <v>46131248</v>
      </c>
    </row>
    <row r="1786">
      <c r="A1786" s="2">
        <f>IFERROR(__xludf.DUMMYFUNCTION("""COMPUTED_VALUE"""),33976.666666666664)</f>
        <v>33976.66667</v>
      </c>
      <c r="B1786" s="1">
        <f>IFERROR(__xludf.DUMMYFUNCTION("""COMPUTED_VALUE"""),434.52)</f>
        <v>434.52</v>
      </c>
      <c r="C1786" s="1">
        <f>IFERROR(__xludf.DUMMYFUNCTION("""COMPUTED_VALUE"""),435.46)</f>
        <v>435.46</v>
      </c>
      <c r="D1786" s="1">
        <f>IFERROR(__xludf.DUMMYFUNCTION("""COMPUTED_VALUE"""),429.76)</f>
        <v>429.76</v>
      </c>
      <c r="E1786" s="1">
        <f>IFERROR(__xludf.DUMMYFUNCTION("""COMPUTED_VALUE"""),430.73)</f>
        <v>430.73</v>
      </c>
      <c r="F1786" s="1">
        <f>IFERROR(__xludf.DUMMYFUNCTION("""COMPUTED_VALUE"""),4.7632812E7)</f>
        <v>47632812</v>
      </c>
    </row>
    <row r="1787">
      <c r="A1787" s="2">
        <f>IFERROR(__xludf.DUMMYFUNCTION("""COMPUTED_VALUE"""),33977.666666666664)</f>
        <v>33977.66667</v>
      </c>
      <c r="B1787" s="1">
        <f>IFERROR(__xludf.DUMMYFUNCTION("""COMPUTED_VALUE"""),430.73)</f>
        <v>430.73</v>
      </c>
      <c r="C1787" s="1">
        <f>IFERROR(__xludf.DUMMYFUNCTION("""COMPUTED_VALUE"""),430.73)</f>
        <v>430.73</v>
      </c>
      <c r="D1787" s="1">
        <f>IFERROR(__xludf.DUMMYFUNCTION("""COMPUTED_VALUE"""),426.88)</f>
        <v>426.88</v>
      </c>
      <c r="E1787" s="1">
        <f>IFERROR(__xludf.DUMMYFUNCTION("""COMPUTED_VALUE"""),429.05)</f>
        <v>429.05</v>
      </c>
      <c r="F1787" s="1">
        <f>IFERROR(__xludf.DUMMYFUNCTION("""COMPUTED_VALUE"""),4.1167188E7)</f>
        <v>41167188</v>
      </c>
    </row>
    <row r="1788">
      <c r="A1788" s="2">
        <f>IFERROR(__xludf.DUMMYFUNCTION("""COMPUTED_VALUE"""),33980.666666666664)</f>
        <v>33980.66667</v>
      </c>
      <c r="B1788" s="1">
        <f>IFERROR(__xludf.DUMMYFUNCTION("""COMPUTED_VALUE"""),429.04)</f>
        <v>429.04</v>
      </c>
      <c r="C1788" s="1">
        <f>IFERROR(__xludf.DUMMYFUNCTION("""COMPUTED_VALUE"""),431.04)</f>
        <v>431.04</v>
      </c>
      <c r="D1788" s="1">
        <f>IFERROR(__xludf.DUMMYFUNCTION("""COMPUTED_VALUE"""),429.01)</f>
        <v>429.01</v>
      </c>
      <c r="E1788" s="1">
        <f>IFERROR(__xludf.DUMMYFUNCTION("""COMPUTED_VALUE"""),430.95)</f>
        <v>430.95</v>
      </c>
      <c r="F1788" s="1">
        <f>IFERROR(__xludf.DUMMYFUNCTION("""COMPUTED_VALUE"""),3.3929688E7)</f>
        <v>33929688</v>
      </c>
    </row>
    <row r="1789">
      <c r="A1789" s="2">
        <f>IFERROR(__xludf.DUMMYFUNCTION("""COMPUTED_VALUE"""),33981.666666666664)</f>
        <v>33981.66667</v>
      </c>
      <c r="B1789" s="1">
        <f>IFERROR(__xludf.DUMMYFUNCTION("""COMPUTED_VALUE"""),430.95)</f>
        <v>430.95</v>
      </c>
      <c r="C1789" s="1">
        <f>IFERROR(__xludf.DUMMYFUNCTION("""COMPUTED_VALUE"""),431.39)</f>
        <v>431.39</v>
      </c>
      <c r="D1789" s="1">
        <f>IFERROR(__xludf.DUMMYFUNCTION("""COMPUTED_VALUE"""),428.19)</f>
        <v>428.19</v>
      </c>
      <c r="E1789" s="1">
        <f>IFERROR(__xludf.DUMMYFUNCTION("""COMPUTED_VALUE"""),431.04)</f>
        <v>431.04</v>
      </c>
      <c r="F1789" s="1">
        <f>IFERROR(__xludf.DUMMYFUNCTION("""COMPUTED_VALUE"""),3.7407812E7)</f>
        <v>37407812</v>
      </c>
    </row>
    <row r="1790">
      <c r="A1790" s="2">
        <f>IFERROR(__xludf.DUMMYFUNCTION("""COMPUTED_VALUE"""),33982.666666666664)</f>
        <v>33982.66667</v>
      </c>
      <c r="B1790" s="1">
        <f>IFERROR(__xludf.DUMMYFUNCTION("""COMPUTED_VALUE"""),431.03)</f>
        <v>431.03</v>
      </c>
      <c r="C1790" s="1">
        <f>IFERROR(__xludf.DUMMYFUNCTION("""COMPUTED_VALUE"""),433.44)</f>
        <v>433.44</v>
      </c>
      <c r="D1790" s="1">
        <f>IFERROR(__xludf.DUMMYFUNCTION("""COMPUTED_VALUE"""),429.99)</f>
        <v>429.99</v>
      </c>
      <c r="E1790" s="1">
        <f>IFERROR(__xludf.DUMMYFUNCTION("""COMPUTED_VALUE"""),433.03)</f>
        <v>433.03</v>
      </c>
      <c r="F1790" s="1">
        <f>IFERROR(__xludf.DUMMYFUNCTION("""COMPUTED_VALUE"""),3.83375E7)</f>
        <v>38337500</v>
      </c>
    </row>
    <row r="1791">
      <c r="A1791" s="2">
        <f>IFERROR(__xludf.DUMMYFUNCTION("""COMPUTED_VALUE"""),33983.666666666664)</f>
        <v>33983.66667</v>
      </c>
      <c r="B1791" s="1">
        <f>IFERROR(__xludf.DUMMYFUNCTION("""COMPUTED_VALUE"""),433.08)</f>
        <v>433.08</v>
      </c>
      <c r="C1791" s="1">
        <f>IFERROR(__xludf.DUMMYFUNCTION("""COMPUTED_VALUE"""),435.96)</f>
        <v>435.96</v>
      </c>
      <c r="D1791" s="1">
        <f>IFERROR(__xludf.DUMMYFUNCTION("""COMPUTED_VALUE"""),433.08)</f>
        <v>433.08</v>
      </c>
      <c r="E1791" s="1">
        <f>IFERROR(__xludf.DUMMYFUNCTION("""COMPUTED_VALUE"""),435.94)</f>
        <v>435.94</v>
      </c>
      <c r="F1791" s="1">
        <f>IFERROR(__xludf.DUMMYFUNCTION("""COMPUTED_VALUE"""),4.39125E7)</f>
        <v>43912500</v>
      </c>
    </row>
    <row r="1792">
      <c r="A1792" s="2">
        <f>IFERROR(__xludf.DUMMYFUNCTION("""COMPUTED_VALUE"""),33984.666666666664)</f>
        <v>33984.66667</v>
      </c>
      <c r="B1792" s="1">
        <f>IFERROR(__xludf.DUMMYFUNCTION("""COMPUTED_VALUE"""),435.87)</f>
        <v>435.87</v>
      </c>
      <c r="C1792" s="1">
        <f>IFERROR(__xludf.DUMMYFUNCTION("""COMPUTED_VALUE"""),439.49)</f>
        <v>439.49</v>
      </c>
      <c r="D1792" s="1">
        <f>IFERROR(__xludf.DUMMYFUNCTION("""COMPUTED_VALUE"""),435.84)</f>
        <v>435.84</v>
      </c>
      <c r="E1792" s="1">
        <f>IFERROR(__xludf.DUMMYFUNCTION("""COMPUTED_VALUE"""),437.15)</f>
        <v>437.15</v>
      </c>
      <c r="F1792" s="1">
        <f>IFERROR(__xludf.DUMMYFUNCTION("""COMPUTED_VALUE"""),4.8393752E7)</f>
        <v>48393752</v>
      </c>
    </row>
    <row r="1793">
      <c r="A1793" s="2">
        <f>IFERROR(__xludf.DUMMYFUNCTION("""COMPUTED_VALUE"""),33987.666666666664)</f>
        <v>33987.66667</v>
      </c>
      <c r="B1793" s="1">
        <f>IFERROR(__xludf.DUMMYFUNCTION("""COMPUTED_VALUE"""),437.13)</f>
        <v>437.13</v>
      </c>
      <c r="C1793" s="1">
        <f>IFERROR(__xludf.DUMMYFUNCTION("""COMPUTED_VALUE"""),437.13)</f>
        <v>437.13</v>
      </c>
      <c r="D1793" s="1">
        <f>IFERROR(__xludf.DUMMYFUNCTION("""COMPUTED_VALUE"""),435.92)</f>
        <v>435.92</v>
      </c>
      <c r="E1793" s="1">
        <f>IFERROR(__xludf.DUMMYFUNCTION("""COMPUTED_VALUE"""),436.84)</f>
        <v>436.84</v>
      </c>
      <c r="F1793" s="1">
        <f>IFERROR(__xludf.DUMMYFUNCTION("""COMPUTED_VALUE"""),3.0629688E7)</f>
        <v>30629688</v>
      </c>
    </row>
    <row r="1794">
      <c r="A1794" s="2">
        <f>IFERROR(__xludf.DUMMYFUNCTION("""COMPUTED_VALUE"""),33988.666666666664)</f>
        <v>33988.66667</v>
      </c>
      <c r="B1794" s="1">
        <f>IFERROR(__xludf.DUMMYFUNCTION("""COMPUTED_VALUE"""),436.84)</f>
        <v>436.84</v>
      </c>
      <c r="C1794" s="1">
        <f>IFERROR(__xludf.DUMMYFUNCTION("""COMPUTED_VALUE"""),437.7)</f>
        <v>437.7</v>
      </c>
      <c r="D1794" s="1">
        <f>IFERROR(__xludf.DUMMYFUNCTION("""COMPUTED_VALUE"""),434.59)</f>
        <v>434.59</v>
      </c>
      <c r="E1794" s="1">
        <f>IFERROR(__xludf.DUMMYFUNCTION("""COMPUTED_VALUE"""),435.13)</f>
        <v>435.13</v>
      </c>
      <c r="F1794" s="1">
        <f>IFERROR(__xludf.DUMMYFUNCTION("""COMPUTED_VALUE"""),4.4256248E7)</f>
        <v>44256248</v>
      </c>
    </row>
    <row r="1795">
      <c r="A1795" s="2">
        <f>IFERROR(__xludf.DUMMYFUNCTION("""COMPUTED_VALUE"""),33989.666666666664)</f>
        <v>33989.66667</v>
      </c>
      <c r="B1795" s="1">
        <f>IFERROR(__xludf.DUMMYFUNCTION("""COMPUTED_VALUE"""),435.14)</f>
        <v>435.14</v>
      </c>
      <c r="C1795" s="1">
        <f>IFERROR(__xludf.DUMMYFUNCTION("""COMPUTED_VALUE"""),436.23)</f>
        <v>436.23</v>
      </c>
      <c r="D1795" s="1">
        <f>IFERROR(__xludf.DUMMYFUNCTION("""COMPUTED_VALUE"""),433.37)</f>
        <v>433.37</v>
      </c>
      <c r="E1795" s="1">
        <f>IFERROR(__xludf.DUMMYFUNCTION("""COMPUTED_VALUE"""),433.37)</f>
        <v>433.37</v>
      </c>
      <c r="F1795" s="1">
        <f>IFERROR(__xludf.DUMMYFUNCTION("""COMPUTED_VALUE"""),4.1998436E7)</f>
        <v>41998436</v>
      </c>
    </row>
    <row r="1796">
      <c r="A1796" s="2">
        <f>IFERROR(__xludf.DUMMYFUNCTION("""COMPUTED_VALUE"""),33990.666666666664)</f>
        <v>33990.66667</v>
      </c>
      <c r="B1796" s="1">
        <f>IFERROR(__xludf.DUMMYFUNCTION("""COMPUTED_VALUE"""),433.37)</f>
        <v>433.37</v>
      </c>
      <c r="C1796" s="1">
        <f>IFERROR(__xludf.DUMMYFUNCTION("""COMPUTED_VALUE"""),435.75)</f>
        <v>435.75</v>
      </c>
      <c r="D1796" s="1">
        <f>IFERROR(__xludf.DUMMYFUNCTION("""COMPUTED_VALUE"""),432.48)</f>
        <v>432.48</v>
      </c>
      <c r="E1796" s="1">
        <f>IFERROR(__xludf.DUMMYFUNCTION("""COMPUTED_VALUE"""),435.49)</f>
        <v>435.49</v>
      </c>
      <c r="F1796" s="1">
        <f>IFERROR(__xludf.DUMMYFUNCTION("""COMPUTED_VALUE"""),4.0253124E7)</f>
        <v>40253124</v>
      </c>
    </row>
    <row r="1797">
      <c r="A1797" s="2">
        <f>IFERROR(__xludf.DUMMYFUNCTION("""COMPUTED_VALUE"""),33991.666666666664)</f>
        <v>33991.66667</v>
      </c>
      <c r="B1797" s="1">
        <f>IFERROR(__xludf.DUMMYFUNCTION("""COMPUTED_VALUE"""),435.49)</f>
        <v>435.49</v>
      </c>
      <c r="C1797" s="1">
        <f>IFERROR(__xludf.DUMMYFUNCTION("""COMPUTED_VALUE"""),437.81)</f>
        <v>437.81</v>
      </c>
      <c r="D1797" s="1">
        <f>IFERROR(__xludf.DUMMYFUNCTION("""COMPUTED_VALUE"""),435.49)</f>
        <v>435.49</v>
      </c>
      <c r="E1797" s="1">
        <f>IFERROR(__xludf.DUMMYFUNCTION("""COMPUTED_VALUE"""),436.11)</f>
        <v>436.11</v>
      </c>
      <c r="F1797" s="1">
        <f>IFERROR(__xludf.DUMMYFUNCTION("""COMPUTED_VALUE"""),4.5831248E7)</f>
        <v>45831248</v>
      </c>
    </row>
    <row r="1798">
      <c r="A1798" s="2">
        <f>IFERROR(__xludf.DUMMYFUNCTION("""COMPUTED_VALUE"""),33994.666666666664)</f>
        <v>33994.66667</v>
      </c>
      <c r="B1798" s="1">
        <f>IFERROR(__xludf.DUMMYFUNCTION("""COMPUTED_VALUE"""),436.11)</f>
        <v>436.11</v>
      </c>
      <c r="C1798" s="1">
        <f>IFERROR(__xludf.DUMMYFUNCTION("""COMPUTED_VALUE"""),440.53)</f>
        <v>440.53</v>
      </c>
      <c r="D1798" s="1">
        <f>IFERROR(__xludf.DUMMYFUNCTION("""COMPUTED_VALUE"""),436.11)</f>
        <v>436.11</v>
      </c>
      <c r="E1798" s="1">
        <f>IFERROR(__xludf.DUMMYFUNCTION("""COMPUTED_VALUE"""),440.01)</f>
        <v>440.01</v>
      </c>
      <c r="F1798" s="1">
        <f>IFERROR(__xludf.DUMMYFUNCTION("""COMPUTED_VALUE"""),4.5115624E7)</f>
        <v>45115624</v>
      </c>
    </row>
    <row r="1799">
      <c r="A1799" s="2">
        <f>IFERROR(__xludf.DUMMYFUNCTION("""COMPUTED_VALUE"""),33995.666666666664)</f>
        <v>33995.66667</v>
      </c>
      <c r="B1799" s="1">
        <f>IFERROR(__xludf.DUMMYFUNCTION("""COMPUTED_VALUE"""),440.05)</f>
        <v>440.05</v>
      </c>
      <c r="C1799" s="1">
        <f>IFERROR(__xludf.DUMMYFUNCTION("""COMPUTED_VALUE"""),442.66)</f>
        <v>442.66</v>
      </c>
      <c r="D1799" s="1">
        <f>IFERROR(__xludf.DUMMYFUNCTION("""COMPUTED_VALUE"""),439.54)</f>
        <v>439.54</v>
      </c>
      <c r="E1799" s="1">
        <f>IFERROR(__xludf.DUMMYFUNCTION("""COMPUTED_VALUE"""),439.95)</f>
        <v>439.95</v>
      </c>
      <c r="F1799" s="1">
        <f>IFERROR(__xludf.DUMMYFUNCTION("""COMPUTED_VALUE"""),4.9079688E7)</f>
        <v>49079688</v>
      </c>
    </row>
    <row r="1800">
      <c r="A1800" s="2">
        <f>IFERROR(__xludf.DUMMYFUNCTION("""COMPUTED_VALUE"""),33996.666666666664)</f>
        <v>33996.66667</v>
      </c>
      <c r="B1800" s="1">
        <f>IFERROR(__xludf.DUMMYFUNCTION("""COMPUTED_VALUE"""),439.95)</f>
        <v>439.95</v>
      </c>
      <c r="C1800" s="1">
        <f>IFERROR(__xludf.DUMMYFUNCTION("""COMPUTED_VALUE"""),440.04)</f>
        <v>440.04</v>
      </c>
      <c r="D1800" s="1">
        <f>IFERROR(__xludf.DUMMYFUNCTION("""COMPUTED_VALUE"""),436.82)</f>
        <v>436.82</v>
      </c>
      <c r="E1800" s="1">
        <f>IFERROR(__xludf.DUMMYFUNCTION("""COMPUTED_VALUE"""),438.11)</f>
        <v>438.11</v>
      </c>
      <c r="F1800" s="1">
        <f>IFERROR(__xludf.DUMMYFUNCTION("""COMPUTED_VALUE"""),4.3284376E7)</f>
        <v>43284376</v>
      </c>
    </row>
    <row r="1801">
      <c r="A1801" s="2">
        <f>IFERROR(__xludf.DUMMYFUNCTION("""COMPUTED_VALUE"""),33997.666666666664)</f>
        <v>33997.66667</v>
      </c>
      <c r="B1801" s="1">
        <f>IFERROR(__xludf.DUMMYFUNCTION("""COMPUTED_VALUE"""),438.13)</f>
        <v>438.13</v>
      </c>
      <c r="C1801" s="1">
        <f>IFERROR(__xludf.DUMMYFUNCTION("""COMPUTED_VALUE"""),439.14)</f>
        <v>439.14</v>
      </c>
      <c r="D1801" s="1">
        <f>IFERROR(__xludf.DUMMYFUNCTION("""COMPUTED_VALUE"""),437.3)</f>
        <v>437.3</v>
      </c>
      <c r="E1801" s="1">
        <f>IFERROR(__xludf.DUMMYFUNCTION("""COMPUTED_VALUE"""),438.66)</f>
        <v>438.66</v>
      </c>
      <c r="F1801" s="1">
        <f>IFERROR(__xludf.DUMMYFUNCTION("""COMPUTED_VALUE"""),4.0153124E7)</f>
        <v>40153124</v>
      </c>
    </row>
    <row r="1802">
      <c r="A1802" s="2">
        <f>IFERROR(__xludf.DUMMYFUNCTION("""COMPUTED_VALUE"""),33998.666666666664)</f>
        <v>33998.66667</v>
      </c>
      <c r="B1802" s="1">
        <f>IFERROR(__xludf.DUMMYFUNCTION("""COMPUTED_VALUE"""),438.67)</f>
        <v>438.67</v>
      </c>
      <c r="C1802" s="1">
        <f>IFERROR(__xludf.DUMMYFUNCTION("""COMPUTED_VALUE"""),438.93)</f>
        <v>438.93</v>
      </c>
      <c r="D1802" s="1">
        <f>IFERROR(__xludf.DUMMYFUNCTION("""COMPUTED_VALUE"""),436.91)</f>
        <v>436.91</v>
      </c>
      <c r="E1802" s="1">
        <f>IFERROR(__xludf.DUMMYFUNCTION("""COMPUTED_VALUE"""),438.78)</f>
        <v>438.78</v>
      </c>
      <c r="F1802" s="1">
        <f>IFERROR(__xludf.DUMMYFUNCTION("""COMPUTED_VALUE"""),3.8625E7)</f>
        <v>38625000</v>
      </c>
    </row>
    <row r="1803">
      <c r="A1803" s="2">
        <f>IFERROR(__xludf.DUMMYFUNCTION("""COMPUTED_VALUE"""),34001.666666666664)</f>
        <v>34001.66667</v>
      </c>
      <c r="B1803" s="1">
        <f>IFERROR(__xludf.DUMMYFUNCTION("""COMPUTED_VALUE"""),438.78)</f>
        <v>438.78</v>
      </c>
      <c r="C1803" s="1">
        <f>IFERROR(__xludf.DUMMYFUNCTION("""COMPUTED_VALUE"""),442.52)</f>
        <v>442.52</v>
      </c>
      <c r="D1803" s="1">
        <f>IFERROR(__xludf.DUMMYFUNCTION("""COMPUTED_VALUE"""),438.78)</f>
        <v>438.78</v>
      </c>
      <c r="E1803" s="1">
        <f>IFERROR(__xludf.DUMMYFUNCTION("""COMPUTED_VALUE"""),442.52)</f>
        <v>442.52</v>
      </c>
      <c r="F1803" s="1">
        <f>IFERROR(__xludf.DUMMYFUNCTION("""COMPUTED_VALUE"""),3.7276564E7)</f>
        <v>37276564</v>
      </c>
    </row>
    <row r="1804">
      <c r="A1804" s="2">
        <f>IFERROR(__xludf.DUMMYFUNCTION("""COMPUTED_VALUE"""),34002.666666666664)</f>
        <v>34002.66667</v>
      </c>
      <c r="B1804" s="1">
        <f>IFERROR(__xludf.DUMMYFUNCTION("""COMPUTED_VALUE"""),442.52)</f>
        <v>442.52</v>
      </c>
      <c r="C1804" s="1">
        <f>IFERROR(__xludf.DUMMYFUNCTION("""COMPUTED_VALUE"""),442.87)</f>
        <v>442.87</v>
      </c>
      <c r="D1804" s="1">
        <f>IFERROR(__xludf.DUMMYFUNCTION("""COMPUTED_VALUE"""),440.76)</f>
        <v>440.76</v>
      </c>
      <c r="E1804" s="1">
        <f>IFERROR(__xludf.DUMMYFUNCTION("""COMPUTED_VALUE"""),442.55)</f>
        <v>442.55</v>
      </c>
      <c r="F1804" s="1">
        <f>IFERROR(__xludf.DUMMYFUNCTION("""COMPUTED_VALUE"""),4.2431248E7)</f>
        <v>42431248</v>
      </c>
    </row>
    <row r="1805">
      <c r="A1805" s="2">
        <f>IFERROR(__xludf.DUMMYFUNCTION("""COMPUTED_VALUE"""),34003.666666666664)</f>
        <v>34003.66667</v>
      </c>
      <c r="B1805" s="1">
        <f>IFERROR(__xludf.DUMMYFUNCTION("""COMPUTED_VALUE"""),442.56)</f>
        <v>442.56</v>
      </c>
      <c r="C1805" s="1">
        <f>IFERROR(__xludf.DUMMYFUNCTION("""COMPUTED_VALUE"""),447.35)</f>
        <v>447.35</v>
      </c>
      <c r="D1805" s="1">
        <f>IFERROR(__xludf.DUMMYFUNCTION("""COMPUTED_VALUE"""),442.56)</f>
        <v>442.56</v>
      </c>
      <c r="E1805" s="1">
        <f>IFERROR(__xludf.DUMMYFUNCTION("""COMPUTED_VALUE"""),447.2)</f>
        <v>447.2</v>
      </c>
      <c r="F1805" s="1">
        <f>IFERROR(__xludf.DUMMYFUNCTION("""COMPUTED_VALUE"""),5.3970312E7)</f>
        <v>53970312</v>
      </c>
    </row>
    <row r="1806">
      <c r="A1806" s="2">
        <f>IFERROR(__xludf.DUMMYFUNCTION("""COMPUTED_VALUE"""),34004.666666666664)</f>
        <v>34004.66667</v>
      </c>
      <c r="B1806" s="1">
        <f>IFERROR(__xludf.DUMMYFUNCTION("""COMPUTED_VALUE"""),447.2)</f>
        <v>447.2</v>
      </c>
      <c r="C1806" s="1">
        <f>IFERROR(__xludf.DUMMYFUNCTION("""COMPUTED_VALUE"""),449.86)</f>
        <v>449.86</v>
      </c>
      <c r="D1806" s="1">
        <f>IFERROR(__xludf.DUMMYFUNCTION("""COMPUTED_VALUE"""),447.2)</f>
        <v>447.2</v>
      </c>
      <c r="E1806" s="1">
        <f>IFERROR(__xludf.DUMMYFUNCTION("""COMPUTED_VALUE"""),449.56)</f>
        <v>449.56</v>
      </c>
      <c r="F1806" s="1">
        <f>IFERROR(__xludf.DUMMYFUNCTION("""COMPUTED_VALUE"""),5.4865624E7)</f>
        <v>54865624</v>
      </c>
    </row>
    <row r="1807">
      <c r="A1807" s="2">
        <f>IFERROR(__xludf.DUMMYFUNCTION("""COMPUTED_VALUE"""),34005.666666666664)</f>
        <v>34005.66667</v>
      </c>
      <c r="B1807" s="1">
        <f>IFERROR(__xludf.DUMMYFUNCTION("""COMPUTED_VALUE"""),449.56)</f>
        <v>449.56</v>
      </c>
      <c r="C1807" s="1">
        <f>IFERROR(__xludf.DUMMYFUNCTION("""COMPUTED_VALUE"""),449.56)</f>
        <v>449.56</v>
      </c>
      <c r="D1807" s="1">
        <f>IFERROR(__xludf.DUMMYFUNCTION("""COMPUTED_VALUE"""),446.95)</f>
        <v>446.95</v>
      </c>
      <c r="E1807" s="1">
        <f>IFERROR(__xludf.DUMMYFUNCTION("""COMPUTED_VALUE"""),448.93)</f>
        <v>448.93</v>
      </c>
      <c r="F1807" s="1">
        <f>IFERROR(__xludf.DUMMYFUNCTION("""COMPUTED_VALUE"""),5.0735936E7)</f>
        <v>50735936</v>
      </c>
    </row>
    <row r="1808">
      <c r="A1808" s="2">
        <f>IFERROR(__xludf.DUMMYFUNCTION("""COMPUTED_VALUE"""),34008.666666666664)</f>
        <v>34008.66667</v>
      </c>
      <c r="B1808" s="1">
        <f>IFERROR(__xludf.DUMMYFUNCTION("""COMPUTED_VALUE"""),448.94)</f>
        <v>448.94</v>
      </c>
      <c r="C1808" s="1">
        <f>IFERROR(__xludf.DUMMYFUNCTION("""COMPUTED_VALUE"""),450.04)</f>
        <v>450.04</v>
      </c>
      <c r="D1808" s="1">
        <f>IFERROR(__xludf.DUMMYFUNCTION("""COMPUTED_VALUE"""),447.7)</f>
        <v>447.7</v>
      </c>
      <c r="E1808" s="1">
        <f>IFERROR(__xludf.DUMMYFUNCTION("""COMPUTED_VALUE"""),447.85)</f>
        <v>447.85</v>
      </c>
      <c r="F1808" s="1">
        <f>IFERROR(__xludf.DUMMYFUNCTION("""COMPUTED_VALUE"""),3.8031248E7)</f>
        <v>38031248</v>
      </c>
    </row>
    <row r="1809">
      <c r="A1809" s="2">
        <f>IFERROR(__xludf.DUMMYFUNCTION("""COMPUTED_VALUE"""),34009.666666666664)</f>
        <v>34009.66667</v>
      </c>
      <c r="B1809" s="1">
        <f>IFERROR(__xludf.DUMMYFUNCTION("""COMPUTED_VALUE"""),448.04)</f>
        <v>448.04</v>
      </c>
      <c r="C1809" s="1">
        <f>IFERROR(__xludf.DUMMYFUNCTION("""COMPUTED_VALUE"""),448.04)</f>
        <v>448.04</v>
      </c>
      <c r="D1809" s="1">
        <f>IFERROR(__xludf.DUMMYFUNCTION("""COMPUTED_VALUE"""),444.52)</f>
        <v>444.52</v>
      </c>
      <c r="E1809" s="1">
        <f>IFERROR(__xludf.DUMMYFUNCTION("""COMPUTED_VALUE"""),445.33)</f>
        <v>445.33</v>
      </c>
      <c r="F1809" s="1">
        <f>IFERROR(__xludf.DUMMYFUNCTION("""COMPUTED_VALUE"""),3.7564064E7)</f>
        <v>37564064</v>
      </c>
    </row>
    <row r="1810">
      <c r="A1810" s="2">
        <f>IFERROR(__xludf.DUMMYFUNCTION("""COMPUTED_VALUE"""),34010.666666666664)</f>
        <v>34010.66667</v>
      </c>
      <c r="B1810" s="1">
        <f>IFERROR(__xludf.DUMMYFUNCTION("""COMPUTED_VALUE"""),445.33)</f>
        <v>445.33</v>
      </c>
      <c r="C1810" s="1">
        <f>IFERROR(__xludf.DUMMYFUNCTION("""COMPUTED_VALUE"""),446.37)</f>
        <v>446.37</v>
      </c>
      <c r="D1810" s="1">
        <f>IFERROR(__xludf.DUMMYFUNCTION("""COMPUTED_VALUE"""),444.24)</f>
        <v>444.24</v>
      </c>
      <c r="E1810" s="1">
        <f>IFERROR(__xludf.DUMMYFUNCTION("""COMPUTED_VALUE"""),446.23)</f>
        <v>446.23</v>
      </c>
      <c r="F1810" s="1">
        <f>IFERROR(__xludf.DUMMYFUNCTION("""COMPUTED_VALUE"""),3.9360936E7)</f>
        <v>39360936</v>
      </c>
    </row>
    <row r="1811">
      <c r="A1811" s="2">
        <f>IFERROR(__xludf.DUMMYFUNCTION("""COMPUTED_VALUE"""),34011.666666666664)</f>
        <v>34011.66667</v>
      </c>
      <c r="B1811" s="1">
        <f>IFERROR(__xludf.DUMMYFUNCTION("""COMPUTED_VALUE"""),446.21)</f>
        <v>446.21</v>
      </c>
      <c r="C1811" s="1">
        <f>IFERROR(__xludf.DUMMYFUNCTION("""COMPUTED_VALUE"""),449.36)</f>
        <v>449.36</v>
      </c>
      <c r="D1811" s="1">
        <f>IFERROR(__xludf.DUMMYFUNCTION("""COMPUTED_VALUE"""),446.21)</f>
        <v>446.21</v>
      </c>
      <c r="E1811" s="1">
        <f>IFERROR(__xludf.DUMMYFUNCTION("""COMPUTED_VALUE"""),447.66)</f>
        <v>447.66</v>
      </c>
      <c r="F1811" s="1">
        <f>IFERROR(__xludf.DUMMYFUNCTION("""COMPUTED_VALUE"""),4.0185936E7)</f>
        <v>40185936</v>
      </c>
    </row>
    <row r="1812">
      <c r="A1812" s="2">
        <f>IFERROR(__xludf.DUMMYFUNCTION("""COMPUTED_VALUE"""),34012.666666666664)</f>
        <v>34012.66667</v>
      </c>
      <c r="B1812" s="1">
        <f>IFERROR(__xludf.DUMMYFUNCTION("""COMPUTED_VALUE"""),447.66)</f>
        <v>447.66</v>
      </c>
      <c r="C1812" s="1">
        <f>IFERROR(__xludf.DUMMYFUNCTION("""COMPUTED_VALUE"""),447.7)</f>
        <v>447.7</v>
      </c>
      <c r="D1812" s="1">
        <f>IFERROR(__xludf.DUMMYFUNCTION("""COMPUTED_VALUE"""),444.58)</f>
        <v>444.58</v>
      </c>
      <c r="E1812" s="1">
        <f>IFERROR(__xludf.DUMMYFUNCTION("""COMPUTED_VALUE"""),444.58)</f>
        <v>444.58</v>
      </c>
      <c r="F1812" s="1">
        <f>IFERROR(__xludf.DUMMYFUNCTION("""COMPUTED_VALUE"""),3.3876564E7)</f>
        <v>33876564</v>
      </c>
    </row>
    <row r="1813">
      <c r="A1813" s="2">
        <f>IFERROR(__xludf.DUMMYFUNCTION("""COMPUTED_VALUE"""),34016.666666666664)</f>
        <v>34016.66667</v>
      </c>
      <c r="B1813" s="1">
        <f>IFERROR(__xludf.DUMMYFUNCTION("""COMPUTED_VALUE"""),444.53)</f>
        <v>444.53</v>
      </c>
      <c r="C1813" s="1">
        <f>IFERROR(__xludf.DUMMYFUNCTION("""COMPUTED_VALUE"""),444.53)</f>
        <v>444.53</v>
      </c>
      <c r="D1813" s="1">
        <f>IFERROR(__xludf.DUMMYFUNCTION("""COMPUTED_VALUE"""),433.47)</f>
        <v>433.47</v>
      </c>
      <c r="E1813" s="1">
        <f>IFERROR(__xludf.DUMMYFUNCTION("""COMPUTED_VALUE"""),433.91)</f>
        <v>433.91</v>
      </c>
      <c r="F1813" s="1">
        <f>IFERROR(__xludf.DUMMYFUNCTION("""COMPUTED_VALUE"""),5.2007812E7)</f>
        <v>52007812</v>
      </c>
    </row>
    <row r="1814">
      <c r="A1814" s="2">
        <f>IFERROR(__xludf.DUMMYFUNCTION("""COMPUTED_VALUE"""),34017.666666666664)</f>
        <v>34017.66667</v>
      </c>
      <c r="B1814" s="1">
        <f>IFERROR(__xludf.DUMMYFUNCTION("""COMPUTED_VALUE"""),433.93)</f>
        <v>433.93</v>
      </c>
      <c r="C1814" s="1">
        <f>IFERROR(__xludf.DUMMYFUNCTION("""COMPUTED_VALUE"""),433.97)</f>
        <v>433.97</v>
      </c>
      <c r="D1814" s="1">
        <f>IFERROR(__xludf.DUMMYFUNCTION("""COMPUTED_VALUE"""),430.92)</f>
        <v>430.92</v>
      </c>
      <c r="E1814" s="1">
        <f>IFERROR(__xludf.DUMMYFUNCTION("""COMPUTED_VALUE"""),433.3)</f>
        <v>433.3</v>
      </c>
      <c r="F1814" s="1">
        <f>IFERROR(__xludf.DUMMYFUNCTION("""COMPUTED_VALUE"""),4.7220312E7)</f>
        <v>47220312</v>
      </c>
    </row>
    <row r="1815">
      <c r="A1815" s="2">
        <f>IFERROR(__xludf.DUMMYFUNCTION("""COMPUTED_VALUE"""),34018.666666666664)</f>
        <v>34018.66667</v>
      </c>
      <c r="B1815" s="1">
        <f>IFERROR(__xludf.DUMMYFUNCTION("""COMPUTED_VALUE"""),433.3)</f>
        <v>433.3</v>
      </c>
      <c r="C1815" s="1">
        <f>IFERROR(__xludf.DUMMYFUNCTION("""COMPUTED_VALUE"""),437.79)</f>
        <v>437.79</v>
      </c>
      <c r="D1815" s="1">
        <f>IFERROR(__xludf.DUMMYFUNCTION("""COMPUTED_VALUE"""),428.25)</f>
        <v>428.25</v>
      </c>
      <c r="E1815" s="1">
        <f>IFERROR(__xludf.DUMMYFUNCTION("""COMPUTED_VALUE"""),431.9)</f>
        <v>431.9</v>
      </c>
      <c r="F1815" s="1">
        <f>IFERROR(__xludf.DUMMYFUNCTION("""COMPUTED_VALUE"""),4.8621876E7)</f>
        <v>48621876</v>
      </c>
    </row>
    <row r="1816">
      <c r="A1816" s="2">
        <f>IFERROR(__xludf.DUMMYFUNCTION("""COMPUTED_VALUE"""),34019.666666666664)</f>
        <v>34019.66667</v>
      </c>
      <c r="B1816" s="1">
        <f>IFERROR(__xludf.DUMMYFUNCTION("""COMPUTED_VALUE"""),431.93)</f>
        <v>431.93</v>
      </c>
      <c r="C1816" s="1">
        <f>IFERROR(__xludf.DUMMYFUNCTION("""COMPUTED_VALUE"""),434.26)</f>
        <v>434.26</v>
      </c>
      <c r="D1816" s="1">
        <f>IFERROR(__xludf.DUMMYFUNCTION("""COMPUTED_VALUE"""),431.68)</f>
        <v>431.68</v>
      </c>
      <c r="E1816" s="1">
        <f>IFERROR(__xludf.DUMMYFUNCTION("""COMPUTED_VALUE"""),434.22)</f>
        <v>434.22</v>
      </c>
      <c r="F1816" s="1">
        <f>IFERROR(__xludf.DUMMYFUNCTION("""COMPUTED_VALUE"""),4.8546876E7)</f>
        <v>48546876</v>
      </c>
    </row>
    <row r="1817">
      <c r="A1817" s="2">
        <f>IFERROR(__xludf.DUMMYFUNCTION("""COMPUTED_VALUE"""),34022.666666666664)</f>
        <v>34022.66667</v>
      </c>
      <c r="B1817" s="1">
        <f>IFERROR(__xludf.DUMMYFUNCTION("""COMPUTED_VALUE"""),434.21)</f>
        <v>434.21</v>
      </c>
      <c r="C1817" s="1">
        <f>IFERROR(__xludf.DUMMYFUNCTION("""COMPUTED_VALUE"""),436.49)</f>
        <v>436.49</v>
      </c>
      <c r="D1817" s="1">
        <f>IFERROR(__xludf.DUMMYFUNCTION("""COMPUTED_VALUE"""),433.53)</f>
        <v>433.53</v>
      </c>
      <c r="E1817" s="1">
        <f>IFERROR(__xludf.DUMMYFUNCTION("""COMPUTED_VALUE"""),435.24)</f>
        <v>435.24</v>
      </c>
      <c r="F1817" s="1">
        <f>IFERROR(__xludf.DUMMYFUNCTION("""COMPUTED_VALUE"""),4.8682812E7)</f>
        <v>48682812</v>
      </c>
    </row>
    <row r="1818">
      <c r="A1818" s="2">
        <f>IFERROR(__xludf.DUMMYFUNCTION("""COMPUTED_VALUE"""),34023.666666666664)</f>
        <v>34023.66667</v>
      </c>
      <c r="B1818" s="1">
        <f>IFERROR(__xludf.DUMMYFUNCTION("""COMPUTED_VALUE"""),435.34)</f>
        <v>435.34</v>
      </c>
      <c r="C1818" s="1">
        <f>IFERROR(__xludf.DUMMYFUNCTION("""COMPUTED_VALUE"""),436.84)</f>
        <v>436.84</v>
      </c>
      <c r="D1818" s="1">
        <f>IFERROR(__xludf.DUMMYFUNCTION("""COMPUTED_VALUE"""),432.41)</f>
        <v>432.41</v>
      </c>
      <c r="E1818" s="1">
        <f>IFERROR(__xludf.DUMMYFUNCTION("""COMPUTED_VALUE"""),434.8)</f>
        <v>434.8</v>
      </c>
      <c r="F1818" s="1">
        <f>IFERROR(__xludf.DUMMYFUNCTION("""COMPUTED_VALUE"""),5.1415624E7)</f>
        <v>51415624</v>
      </c>
    </row>
    <row r="1819">
      <c r="A1819" s="2">
        <f>IFERROR(__xludf.DUMMYFUNCTION("""COMPUTED_VALUE"""),34024.666666666664)</f>
        <v>34024.66667</v>
      </c>
      <c r="B1819" s="1">
        <f>IFERROR(__xludf.DUMMYFUNCTION("""COMPUTED_VALUE"""),434.76)</f>
        <v>434.76</v>
      </c>
      <c r="C1819" s="1">
        <f>IFERROR(__xludf.DUMMYFUNCTION("""COMPUTED_VALUE"""),440.87)</f>
        <v>440.87</v>
      </c>
      <c r="D1819" s="1">
        <f>IFERROR(__xludf.DUMMYFUNCTION("""COMPUTED_VALUE"""),434.68)</f>
        <v>434.68</v>
      </c>
      <c r="E1819" s="1">
        <f>IFERROR(__xludf.DUMMYFUNCTION("""COMPUTED_VALUE"""),440.87)</f>
        <v>440.87</v>
      </c>
      <c r="F1819" s="1">
        <f>IFERROR(__xludf.DUMMYFUNCTION("""COMPUTED_VALUE"""),4.9492188E7)</f>
        <v>49492188</v>
      </c>
    </row>
    <row r="1820">
      <c r="A1820" s="2">
        <f>IFERROR(__xludf.DUMMYFUNCTION("""COMPUTED_VALUE"""),34025.666666666664)</f>
        <v>34025.66667</v>
      </c>
      <c r="B1820" s="1">
        <f>IFERROR(__xludf.DUMMYFUNCTION("""COMPUTED_VALUE"""),440.7)</f>
        <v>440.7</v>
      </c>
      <c r="C1820" s="1">
        <f>IFERROR(__xludf.DUMMYFUNCTION("""COMPUTED_VALUE"""),442.34)</f>
        <v>442.34</v>
      </c>
      <c r="D1820" s="1">
        <f>IFERROR(__xludf.DUMMYFUNCTION("""COMPUTED_VALUE"""),439.67)</f>
        <v>439.67</v>
      </c>
      <c r="E1820" s="1">
        <f>IFERROR(__xludf.DUMMYFUNCTION("""COMPUTED_VALUE"""),442.34)</f>
        <v>442.34</v>
      </c>
      <c r="F1820" s="1">
        <f>IFERROR(__xludf.DUMMYFUNCTION("""COMPUTED_VALUE"""),3.9509376E7)</f>
        <v>39509376</v>
      </c>
    </row>
    <row r="1821">
      <c r="A1821" s="2">
        <f>IFERROR(__xludf.DUMMYFUNCTION("""COMPUTED_VALUE"""),34026.666666666664)</f>
        <v>34026.66667</v>
      </c>
      <c r="B1821" s="1">
        <f>IFERROR(__xludf.DUMMYFUNCTION("""COMPUTED_VALUE"""),442.34)</f>
        <v>442.34</v>
      </c>
      <c r="C1821" s="1">
        <f>IFERROR(__xludf.DUMMYFUNCTION("""COMPUTED_VALUE"""),443.77)</f>
        <v>443.77</v>
      </c>
      <c r="D1821" s="1">
        <f>IFERROR(__xludf.DUMMYFUNCTION("""COMPUTED_VALUE"""),440.98)</f>
        <v>440.98</v>
      </c>
      <c r="E1821" s="1">
        <f>IFERROR(__xludf.DUMMYFUNCTION("""COMPUTED_VALUE"""),443.38)</f>
        <v>443.38</v>
      </c>
      <c r="F1821" s="1">
        <f>IFERROR(__xludf.DUMMYFUNCTION("""COMPUTED_VALUE"""),3.65875E7)</f>
        <v>36587500</v>
      </c>
    </row>
    <row r="1822">
      <c r="A1822" s="2">
        <f>IFERROR(__xludf.DUMMYFUNCTION("""COMPUTED_VALUE"""),34029.666666666664)</f>
        <v>34029.66667</v>
      </c>
      <c r="B1822" s="1">
        <f>IFERROR(__xludf.DUMMYFUNCTION("""COMPUTED_VALUE"""),443.38)</f>
        <v>443.38</v>
      </c>
      <c r="C1822" s="1">
        <f>IFERROR(__xludf.DUMMYFUNCTION("""COMPUTED_VALUE"""),444.18)</f>
        <v>444.18</v>
      </c>
      <c r="D1822" s="1">
        <f>IFERROR(__xludf.DUMMYFUNCTION("""COMPUTED_VALUE"""),441.34)</f>
        <v>441.34</v>
      </c>
      <c r="E1822" s="1">
        <f>IFERROR(__xludf.DUMMYFUNCTION("""COMPUTED_VALUE"""),442.01)</f>
        <v>442.01</v>
      </c>
      <c r="F1822" s="1">
        <f>IFERROR(__xludf.DUMMYFUNCTION("""COMPUTED_VALUE"""),3.6321876E7)</f>
        <v>36321876</v>
      </c>
    </row>
    <row r="1823">
      <c r="A1823" s="2">
        <f>IFERROR(__xludf.DUMMYFUNCTION("""COMPUTED_VALUE"""),34030.666666666664)</f>
        <v>34030.66667</v>
      </c>
      <c r="B1823" s="1">
        <f>IFERROR(__xludf.DUMMYFUNCTION("""COMPUTED_VALUE"""),442.0)</f>
        <v>442</v>
      </c>
      <c r="C1823" s="1">
        <f>IFERROR(__xludf.DUMMYFUNCTION("""COMPUTED_VALUE"""),447.91)</f>
        <v>447.91</v>
      </c>
      <c r="D1823" s="1">
        <f>IFERROR(__xludf.DUMMYFUNCTION("""COMPUTED_VALUE"""),441.07)</f>
        <v>441.07</v>
      </c>
      <c r="E1823" s="1">
        <f>IFERROR(__xludf.DUMMYFUNCTION("""COMPUTED_VALUE"""),447.9)</f>
        <v>447.9</v>
      </c>
      <c r="F1823" s="1">
        <f>IFERROR(__xludf.DUMMYFUNCTION("""COMPUTED_VALUE"""),4.2148436E7)</f>
        <v>42148436</v>
      </c>
    </row>
    <row r="1824">
      <c r="A1824" s="2">
        <f>IFERROR(__xludf.DUMMYFUNCTION("""COMPUTED_VALUE"""),34031.666666666664)</f>
        <v>34031.66667</v>
      </c>
      <c r="B1824" s="1">
        <f>IFERROR(__xludf.DUMMYFUNCTION("""COMPUTED_VALUE"""),447.9)</f>
        <v>447.9</v>
      </c>
      <c r="C1824" s="1">
        <f>IFERROR(__xludf.DUMMYFUNCTION("""COMPUTED_VALUE"""),450.0)</f>
        <v>450</v>
      </c>
      <c r="D1824" s="1">
        <f>IFERROR(__xludf.DUMMYFUNCTION("""COMPUTED_VALUE"""),447.73)</f>
        <v>447.73</v>
      </c>
      <c r="E1824" s="1">
        <f>IFERROR(__xludf.DUMMYFUNCTION("""COMPUTED_VALUE"""),449.26)</f>
        <v>449.26</v>
      </c>
      <c r="F1824" s="1">
        <f>IFERROR(__xludf.DUMMYFUNCTION("""COMPUTED_VALUE"""),4.3340624E7)</f>
        <v>43340624</v>
      </c>
    </row>
    <row r="1825">
      <c r="A1825" s="2">
        <f>IFERROR(__xludf.DUMMYFUNCTION("""COMPUTED_VALUE"""),34032.666666666664)</f>
        <v>34032.66667</v>
      </c>
      <c r="B1825" s="1">
        <f>IFERROR(__xludf.DUMMYFUNCTION("""COMPUTED_VALUE"""),449.26)</f>
        <v>449.26</v>
      </c>
      <c r="C1825" s="1">
        <f>IFERROR(__xludf.DUMMYFUNCTION("""COMPUTED_VALUE"""),449.52)</f>
        <v>449.52</v>
      </c>
      <c r="D1825" s="1">
        <f>IFERROR(__xludf.DUMMYFUNCTION("""COMPUTED_VALUE"""),446.72)</f>
        <v>446.72</v>
      </c>
      <c r="E1825" s="1">
        <f>IFERROR(__xludf.DUMMYFUNCTION("""COMPUTED_VALUE"""),447.34)</f>
        <v>447.34</v>
      </c>
      <c r="F1825" s="1">
        <f>IFERROR(__xludf.DUMMYFUNCTION("""COMPUTED_VALUE"""),3.6596876E7)</f>
        <v>36596876</v>
      </c>
    </row>
    <row r="1826">
      <c r="A1826" s="2">
        <f>IFERROR(__xludf.DUMMYFUNCTION("""COMPUTED_VALUE"""),34033.666666666664)</f>
        <v>34033.66667</v>
      </c>
      <c r="B1826" s="1">
        <f>IFERROR(__xludf.DUMMYFUNCTION("""COMPUTED_VALUE"""),447.34)</f>
        <v>447.34</v>
      </c>
      <c r="C1826" s="1">
        <f>IFERROR(__xludf.DUMMYFUNCTION("""COMPUTED_VALUE"""),449.59)</f>
        <v>449.59</v>
      </c>
      <c r="D1826" s="1">
        <f>IFERROR(__xludf.DUMMYFUNCTION("""COMPUTED_VALUE"""),445.56)</f>
        <v>445.56</v>
      </c>
      <c r="E1826" s="1">
        <f>IFERROR(__xludf.DUMMYFUNCTION("""COMPUTED_VALUE"""),446.11)</f>
        <v>446.11</v>
      </c>
      <c r="F1826" s="1">
        <f>IFERROR(__xludf.DUMMYFUNCTION("""COMPUTED_VALUE"""),3.9606248E7)</f>
        <v>39606248</v>
      </c>
    </row>
    <row r="1827">
      <c r="A1827" s="2">
        <f>IFERROR(__xludf.DUMMYFUNCTION("""COMPUTED_VALUE"""),34036.666666666664)</f>
        <v>34036.66667</v>
      </c>
      <c r="B1827" s="1">
        <f>IFERROR(__xludf.DUMMYFUNCTION("""COMPUTED_VALUE"""),446.12)</f>
        <v>446.12</v>
      </c>
      <c r="C1827" s="1">
        <f>IFERROR(__xludf.DUMMYFUNCTION("""COMPUTED_VALUE"""),454.71)</f>
        <v>454.71</v>
      </c>
      <c r="D1827" s="1">
        <f>IFERROR(__xludf.DUMMYFUNCTION("""COMPUTED_VALUE"""),446.12)</f>
        <v>446.12</v>
      </c>
      <c r="E1827" s="1">
        <f>IFERROR(__xludf.DUMMYFUNCTION("""COMPUTED_VALUE"""),454.71)</f>
        <v>454.71</v>
      </c>
      <c r="F1827" s="1">
        <f>IFERROR(__xludf.DUMMYFUNCTION("""COMPUTED_VALUE"""),4.3014064E7)</f>
        <v>43014064</v>
      </c>
    </row>
    <row r="1828">
      <c r="A1828" s="2">
        <f>IFERROR(__xludf.DUMMYFUNCTION("""COMPUTED_VALUE"""),34037.666666666664)</f>
        <v>34037.66667</v>
      </c>
      <c r="B1828" s="1">
        <f>IFERROR(__xludf.DUMMYFUNCTION("""COMPUTED_VALUE"""),454.67)</f>
        <v>454.67</v>
      </c>
      <c r="C1828" s="1">
        <f>IFERROR(__xludf.DUMMYFUNCTION("""COMPUTED_VALUE"""),455.52)</f>
        <v>455.52</v>
      </c>
      <c r="D1828" s="1">
        <f>IFERROR(__xludf.DUMMYFUNCTION("""COMPUTED_VALUE"""),453.68)</f>
        <v>453.68</v>
      </c>
      <c r="E1828" s="1">
        <f>IFERROR(__xludf.DUMMYFUNCTION("""COMPUTED_VALUE"""),454.4)</f>
        <v>454.4</v>
      </c>
      <c r="F1828" s="1">
        <f>IFERROR(__xludf.DUMMYFUNCTION("""COMPUTED_VALUE"""),4.5417188E7)</f>
        <v>45417188</v>
      </c>
    </row>
    <row r="1829">
      <c r="A1829" s="2">
        <f>IFERROR(__xludf.DUMMYFUNCTION("""COMPUTED_VALUE"""),34038.666666666664)</f>
        <v>34038.66667</v>
      </c>
      <c r="B1829" s="1">
        <f>IFERROR(__xludf.DUMMYFUNCTION("""COMPUTED_VALUE"""),454.4)</f>
        <v>454.4</v>
      </c>
      <c r="C1829" s="1">
        <f>IFERROR(__xludf.DUMMYFUNCTION("""COMPUTED_VALUE"""),456.34)</f>
        <v>456.34</v>
      </c>
      <c r="D1829" s="1">
        <f>IFERROR(__xludf.DUMMYFUNCTION("""COMPUTED_VALUE"""),452.7)</f>
        <v>452.7</v>
      </c>
      <c r="E1829" s="1">
        <f>IFERROR(__xludf.DUMMYFUNCTION("""COMPUTED_VALUE"""),456.33)</f>
        <v>456.33</v>
      </c>
      <c r="F1829" s="1">
        <f>IFERROR(__xludf.DUMMYFUNCTION("""COMPUTED_VALUE"""),3.9939064E7)</f>
        <v>39939064</v>
      </c>
    </row>
    <row r="1830">
      <c r="A1830" s="2">
        <f>IFERROR(__xludf.DUMMYFUNCTION("""COMPUTED_VALUE"""),34039.666666666664)</f>
        <v>34039.66667</v>
      </c>
      <c r="B1830" s="1">
        <f>IFERROR(__xludf.DUMMYFUNCTION("""COMPUTED_VALUE"""),456.35)</f>
        <v>456.35</v>
      </c>
      <c r="C1830" s="1">
        <f>IFERROR(__xludf.DUMMYFUNCTION("""COMPUTED_VALUE"""),456.76)</f>
        <v>456.76</v>
      </c>
      <c r="D1830" s="1">
        <f>IFERROR(__xludf.DUMMYFUNCTION("""COMPUTED_VALUE"""),453.48)</f>
        <v>453.48</v>
      </c>
      <c r="E1830" s="1">
        <f>IFERROR(__xludf.DUMMYFUNCTION("""COMPUTED_VALUE"""),453.72)</f>
        <v>453.72</v>
      </c>
      <c r="F1830" s="1">
        <f>IFERROR(__xludf.DUMMYFUNCTION("""COMPUTED_VALUE"""),4.0165624E7)</f>
        <v>40165624</v>
      </c>
    </row>
    <row r="1831">
      <c r="A1831" s="2">
        <f>IFERROR(__xludf.DUMMYFUNCTION("""COMPUTED_VALUE"""),34040.666666666664)</f>
        <v>34040.66667</v>
      </c>
      <c r="B1831" s="1">
        <f>IFERROR(__xludf.DUMMYFUNCTION("""COMPUTED_VALUE"""),453.7)</f>
        <v>453.7</v>
      </c>
      <c r="C1831" s="1">
        <f>IFERROR(__xludf.DUMMYFUNCTION("""COMPUTED_VALUE"""),453.7)</f>
        <v>453.7</v>
      </c>
      <c r="D1831" s="1">
        <f>IFERROR(__xludf.DUMMYFUNCTION("""COMPUTED_VALUE"""),447.04)</f>
        <v>447.04</v>
      </c>
      <c r="E1831" s="1">
        <f>IFERROR(__xludf.DUMMYFUNCTION("""COMPUTED_VALUE"""),449.83)</f>
        <v>449.83</v>
      </c>
      <c r="F1831" s="1">
        <f>IFERROR(__xludf.DUMMYFUNCTION("""COMPUTED_VALUE"""),3.9909376E7)</f>
        <v>39909376</v>
      </c>
    </row>
    <row r="1832">
      <c r="A1832" s="2">
        <f>IFERROR(__xludf.DUMMYFUNCTION("""COMPUTED_VALUE"""),34043.666666666664)</f>
        <v>34043.66667</v>
      </c>
      <c r="B1832" s="1">
        <f>IFERROR(__xludf.DUMMYFUNCTION("""COMPUTED_VALUE"""),449.83)</f>
        <v>449.83</v>
      </c>
      <c r="C1832" s="1">
        <f>IFERROR(__xludf.DUMMYFUNCTION("""COMPUTED_VALUE"""),451.43)</f>
        <v>451.43</v>
      </c>
      <c r="D1832" s="1">
        <f>IFERROR(__xludf.DUMMYFUNCTION("""COMPUTED_VALUE"""),449.4)</f>
        <v>449.4</v>
      </c>
      <c r="E1832" s="1">
        <f>IFERROR(__xludf.DUMMYFUNCTION("""COMPUTED_VALUE"""),451.43)</f>
        <v>451.43</v>
      </c>
      <c r="F1832" s="1">
        <f>IFERROR(__xludf.DUMMYFUNCTION("""COMPUTED_VALUE"""),3.0614062E7)</f>
        <v>30614062</v>
      </c>
    </row>
    <row r="1833">
      <c r="A1833" s="2">
        <f>IFERROR(__xludf.DUMMYFUNCTION("""COMPUTED_VALUE"""),34044.666666666664)</f>
        <v>34044.66667</v>
      </c>
      <c r="B1833" s="1">
        <f>IFERROR(__xludf.DUMMYFUNCTION("""COMPUTED_VALUE"""),451.43)</f>
        <v>451.43</v>
      </c>
      <c r="C1833" s="1">
        <f>IFERROR(__xludf.DUMMYFUNCTION("""COMPUTED_VALUE"""),452.36)</f>
        <v>452.36</v>
      </c>
      <c r="D1833" s="1">
        <f>IFERROR(__xludf.DUMMYFUNCTION("""COMPUTED_VALUE"""),451.01)</f>
        <v>451.01</v>
      </c>
      <c r="E1833" s="1">
        <f>IFERROR(__xludf.DUMMYFUNCTION("""COMPUTED_VALUE"""),451.37)</f>
        <v>451.37</v>
      </c>
      <c r="F1833" s="1">
        <f>IFERROR(__xludf.DUMMYFUNCTION("""COMPUTED_VALUE"""),3.4190624E7)</f>
        <v>34190624</v>
      </c>
    </row>
    <row r="1834">
      <c r="A1834" s="2">
        <f>IFERROR(__xludf.DUMMYFUNCTION("""COMPUTED_VALUE"""),34045.666666666664)</f>
        <v>34045.66667</v>
      </c>
      <c r="B1834" s="1">
        <f>IFERROR(__xludf.DUMMYFUNCTION("""COMPUTED_VALUE"""),451.36)</f>
        <v>451.36</v>
      </c>
      <c r="C1834" s="1">
        <f>IFERROR(__xludf.DUMMYFUNCTION("""COMPUTED_VALUE"""),451.36)</f>
        <v>451.36</v>
      </c>
      <c r="D1834" s="1">
        <f>IFERROR(__xludf.DUMMYFUNCTION("""COMPUTED_VALUE"""),447.99)</f>
        <v>447.99</v>
      </c>
      <c r="E1834" s="1">
        <f>IFERROR(__xludf.DUMMYFUNCTION("""COMPUTED_VALUE"""),448.31)</f>
        <v>448.31</v>
      </c>
      <c r="F1834" s="1">
        <f>IFERROR(__xludf.DUMMYFUNCTION("""COMPUTED_VALUE"""),3.7698436E7)</f>
        <v>37698436</v>
      </c>
    </row>
    <row r="1835">
      <c r="A1835" s="2">
        <f>IFERROR(__xludf.DUMMYFUNCTION("""COMPUTED_VALUE"""),34046.666666666664)</f>
        <v>34046.66667</v>
      </c>
      <c r="B1835" s="1">
        <f>IFERROR(__xludf.DUMMYFUNCTION("""COMPUTED_VALUE"""),448.36)</f>
        <v>448.36</v>
      </c>
      <c r="C1835" s="1">
        <f>IFERROR(__xludf.DUMMYFUNCTION("""COMPUTED_VALUE"""),452.39)</f>
        <v>452.39</v>
      </c>
      <c r="D1835" s="1">
        <f>IFERROR(__xludf.DUMMYFUNCTION("""COMPUTED_VALUE"""),448.36)</f>
        <v>448.36</v>
      </c>
      <c r="E1835" s="1">
        <f>IFERROR(__xludf.DUMMYFUNCTION("""COMPUTED_VALUE"""),451.89)</f>
        <v>451.89</v>
      </c>
      <c r="F1835" s="1">
        <f>IFERROR(__xludf.DUMMYFUNCTION("""COMPUTED_VALUE"""),3.7684376E7)</f>
        <v>37684376</v>
      </c>
    </row>
    <row r="1836">
      <c r="A1836" s="2">
        <f>IFERROR(__xludf.DUMMYFUNCTION("""COMPUTED_VALUE"""),34047.666666666664)</f>
        <v>34047.66667</v>
      </c>
      <c r="B1836" s="1">
        <f>IFERROR(__xludf.DUMMYFUNCTION("""COMPUTED_VALUE"""),451.9)</f>
        <v>451.9</v>
      </c>
      <c r="C1836" s="1">
        <f>IFERROR(__xludf.DUMMYFUNCTION("""COMPUTED_VALUE"""),453.32)</f>
        <v>453.32</v>
      </c>
      <c r="D1836" s="1">
        <f>IFERROR(__xludf.DUMMYFUNCTION("""COMPUTED_VALUE"""),449.91)</f>
        <v>449.91</v>
      </c>
      <c r="E1836" s="1">
        <f>IFERROR(__xludf.DUMMYFUNCTION("""COMPUTED_VALUE"""),450.18)</f>
        <v>450.18</v>
      </c>
      <c r="F1836" s="1">
        <f>IFERROR(__xludf.DUMMYFUNCTION("""COMPUTED_VALUE"""),5.3071876E7)</f>
        <v>53071876</v>
      </c>
    </row>
    <row r="1837">
      <c r="A1837" s="2">
        <f>IFERROR(__xludf.DUMMYFUNCTION("""COMPUTED_VALUE"""),34050.666666666664)</f>
        <v>34050.66667</v>
      </c>
      <c r="B1837" s="1">
        <f>IFERROR(__xludf.DUMMYFUNCTION("""COMPUTED_VALUE"""),450.17)</f>
        <v>450.17</v>
      </c>
      <c r="C1837" s="1">
        <f>IFERROR(__xludf.DUMMYFUNCTION("""COMPUTED_VALUE"""),450.17)</f>
        <v>450.17</v>
      </c>
      <c r="D1837" s="1">
        <f>IFERROR(__xludf.DUMMYFUNCTION("""COMPUTED_VALUE"""),446.08)</f>
        <v>446.08</v>
      </c>
      <c r="E1837" s="1">
        <f>IFERROR(__xludf.DUMMYFUNCTION("""COMPUTED_VALUE"""),448.88)</f>
        <v>448.88</v>
      </c>
      <c r="F1837" s="1">
        <f>IFERROR(__xludf.DUMMYFUNCTION("""COMPUTED_VALUE"""),3.6435936E7)</f>
        <v>36435936</v>
      </c>
    </row>
    <row r="1838">
      <c r="A1838" s="2">
        <f>IFERROR(__xludf.DUMMYFUNCTION("""COMPUTED_VALUE"""),34051.666666666664)</f>
        <v>34051.66667</v>
      </c>
      <c r="B1838" s="1">
        <f>IFERROR(__xludf.DUMMYFUNCTION("""COMPUTED_VALUE"""),448.88)</f>
        <v>448.88</v>
      </c>
      <c r="C1838" s="1">
        <f>IFERROR(__xludf.DUMMYFUNCTION("""COMPUTED_VALUE"""),449.8)</f>
        <v>449.8</v>
      </c>
      <c r="D1838" s="1">
        <f>IFERROR(__xludf.DUMMYFUNCTION("""COMPUTED_VALUE"""),448.3)</f>
        <v>448.3</v>
      </c>
      <c r="E1838" s="1">
        <f>IFERROR(__xludf.DUMMYFUNCTION("""COMPUTED_VALUE"""),448.76)</f>
        <v>448.76</v>
      </c>
      <c r="F1838" s="1">
        <f>IFERROR(__xludf.DUMMYFUNCTION("""COMPUTED_VALUE"""),3.6364064E7)</f>
        <v>36364064</v>
      </c>
    </row>
    <row r="1839">
      <c r="A1839" s="2">
        <f>IFERROR(__xludf.DUMMYFUNCTION("""COMPUTED_VALUE"""),34052.666666666664)</f>
        <v>34052.66667</v>
      </c>
      <c r="B1839" s="1">
        <f>IFERROR(__xludf.DUMMYFUNCTION("""COMPUTED_VALUE"""),448.71)</f>
        <v>448.71</v>
      </c>
      <c r="C1839" s="1">
        <f>IFERROR(__xludf.DUMMYFUNCTION("""COMPUTED_VALUE"""),450.9)</f>
        <v>450.9</v>
      </c>
      <c r="D1839" s="1">
        <f>IFERROR(__xludf.DUMMYFUNCTION("""COMPUTED_VALUE"""),446.1)</f>
        <v>446.1</v>
      </c>
      <c r="E1839" s="1">
        <f>IFERROR(__xludf.DUMMYFUNCTION("""COMPUTED_VALUE"""),448.07)</f>
        <v>448.07</v>
      </c>
      <c r="F1839" s="1">
        <f>IFERROR(__xludf.DUMMYFUNCTION("""COMPUTED_VALUE"""),4.2859376E7)</f>
        <v>42859376</v>
      </c>
    </row>
    <row r="1840">
      <c r="A1840" s="2">
        <f>IFERROR(__xludf.DUMMYFUNCTION("""COMPUTED_VALUE"""),34053.666666666664)</f>
        <v>34053.66667</v>
      </c>
      <c r="B1840" s="1">
        <f>IFERROR(__xludf.DUMMYFUNCTION("""COMPUTED_VALUE"""),448.09)</f>
        <v>448.09</v>
      </c>
      <c r="C1840" s="1">
        <f>IFERROR(__xludf.DUMMYFUNCTION("""COMPUTED_VALUE"""),451.75)</f>
        <v>451.75</v>
      </c>
      <c r="D1840" s="1">
        <f>IFERROR(__xludf.DUMMYFUNCTION("""COMPUTED_VALUE"""),447.93)</f>
        <v>447.93</v>
      </c>
      <c r="E1840" s="1">
        <f>IFERROR(__xludf.DUMMYFUNCTION("""COMPUTED_VALUE"""),450.88)</f>
        <v>450.88</v>
      </c>
      <c r="F1840" s="1">
        <f>IFERROR(__xludf.DUMMYFUNCTION("""COMPUTED_VALUE"""),3.9301564E7)</f>
        <v>39301564</v>
      </c>
    </row>
    <row r="1841">
      <c r="A1841" s="2">
        <f>IFERROR(__xludf.DUMMYFUNCTION("""COMPUTED_VALUE"""),34054.666666666664)</f>
        <v>34054.66667</v>
      </c>
      <c r="B1841" s="1">
        <f>IFERROR(__xludf.DUMMYFUNCTION("""COMPUTED_VALUE"""),450.91)</f>
        <v>450.91</v>
      </c>
      <c r="C1841" s="1">
        <f>IFERROR(__xludf.DUMMYFUNCTION("""COMPUTED_VALUE"""),452.09)</f>
        <v>452.09</v>
      </c>
      <c r="D1841" s="1">
        <f>IFERROR(__xludf.DUMMYFUNCTION("""COMPUTED_VALUE"""),447.69)</f>
        <v>447.69</v>
      </c>
      <c r="E1841" s="1">
        <f>IFERROR(__xludf.DUMMYFUNCTION("""COMPUTED_VALUE"""),447.78)</f>
        <v>447.78</v>
      </c>
      <c r="F1841" s="1">
        <f>IFERROR(__xludf.DUMMYFUNCTION("""COMPUTED_VALUE"""),3.5414064E7)</f>
        <v>35414064</v>
      </c>
    </row>
    <row r="1842">
      <c r="A1842" s="2">
        <f>IFERROR(__xludf.DUMMYFUNCTION("""COMPUTED_VALUE"""),34057.666666666664)</f>
        <v>34057.66667</v>
      </c>
      <c r="B1842" s="1">
        <f>IFERROR(__xludf.DUMMYFUNCTION("""COMPUTED_VALUE"""),447.76)</f>
        <v>447.76</v>
      </c>
      <c r="C1842" s="1">
        <f>IFERROR(__xludf.DUMMYFUNCTION("""COMPUTED_VALUE"""),452.81)</f>
        <v>452.81</v>
      </c>
      <c r="D1842" s="1">
        <f>IFERROR(__xludf.DUMMYFUNCTION("""COMPUTED_VALUE"""),447.75)</f>
        <v>447.75</v>
      </c>
      <c r="E1842" s="1">
        <f>IFERROR(__xludf.DUMMYFUNCTION("""COMPUTED_VALUE"""),450.77)</f>
        <v>450.77</v>
      </c>
      <c r="F1842" s="1">
        <f>IFERROR(__xludf.DUMMYFUNCTION("""COMPUTED_VALUE"""),3.1245312E7)</f>
        <v>31245312</v>
      </c>
    </row>
    <row r="1843">
      <c r="A1843" s="2">
        <f>IFERROR(__xludf.DUMMYFUNCTION("""COMPUTED_VALUE"""),34058.666666666664)</f>
        <v>34058.66667</v>
      </c>
      <c r="B1843" s="1">
        <f>IFERROR(__xludf.DUMMYFUNCTION("""COMPUTED_VALUE"""),450.79)</f>
        <v>450.79</v>
      </c>
      <c r="C1843" s="1">
        <f>IFERROR(__xludf.DUMMYFUNCTION("""COMPUTED_VALUE"""),452.06)</f>
        <v>452.06</v>
      </c>
      <c r="D1843" s="1">
        <f>IFERROR(__xludf.DUMMYFUNCTION("""COMPUTED_VALUE"""),449.63)</f>
        <v>449.63</v>
      </c>
      <c r="E1843" s="1">
        <f>IFERROR(__xludf.DUMMYFUNCTION("""COMPUTED_VALUE"""),451.97)</f>
        <v>451.97</v>
      </c>
      <c r="F1843" s="1">
        <f>IFERROR(__xludf.DUMMYFUNCTION("""COMPUTED_VALUE"""),3.6123436E7)</f>
        <v>36123436</v>
      </c>
    </row>
    <row r="1844">
      <c r="A1844" s="2">
        <f>IFERROR(__xludf.DUMMYFUNCTION("""COMPUTED_VALUE"""),34059.666666666664)</f>
        <v>34059.66667</v>
      </c>
      <c r="B1844" s="1">
        <f>IFERROR(__xludf.DUMMYFUNCTION("""COMPUTED_VALUE"""),451.97)</f>
        <v>451.97</v>
      </c>
      <c r="C1844" s="1">
        <f>IFERROR(__xludf.DUMMYFUNCTION("""COMPUTED_VALUE"""),454.88)</f>
        <v>454.88</v>
      </c>
      <c r="D1844" s="1">
        <f>IFERROR(__xludf.DUMMYFUNCTION("""COMPUTED_VALUE"""),451.67)</f>
        <v>451.67</v>
      </c>
      <c r="E1844" s="1">
        <f>IFERROR(__xludf.DUMMYFUNCTION("""COMPUTED_VALUE"""),451.67)</f>
        <v>451.67</v>
      </c>
      <c r="F1844" s="1">
        <f>IFERROR(__xludf.DUMMYFUNCTION("""COMPUTED_VALUE"""),4.3623436E7)</f>
        <v>43623436</v>
      </c>
    </row>
    <row r="1845">
      <c r="A1845" s="2">
        <f>IFERROR(__xludf.DUMMYFUNCTION("""COMPUTED_VALUE"""),34060.666666666664)</f>
        <v>34060.66667</v>
      </c>
      <c r="B1845" s="1">
        <f>IFERROR(__xludf.DUMMYFUNCTION("""COMPUTED_VALUE"""),451.67)</f>
        <v>451.67</v>
      </c>
      <c r="C1845" s="1">
        <f>IFERROR(__xludf.DUMMYFUNCTION("""COMPUTED_VALUE"""),452.63)</f>
        <v>452.63</v>
      </c>
      <c r="D1845" s="1">
        <f>IFERROR(__xludf.DUMMYFUNCTION("""COMPUTED_VALUE"""),449.6)</f>
        <v>449.6</v>
      </c>
      <c r="E1845" s="1">
        <f>IFERROR(__xludf.DUMMYFUNCTION("""COMPUTED_VALUE"""),450.3)</f>
        <v>450.3</v>
      </c>
      <c r="F1845" s="1">
        <f>IFERROR(__xludf.DUMMYFUNCTION("""COMPUTED_VALUE"""),3.6645312E7)</f>
        <v>36645312</v>
      </c>
    </row>
    <row r="1846">
      <c r="A1846" s="2">
        <f>IFERROR(__xludf.DUMMYFUNCTION("""COMPUTED_VALUE"""),34061.666666666664)</f>
        <v>34061.66667</v>
      </c>
      <c r="B1846" s="1">
        <f>IFERROR(__xludf.DUMMYFUNCTION("""COMPUTED_VALUE"""),450.28)</f>
        <v>450.28</v>
      </c>
      <c r="C1846" s="1">
        <f>IFERROR(__xludf.DUMMYFUNCTION("""COMPUTED_VALUE"""),450.28)</f>
        <v>450.28</v>
      </c>
      <c r="D1846" s="1">
        <f>IFERROR(__xludf.DUMMYFUNCTION("""COMPUTED_VALUE"""),440.71)</f>
        <v>440.71</v>
      </c>
      <c r="E1846" s="1">
        <f>IFERROR(__xludf.DUMMYFUNCTION("""COMPUTED_VALUE"""),441.39)</f>
        <v>441.39</v>
      </c>
      <c r="F1846" s="1">
        <f>IFERROR(__xludf.DUMMYFUNCTION("""COMPUTED_VALUE"""),5.0520312E7)</f>
        <v>50520312</v>
      </c>
    </row>
    <row r="1847">
      <c r="A1847" s="2">
        <f>IFERROR(__xludf.DUMMYFUNCTION("""COMPUTED_VALUE"""),34064.666666666664)</f>
        <v>34064.66667</v>
      </c>
      <c r="B1847" s="1">
        <f>IFERROR(__xludf.DUMMYFUNCTION("""COMPUTED_VALUE"""),441.42)</f>
        <v>441.42</v>
      </c>
      <c r="C1847" s="1">
        <f>IFERROR(__xludf.DUMMYFUNCTION("""COMPUTED_VALUE"""),442.43)</f>
        <v>442.43</v>
      </c>
      <c r="D1847" s="1">
        <f>IFERROR(__xludf.DUMMYFUNCTION("""COMPUTED_VALUE"""),440.53)</f>
        <v>440.53</v>
      </c>
      <c r="E1847" s="1">
        <f>IFERROR(__xludf.DUMMYFUNCTION("""COMPUTED_VALUE"""),442.29)</f>
        <v>442.29</v>
      </c>
      <c r="F1847" s="1">
        <f>IFERROR(__xludf.DUMMYFUNCTION("""COMPUTED_VALUE"""),4.62625E7)</f>
        <v>46262500</v>
      </c>
    </row>
    <row r="1848">
      <c r="A1848" s="2">
        <f>IFERROR(__xludf.DUMMYFUNCTION("""COMPUTED_VALUE"""),34065.666666666664)</f>
        <v>34065.66667</v>
      </c>
      <c r="B1848" s="1">
        <f>IFERROR(__xludf.DUMMYFUNCTION("""COMPUTED_VALUE"""),442.29)</f>
        <v>442.29</v>
      </c>
      <c r="C1848" s="1">
        <f>IFERROR(__xludf.DUMMYFUNCTION("""COMPUTED_VALUE"""),443.38)</f>
        <v>443.38</v>
      </c>
      <c r="D1848" s="1">
        <f>IFERROR(__xludf.DUMMYFUNCTION("""COMPUTED_VALUE"""),439.48)</f>
        <v>439.48</v>
      </c>
      <c r="E1848" s="1">
        <f>IFERROR(__xludf.DUMMYFUNCTION("""COMPUTED_VALUE"""),441.16)</f>
        <v>441.16</v>
      </c>
      <c r="F1848" s="1">
        <f>IFERROR(__xludf.DUMMYFUNCTION("""COMPUTED_VALUE"""),4.58875E7)</f>
        <v>45887500</v>
      </c>
    </row>
    <row r="1849">
      <c r="A1849" s="2">
        <f>IFERROR(__xludf.DUMMYFUNCTION("""COMPUTED_VALUE"""),34066.666666666664)</f>
        <v>34066.66667</v>
      </c>
      <c r="B1849" s="1">
        <f>IFERROR(__xludf.DUMMYFUNCTION("""COMPUTED_VALUE"""),441.16)</f>
        <v>441.16</v>
      </c>
      <c r="C1849" s="1">
        <f>IFERROR(__xludf.DUMMYFUNCTION("""COMPUTED_VALUE"""),442.73)</f>
        <v>442.73</v>
      </c>
      <c r="D1849" s="1">
        <f>IFERROR(__xludf.DUMMYFUNCTION("""COMPUTED_VALUE"""),440.5)</f>
        <v>440.5</v>
      </c>
      <c r="E1849" s="1">
        <f>IFERROR(__xludf.DUMMYFUNCTION("""COMPUTED_VALUE"""),442.73)</f>
        <v>442.73</v>
      </c>
      <c r="F1849" s="1">
        <f>IFERROR(__xludf.DUMMYFUNCTION("""COMPUTED_VALUE"""),4.6875E7)</f>
        <v>46875000</v>
      </c>
    </row>
    <row r="1850">
      <c r="A1850" s="2">
        <f>IFERROR(__xludf.DUMMYFUNCTION("""COMPUTED_VALUE"""),34067.666666666664)</f>
        <v>34067.66667</v>
      </c>
      <c r="B1850" s="1">
        <f>IFERROR(__xludf.DUMMYFUNCTION("""COMPUTED_VALUE"""),442.71)</f>
        <v>442.71</v>
      </c>
      <c r="C1850" s="1">
        <f>IFERROR(__xludf.DUMMYFUNCTION("""COMPUTED_VALUE"""),443.77)</f>
        <v>443.77</v>
      </c>
      <c r="D1850" s="1">
        <f>IFERROR(__xludf.DUMMYFUNCTION("""COMPUTED_VALUE"""),440.02)</f>
        <v>440.02</v>
      </c>
      <c r="E1850" s="1">
        <f>IFERROR(__xludf.DUMMYFUNCTION("""COMPUTED_VALUE"""),441.84)</f>
        <v>441.84</v>
      </c>
      <c r="F1850" s="1">
        <f>IFERROR(__xludf.DUMMYFUNCTION("""COMPUTED_VALUE"""),4.4432812E7)</f>
        <v>44432812</v>
      </c>
    </row>
    <row r="1851">
      <c r="A1851" s="2">
        <f>IFERROR(__xludf.DUMMYFUNCTION("""COMPUTED_VALUE"""),34068.666666666664)</f>
        <v>34068.66667</v>
      </c>
      <c r="B1851" s="1">
        <f>IFERROR(__xludf.DUMMYFUNCTION("""COMPUTED_VALUE"""),448.37)</f>
        <v>448.37</v>
      </c>
      <c r="C1851" s="1">
        <f>IFERROR(__xludf.DUMMYFUNCTION("""COMPUTED_VALUE"""),448.37)</f>
        <v>448.37</v>
      </c>
      <c r="D1851" s="1">
        <f>IFERROR(__xludf.DUMMYFUNCTION("""COMPUTED_VALUE"""),448.37)</f>
        <v>448.37</v>
      </c>
      <c r="E1851" s="1">
        <f>IFERROR(__xludf.DUMMYFUNCTION("""COMPUTED_VALUE"""),448.37)</f>
        <v>448.37</v>
      </c>
      <c r="F1851" s="1">
        <f>IFERROR(__xludf.DUMMYFUNCTION("""COMPUTED_VALUE"""),0.0)</f>
        <v>0</v>
      </c>
    </row>
    <row r="1852">
      <c r="A1852" s="2">
        <f>IFERROR(__xludf.DUMMYFUNCTION("""COMPUTED_VALUE"""),34071.666666666664)</f>
        <v>34071.66667</v>
      </c>
      <c r="B1852" s="1">
        <f>IFERROR(__xludf.DUMMYFUNCTION("""COMPUTED_VALUE"""),441.84)</f>
        <v>441.84</v>
      </c>
      <c r="C1852" s="1">
        <f>IFERROR(__xludf.DUMMYFUNCTION("""COMPUTED_VALUE"""),448.37)</f>
        <v>448.37</v>
      </c>
      <c r="D1852" s="1">
        <f>IFERROR(__xludf.DUMMYFUNCTION("""COMPUTED_VALUE"""),441.84)</f>
        <v>441.84</v>
      </c>
      <c r="E1852" s="1">
        <f>IFERROR(__xludf.DUMMYFUNCTION("""COMPUTED_VALUE"""),448.37)</f>
        <v>448.37</v>
      </c>
      <c r="F1852" s="1">
        <f>IFERROR(__xludf.DUMMYFUNCTION("""COMPUTED_VALUE"""),4.0576564E7)</f>
        <v>40576564</v>
      </c>
    </row>
    <row r="1853">
      <c r="A1853" s="2">
        <f>IFERROR(__xludf.DUMMYFUNCTION("""COMPUTED_VALUE"""),34072.666666666664)</f>
        <v>34072.66667</v>
      </c>
      <c r="B1853" s="1">
        <f>IFERROR(__xludf.DUMMYFUNCTION("""COMPUTED_VALUE"""),448.41)</f>
        <v>448.41</v>
      </c>
      <c r="C1853" s="1">
        <f>IFERROR(__xludf.DUMMYFUNCTION("""COMPUTED_VALUE"""),450.4)</f>
        <v>450.4</v>
      </c>
      <c r="D1853" s="1">
        <f>IFERROR(__xludf.DUMMYFUNCTION("""COMPUTED_VALUE"""),447.66)</f>
        <v>447.66</v>
      </c>
      <c r="E1853" s="1">
        <f>IFERROR(__xludf.DUMMYFUNCTION("""COMPUTED_VALUE"""),449.22)</f>
        <v>449.22</v>
      </c>
      <c r="F1853" s="1">
        <f>IFERROR(__xludf.DUMMYFUNCTION("""COMPUTED_VALUE"""),4.4795312E7)</f>
        <v>44795312</v>
      </c>
    </row>
    <row r="1854">
      <c r="A1854" s="2">
        <f>IFERROR(__xludf.DUMMYFUNCTION("""COMPUTED_VALUE"""),34073.666666666664)</f>
        <v>34073.66667</v>
      </c>
      <c r="B1854" s="1">
        <f>IFERROR(__xludf.DUMMYFUNCTION("""COMPUTED_VALUE"""),449.22)</f>
        <v>449.22</v>
      </c>
      <c r="C1854" s="1">
        <f>IFERROR(__xludf.DUMMYFUNCTION("""COMPUTED_VALUE"""),450.0)</f>
        <v>450</v>
      </c>
      <c r="D1854" s="1">
        <f>IFERROR(__xludf.DUMMYFUNCTION("""COMPUTED_VALUE"""),448.02)</f>
        <v>448.02</v>
      </c>
      <c r="E1854" s="1">
        <f>IFERROR(__xludf.DUMMYFUNCTION("""COMPUTED_VALUE"""),448.66)</f>
        <v>448.66</v>
      </c>
      <c r="F1854" s="1">
        <f>IFERROR(__xludf.DUMMYFUNCTION("""COMPUTED_VALUE"""),4.0209376E7)</f>
        <v>40209376</v>
      </c>
    </row>
    <row r="1855">
      <c r="A1855" s="2">
        <f>IFERROR(__xludf.DUMMYFUNCTION("""COMPUTED_VALUE"""),34074.666666666664)</f>
        <v>34074.66667</v>
      </c>
      <c r="B1855" s="1">
        <f>IFERROR(__xludf.DUMMYFUNCTION("""COMPUTED_VALUE"""),448.6)</f>
        <v>448.6</v>
      </c>
      <c r="C1855" s="1">
        <f>IFERROR(__xludf.DUMMYFUNCTION("""COMPUTED_VALUE"""),449.11)</f>
        <v>449.11</v>
      </c>
      <c r="D1855" s="1">
        <f>IFERROR(__xludf.DUMMYFUNCTION("""COMPUTED_VALUE"""),446.39)</f>
        <v>446.39</v>
      </c>
      <c r="E1855" s="1">
        <f>IFERROR(__xludf.DUMMYFUNCTION("""COMPUTED_VALUE"""),448.4)</f>
        <v>448.4</v>
      </c>
      <c r="F1855" s="1">
        <f>IFERROR(__xludf.DUMMYFUNCTION("""COMPUTED_VALUE"""),4.0546876E7)</f>
        <v>40546876</v>
      </c>
    </row>
    <row r="1856">
      <c r="A1856" s="2">
        <f>IFERROR(__xludf.DUMMYFUNCTION("""COMPUTED_VALUE"""),34075.666666666664)</f>
        <v>34075.66667</v>
      </c>
      <c r="B1856" s="1">
        <f>IFERROR(__xludf.DUMMYFUNCTION("""COMPUTED_VALUE"""),448.41)</f>
        <v>448.41</v>
      </c>
      <c r="C1856" s="1">
        <f>IFERROR(__xludf.DUMMYFUNCTION("""COMPUTED_VALUE"""),449.39)</f>
        <v>449.39</v>
      </c>
      <c r="D1856" s="1">
        <f>IFERROR(__xludf.DUMMYFUNCTION("""COMPUTED_VALUE"""),447.67)</f>
        <v>447.67</v>
      </c>
      <c r="E1856" s="1">
        <f>IFERROR(__xludf.DUMMYFUNCTION("""COMPUTED_VALUE"""),448.94)</f>
        <v>448.94</v>
      </c>
      <c r="F1856" s="1">
        <f>IFERROR(__xludf.DUMMYFUNCTION("""COMPUTED_VALUE"""),4.7681248E7)</f>
        <v>47681248</v>
      </c>
    </row>
    <row r="1857">
      <c r="A1857" s="2">
        <f>IFERROR(__xludf.DUMMYFUNCTION("""COMPUTED_VALUE"""),34078.666666666664)</f>
        <v>34078.66667</v>
      </c>
      <c r="B1857" s="1">
        <f>IFERROR(__xludf.DUMMYFUNCTION("""COMPUTED_VALUE"""),448.94)</f>
        <v>448.94</v>
      </c>
      <c r="C1857" s="1">
        <f>IFERROR(__xludf.DUMMYFUNCTION("""COMPUTED_VALUE"""),449.14)</f>
        <v>449.14</v>
      </c>
      <c r="D1857" s="1">
        <f>IFERROR(__xludf.DUMMYFUNCTION("""COMPUTED_VALUE"""),445.85)</f>
        <v>445.85</v>
      </c>
      <c r="E1857" s="1">
        <f>IFERROR(__xludf.DUMMYFUNCTION("""COMPUTED_VALUE"""),447.46)</f>
        <v>447.46</v>
      </c>
      <c r="F1857" s="1">
        <f>IFERROR(__xludf.DUMMYFUNCTION("""COMPUTED_VALUE"""),3.8235936E7)</f>
        <v>38235936</v>
      </c>
    </row>
    <row r="1858">
      <c r="A1858" s="2">
        <f>IFERROR(__xludf.DUMMYFUNCTION("""COMPUTED_VALUE"""),34079.666666666664)</f>
        <v>34079.66667</v>
      </c>
      <c r="B1858" s="1">
        <f>IFERROR(__xludf.DUMMYFUNCTION("""COMPUTED_VALUE"""),447.46)</f>
        <v>447.46</v>
      </c>
      <c r="C1858" s="1">
        <f>IFERROR(__xludf.DUMMYFUNCTION("""COMPUTED_VALUE"""),447.46)</f>
        <v>447.46</v>
      </c>
      <c r="D1858" s="1">
        <f>IFERROR(__xludf.DUMMYFUNCTION("""COMPUTED_VALUE"""),441.81)</f>
        <v>441.81</v>
      </c>
      <c r="E1858" s="1">
        <f>IFERROR(__xludf.DUMMYFUNCTION("""COMPUTED_VALUE"""),445.1)</f>
        <v>445.1</v>
      </c>
      <c r="F1858" s="1">
        <f>IFERROR(__xludf.DUMMYFUNCTION("""COMPUTED_VALUE"""),4.9685936E7)</f>
        <v>49685936</v>
      </c>
    </row>
    <row r="1859">
      <c r="A1859" s="2">
        <f>IFERROR(__xludf.DUMMYFUNCTION("""COMPUTED_VALUE"""),34080.666666666664)</f>
        <v>34080.66667</v>
      </c>
      <c r="B1859" s="1">
        <f>IFERROR(__xludf.DUMMYFUNCTION("""COMPUTED_VALUE"""),445.09)</f>
        <v>445.09</v>
      </c>
      <c r="C1859" s="1">
        <f>IFERROR(__xludf.DUMMYFUNCTION("""COMPUTED_VALUE"""),445.77)</f>
        <v>445.77</v>
      </c>
      <c r="D1859" s="1">
        <f>IFERROR(__xludf.DUMMYFUNCTION("""COMPUTED_VALUE"""),443.08)</f>
        <v>443.08</v>
      </c>
      <c r="E1859" s="1">
        <f>IFERROR(__xludf.DUMMYFUNCTION("""COMPUTED_VALUE"""),443.63)</f>
        <v>443.63</v>
      </c>
      <c r="F1859" s="1">
        <f>IFERROR(__xludf.DUMMYFUNCTION("""COMPUTED_VALUE"""),4.4890624E7)</f>
        <v>44890624</v>
      </c>
    </row>
    <row r="1860">
      <c r="A1860" s="2">
        <f>IFERROR(__xludf.DUMMYFUNCTION("""COMPUTED_VALUE"""),34081.666666666664)</f>
        <v>34081.66667</v>
      </c>
      <c r="B1860" s="1">
        <f>IFERROR(__xludf.DUMMYFUNCTION("""COMPUTED_VALUE"""),443.55)</f>
        <v>443.55</v>
      </c>
      <c r="C1860" s="1">
        <f>IFERROR(__xludf.DUMMYFUNCTION("""COMPUTED_VALUE"""),445.73)</f>
        <v>445.73</v>
      </c>
      <c r="D1860" s="1">
        <f>IFERROR(__xludf.DUMMYFUNCTION("""COMPUTED_VALUE"""),439.46)</f>
        <v>439.46</v>
      </c>
      <c r="E1860" s="1">
        <f>IFERROR(__xludf.DUMMYFUNCTION("""COMPUTED_VALUE"""),439.46)</f>
        <v>439.46</v>
      </c>
      <c r="F1860" s="1">
        <f>IFERROR(__xludf.DUMMYFUNCTION("""COMPUTED_VALUE"""),4.8498436E7)</f>
        <v>48498436</v>
      </c>
    </row>
    <row r="1861">
      <c r="A1861" s="2">
        <f>IFERROR(__xludf.DUMMYFUNCTION("""COMPUTED_VALUE"""),34082.666666666664)</f>
        <v>34082.66667</v>
      </c>
      <c r="B1861" s="1">
        <f>IFERROR(__xludf.DUMMYFUNCTION("""COMPUTED_VALUE"""),439.49)</f>
        <v>439.49</v>
      </c>
      <c r="C1861" s="1">
        <f>IFERROR(__xludf.DUMMYFUNCTION("""COMPUTED_VALUE"""),439.49)</f>
        <v>439.49</v>
      </c>
      <c r="D1861" s="1">
        <f>IFERROR(__xludf.DUMMYFUNCTION("""COMPUTED_VALUE"""),436.82)</f>
        <v>436.82</v>
      </c>
      <c r="E1861" s="1">
        <f>IFERROR(__xludf.DUMMYFUNCTION("""COMPUTED_VALUE"""),437.03)</f>
        <v>437.03</v>
      </c>
      <c r="F1861" s="1">
        <f>IFERROR(__xludf.DUMMYFUNCTION("""COMPUTED_VALUE"""),4.0595312E7)</f>
        <v>40595312</v>
      </c>
    </row>
    <row r="1862">
      <c r="A1862" s="2">
        <f>IFERROR(__xludf.DUMMYFUNCTION("""COMPUTED_VALUE"""),34085.666666666664)</f>
        <v>34085.66667</v>
      </c>
      <c r="B1862" s="1">
        <f>IFERROR(__xludf.DUMMYFUNCTION("""COMPUTED_VALUE"""),437.03)</f>
        <v>437.03</v>
      </c>
      <c r="C1862" s="1">
        <f>IFERROR(__xludf.DUMMYFUNCTION("""COMPUTED_VALUE"""),438.35)</f>
        <v>438.35</v>
      </c>
      <c r="D1862" s="1">
        <f>IFERROR(__xludf.DUMMYFUNCTION("""COMPUTED_VALUE"""),432.3)</f>
        <v>432.3</v>
      </c>
      <c r="E1862" s="1">
        <f>IFERROR(__xludf.DUMMYFUNCTION("""COMPUTED_VALUE"""),433.54)</f>
        <v>433.54</v>
      </c>
      <c r="F1862" s="1">
        <f>IFERROR(__xludf.DUMMYFUNCTION("""COMPUTED_VALUE"""),4.4259376E7)</f>
        <v>44259376</v>
      </c>
    </row>
    <row r="1863">
      <c r="A1863" s="2">
        <f>IFERROR(__xludf.DUMMYFUNCTION("""COMPUTED_VALUE"""),34086.666666666664)</f>
        <v>34086.66667</v>
      </c>
      <c r="B1863" s="1">
        <f>IFERROR(__xludf.DUMMYFUNCTION("""COMPUTED_VALUE"""),433.52)</f>
        <v>433.52</v>
      </c>
      <c r="C1863" s="1">
        <f>IFERROR(__xludf.DUMMYFUNCTION("""COMPUTED_VALUE"""),438.02)</f>
        <v>438.02</v>
      </c>
      <c r="D1863" s="1">
        <f>IFERROR(__xludf.DUMMYFUNCTION("""COMPUTED_VALUE"""),433.14)</f>
        <v>433.14</v>
      </c>
      <c r="E1863" s="1">
        <f>IFERROR(__xludf.DUMMYFUNCTION("""COMPUTED_VALUE"""),438.01)</f>
        <v>438.01</v>
      </c>
      <c r="F1863" s="1">
        <f>IFERROR(__xludf.DUMMYFUNCTION("""COMPUTED_VALUE"""),4.4396876E7)</f>
        <v>44396876</v>
      </c>
    </row>
    <row r="1864">
      <c r="A1864" s="2">
        <f>IFERROR(__xludf.DUMMYFUNCTION("""COMPUTED_VALUE"""),34087.666666666664)</f>
        <v>34087.66667</v>
      </c>
      <c r="B1864" s="1">
        <f>IFERROR(__xludf.DUMMYFUNCTION("""COMPUTED_VALUE"""),438.01)</f>
        <v>438.01</v>
      </c>
      <c r="C1864" s="1">
        <f>IFERROR(__xludf.DUMMYFUNCTION("""COMPUTED_VALUE"""),438.8)</f>
        <v>438.8</v>
      </c>
      <c r="D1864" s="1">
        <f>IFERROR(__xludf.DUMMYFUNCTION("""COMPUTED_VALUE"""),436.68)</f>
        <v>436.68</v>
      </c>
      <c r="E1864" s="1">
        <f>IFERROR(__xludf.DUMMYFUNCTION("""COMPUTED_VALUE"""),438.02)</f>
        <v>438.02</v>
      </c>
      <c r="F1864" s="1">
        <f>IFERROR(__xludf.DUMMYFUNCTION("""COMPUTED_VALUE"""),4.1871876E7)</f>
        <v>41871876</v>
      </c>
    </row>
    <row r="1865">
      <c r="A1865" s="2">
        <f>IFERROR(__xludf.DUMMYFUNCTION("""COMPUTED_VALUE"""),34088.666666666664)</f>
        <v>34088.66667</v>
      </c>
      <c r="B1865" s="1">
        <f>IFERROR(__xludf.DUMMYFUNCTION("""COMPUTED_VALUE"""),438.02)</f>
        <v>438.02</v>
      </c>
      <c r="C1865" s="1">
        <f>IFERROR(__xludf.DUMMYFUNCTION("""COMPUTED_VALUE"""),438.96)</f>
        <v>438.96</v>
      </c>
      <c r="D1865" s="1">
        <f>IFERROR(__xludf.DUMMYFUNCTION("""COMPUTED_VALUE"""),435.59)</f>
        <v>435.59</v>
      </c>
      <c r="E1865" s="1">
        <f>IFERROR(__xludf.DUMMYFUNCTION("""COMPUTED_VALUE"""),438.89)</f>
        <v>438.89</v>
      </c>
      <c r="F1865" s="1">
        <f>IFERROR(__xludf.DUMMYFUNCTION("""COMPUTED_VALUE"""),3.9025E7)</f>
        <v>39025000</v>
      </c>
    </row>
    <row r="1866">
      <c r="A1866" s="2">
        <f>IFERROR(__xludf.DUMMYFUNCTION("""COMPUTED_VALUE"""),34089.666666666664)</f>
        <v>34089.66667</v>
      </c>
      <c r="B1866" s="1">
        <f>IFERROR(__xludf.DUMMYFUNCTION("""COMPUTED_VALUE"""),438.89)</f>
        <v>438.89</v>
      </c>
      <c r="C1866" s="1">
        <f>IFERROR(__xludf.DUMMYFUNCTION("""COMPUTED_VALUE"""),442.29)</f>
        <v>442.29</v>
      </c>
      <c r="D1866" s="1">
        <f>IFERROR(__xludf.DUMMYFUNCTION("""COMPUTED_VALUE"""),438.89)</f>
        <v>438.89</v>
      </c>
      <c r="E1866" s="1">
        <f>IFERROR(__xludf.DUMMYFUNCTION("""COMPUTED_VALUE"""),440.19)</f>
        <v>440.19</v>
      </c>
      <c r="F1866" s="1">
        <f>IFERROR(__xludf.DUMMYFUNCTION("""COMPUTED_VALUE"""),3.8665624E7)</f>
        <v>38665624</v>
      </c>
    </row>
    <row r="1867">
      <c r="A1867" s="2">
        <f>IFERROR(__xludf.DUMMYFUNCTION("""COMPUTED_VALUE"""),34092.666666666664)</f>
        <v>34092.66667</v>
      </c>
      <c r="B1867" s="1">
        <f>IFERROR(__xludf.DUMMYFUNCTION("""COMPUTED_VALUE"""),440.19)</f>
        <v>440.19</v>
      </c>
      <c r="C1867" s="1">
        <f>IFERROR(__xludf.DUMMYFUNCTION("""COMPUTED_VALUE"""),442.59)</f>
        <v>442.59</v>
      </c>
      <c r="D1867" s="1">
        <f>IFERROR(__xludf.DUMMYFUNCTION("""COMPUTED_VALUE"""),438.25)</f>
        <v>438.25</v>
      </c>
      <c r="E1867" s="1">
        <f>IFERROR(__xludf.DUMMYFUNCTION("""COMPUTED_VALUE"""),442.46)</f>
        <v>442.46</v>
      </c>
      <c r="F1867" s="1">
        <f>IFERROR(__xludf.DUMMYFUNCTION("""COMPUTED_VALUE"""),3.5151564E7)</f>
        <v>35151564</v>
      </c>
    </row>
    <row r="1868">
      <c r="A1868" s="2">
        <f>IFERROR(__xludf.DUMMYFUNCTION("""COMPUTED_VALUE"""),34093.666666666664)</f>
        <v>34093.66667</v>
      </c>
      <c r="B1868" s="1">
        <f>IFERROR(__xludf.DUMMYFUNCTION("""COMPUTED_VALUE"""),442.58)</f>
        <v>442.58</v>
      </c>
      <c r="C1868" s="1">
        <f>IFERROR(__xludf.DUMMYFUNCTION("""COMPUTED_VALUE"""),445.19)</f>
        <v>445.19</v>
      </c>
      <c r="D1868" s="1">
        <f>IFERROR(__xludf.DUMMYFUNCTION("""COMPUTED_VALUE"""),442.45)</f>
        <v>442.45</v>
      </c>
      <c r="E1868" s="1">
        <f>IFERROR(__xludf.DUMMYFUNCTION("""COMPUTED_VALUE"""),444.05)</f>
        <v>444.05</v>
      </c>
      <c r="F1868" s="1">
        <f>IFERROR(__xludf.DUMMYFUNCTION("""COMPUTED_VALUE"""),4.1923436E7)</f>
        <v>41923436</v>
      </c>
    </row>
    <row r="1869">
      <c r="A1869" s="2">
        <f>IFERROR(__xludf.DUMMYFUNCTION("""COMPUTED_VALUE"""),34094.666666666664)</f>
        <v>34094.66667</v>
      </c>
      <c r="B1869" s="1">
        <f>IFERROR(__xludf.DUMMYFUNCTION("""COMPUTED_VALUE"""),443.98)</f>
        <v>443.98</v>
      </c>
      <c r="C1869" s="1">
        <f>IFERROR(__xludf.DUMMYFUNCTION("""COMPUTED_VALUE"""),446.09)</f>
        <v>446.09</v>
      </c>
      <c r="D1869" s="1">
        <f>IFERROR(__xludf.DUMMYFUNCTION("""COMPUTED_VALUE"""),443.76)</f>
        <v>443.76</v>
      </c>
      <c r="E1869" s="1">
        <f>IFERROR(__xludf.DUMMYFUNCTION("""COMPUTED_VALUE"""),444.52)</f>
        <v>444.52</v>
      </c>
      <c r="F1869" s="1">
        <f>IFERROR(__xludf.DUMMYFUNCTION("""COMPUTED_VALUE"""),4.285E7)</f>
        <v>42850000</v>
      </c>
    </row>
    <row r="1870">
      <c r="A1870" s="2">
        <f>IFERROR(__xludf.DUMMYFUNCTION("""COMPUTED_VALUE"""),34095.666666666664)</f>
        <v>34095.66667</v>
      </c>
      <c r="B1870" s="1">
        <f>IFERROR(__xludf.DUMMYFUNCTION("""COMPUTED_VALUE"""),444.6)</f>
        <v>444.6</v>
      </c>
      <c r="C1870" s="1">
        <f>IFERROR(__xludf.DUMMYFUNCTION("""COMPUTED_VALUE"""),444.81)</f>
        <v>444.81</v>
      </c>
      <c r="D1870" s="1">
        <f>IFERROR(__xludf.DUMMYFUNCTION("""COMPUTED_VALUE"""),442.9)</f>
        <v>442.9</v>
      </c>
      <c r="E1870" s="1">
        <f>IFERROR(__xludf.DUMMYFUNCTION("""COMPUTED_VALUE"""),443.26)</f>
        <v>443.26</v>
      </c>
      <c r="F1870" s="1">
        <f>IFERROR(__xludf.DUMMYFUNCTION("""COMPUTED_VALUE"""),3.9915624E7)</f>
        <v>39915624</v>
      </c>
    </row>
    <row r="1871">
      <c r="A1871" s="2">
        <f>IFERROR(__xludf.DUMMYFUNCTION("""COMPUTED_VALUE"""),34096.666666666664)</f>
        <v>34096.66667</v>
      </c>
      <c r="B1871" s="1">
        <f>IFERROR(__xludf.DUMMYFUNCTION("""COMPUTED_VALUE"""),443.28)</f>
        <v>443.28</v>
      </c>
      <c r="C1871" s="1">
        <f>IFERROR(__xludf.DUMMYFUNCTION("""COMPUTED_VALUE"""),443.7)</f>
        <v>443.7</v>
      </c>
      <c r="D1871" s="1">
        <f>IFERROR(__xludf.DUMMYFUNCTION("""COMPUTED_VALUE"""),441.69)</f>
        <v>441.69</v>
      </c>
      <c r="E1871" s="1">
        <f>IFERROR(__xludf.DUMMYFUNCTION("""COMPUTED_VALUE"""),442.31)</f>
        <v>442.31</v>
      </c>
      <c r="F1871" s="1">
        <f>IFERROR(__xludf.DUMMYFUNCTION("""COMPUTED_VALUE"""),3.4932812E7)</f>
        <v>34932812</v>
      </c>
    </row>
    <row r="1872">
      <c r="A1872" s="2">
        <f>IFERROR(__xludf.DUMMYFUNCTION("""COMPUTED_VALUE"""),34099.666666666664)</f>
        <v>34099.66667</v>
      </c>
      <c r="B1872" s="1">
        <f>IFERROR(__xludf.DUMMYFUNCTION("""COMPUTED_VALUE"""),442.34)</f>
        <v>442.34</v>
      </c>
      <c r="C1872" s="1">
        <f>IFERROR(__xludf.DUMMYFUNCTION("""COMPUTED_VALUE"""),445.42)</f>
        <v>445.42</v>
      </c>
      <c r="D1872" s="1">
        <f>IFERROR(__xludf.DUMMYFUNCTION("""COMPUTED_VALUE"""),442.05)</f>
        <v>442.05</v>
      </c>
      <c r="E1872" s="1">
        <f>IFERROR(__xludf.DUMMYFUNCTION("""COMPUTED_VALUE"""),442.8)</f>
        <v>442.8</v>
      </c>
      <c r="F1872" s="1">
        <f>IFERROR(__xludf.DUMMYFUNCTION("""COMPUTED_VALUE"""),3.6809376E7)</f>
        <v>36809376</v>
      </c>
    </row>
    <row r="1873">
      <c r="A1873" s="2">
        <f>IFERROR(__xludf.DUMMYFUNCTION("""COMPUTED_VALUE"""),34100.666666666664)</f>
        <v>34100.66667</v>
      </c>
      <c r="B1873" s="1">
        <f>IFERROR(__xludf.DUMMYFUNCTION("""COMPUTED_VALUE"""),442.8)</f>
        <v>442.8</v>
      </c>
      <c r="C1873" s="1">
        <f>IFERROR(__xludf.DUMMYFUNCTION("""COMPUTED_VALUE"""),444.57)</f>
        <v>444.57</v>
      </c>
      <c r="D1873" s="1">
        <f>IFERROR(__xludf.DUMMYFUNCTION("""COMPUTED_VALUE"""),441.52)</f>
        <v>441.52</v>
      </c>
      <c r="E1873" s="1">
        <f>IFERROR(__xludf.DUMMYFUNCTION("""COMPUTED_VALUE"""),444.36)</f>
        <v>444.36</v>
      </c>
      <c r="F1873" s="1">
        <f>IFERROR(__xludf.DUMMYFUNCTION("""COMPUTED_VALUE"""),3.41375E7)</f>
        <v>34137500</v>
      </c>
    </row>
    <row r="1874">
      <c r="A1874" s="2">
        <f>IFERROR(__xludf.DUMMYFUNCTION("""COMPUTED_VALUE"""),34101.666666666664)</f>
        <v>34101.66667</v>
      </c>
      <c r="B1874" s="1">
        <f>IFERROR(__xludf.DUMMYFUNCTION("""COMPUTED_VALUE"""),444.32)</f>
        <v>444.32</v>
      </c>
      <c r="C1874" s="1">
        <f>IFERROR(__xludf.DUMMYFUNCTION("""COMPUTED_VALUE"""),445.16)</f>
        <v>445.16</v>
      </c>
      <c r="D1874" s="1">
        <f>IFERROR(__xludf.DUMMYFUNCTION("""COMPUTED_VALUE"""),442.87)</f>
        <v>442.87</v>
      </c>
      <c r="E1874" s="1">
        <f>IFERROR(__xludf.DUMMYFUNCTION("""COMPUTED_VALUE"""),444.8)</f>
        <v>444.8</v>
      </c>
      <c r="F1874" s="1">
        <f>IFERROR(__xludf.DUMMYFUNCTION("""COMPUTED_VALUE"""),3.995E7)</f>
        <v>39950000</v>
      </c>
    </row>
    <row r="1875">
      <c r="A1875" s="2">
        <f>IFERROR(__xludf.DUMMYFUNCTION("""COMPUTED_VALUE"""),34102.666666666664)</f>
        <v>34102.66667</v>
      </c>
      <c r="B1875" s="1">
        <f>IFERROR(__xludf.DUMMYFUNCTION("""COMPUTED_VALUE"""),444.75)</f>
        <v>444.75</v>
      </c>
      <c r="C1875" s="1">
        <f>IFERROR(__xludf.DUMMYFUNCTION("""COMPUTED_VALUE"""),444.75)</f>
        <v>444.75</v>
      </c>
      <c r="D1875" s="1">
        <f>IFERROR(__xludf.DUMMYFUNCTION("""COMPUTED_VALUE"""),439.23)</f>
        <v>439.23</v>
      </c>
      <c r="E1875" s="1">
        <f>IFERROR(__xludf.DUMMYFUNCTION("""COMPUTED_VALUE"""),439.23)</f>
        <v>439.23</v>
      </c>
      <c r="F1875" s="1">
        <f>IFERROR(__xludf.DUMMYFUNCTION("""COMPUTED_VALUE"""),4.5925E7)</f>
        <v>45925000</v>
      </c>
    </row>
    <row r="1876">
      <c r="A1876" s="2">
        <f>IFERROR(__xludf.DUMMYFUNCTION("""COMPUTED_VALUE"""),34103.666666666664)</f>
        <v>34103.66667</v>
      </c>
      <c r="B1876" s="1">
        <f>IFERROR(__xludf.DUMMYFUNCTION("""COMPUTED_VALUE"""),439.22)</f>
        <v>439.22</v>
      </c>
      <c r="C1876" s="1">
        <f>IFERROR(__xludf.DUMMYFUNCTION("""COMPUTED_VALUE"""),439.82)</f>
        <v>439.82</v>
      </c>
      <c r="D1876" s="1">
        <f>IFERROR(__xludf.DUMMYFUNCTION("""COMPUTED_VALUE"""),438.1)</f>
        <v>438.1</v>
      </c>
      <c r="E1876" s="1">
        <f>IFERROR(__xludf.DUMMYFUNCTION("""COMPUTED_VALUE"""),439.56)</f>
        <v>439.56</v>
      </c>
      <c r="F1876" s="1">
        <f>IFERROR(__xludf.DUMMYFUNCTION("""COMPUTED_VALUE"""),3.9517188E7)</f>
        <v>39517188</v>
      </c>
    </row>
    <row r="1877">
      <c r="A1877" s="2">
        <f>IFERROR(__xludf.DUMMYFUNCTION("""COMPUTED_VALUE"""),34106.666666666664)</f>
        <v>34106.66667</v>
      </c>
      <c r="B1877" s="1">
        <f>IFERROR(__xludf.DUMMYFUNCTION("""COMPUTED_VALUE"""),439.56)</f>
        <v>439.56</v>
      </c>
      <c r="C1877" s="1">
        <f>IFERROR(__xludf.DUMMYFUNCTION("""COMPUTED_VALUE"""),440.38)</f>
        <v>440.38</v>
      </c>
      <c r="D1877" s="1">
        <f>IFERROR(__xludf.DUMMYFUNCTION("""COMPUTED_VALUE"""),437.83)</f>
        <v>437.83</v>
      </c>
      <c r="E1877" s="1">
        <f>IFERROR(__xludf.DUMMYFUNCTION("""COMPUTED_VALUE"""),440.37)</f>
        <v>440.37</v>
      </c>
      <c r="F1877" s="1">
        <f>IFERROR(__xludf.DUMMYFUNCTION("""COMPUTED_VALUE"""),3.5559376E7)</f>
        <v>35559376</v>
      </c>
    </row>
    <row r="1878">
      <c r="A1878" s="2">
        <f>IFERROR(__xludf.DUMMYFUNCTION("""COMPUTED_VALUE"""),34107.666666666664)</f>
        <v>34107.66667</v>
      </c>
      <c r="B1878" s="1">
        <f>IFERROR(__xludf.DUMMYFUNCTION("""COMPUTED_VALUE"""),440.39)</f>
        <v>440.39</v>
      </c>
      <c r="C1878" s="1">
        <f>IFERROR(__xludf.DUMMYFUNCTION("""COMPUTED_VALUE"""),441.26)</f>
        <v>441.26</v>
      </c>
      <c r="D1878" s="1">
        <f>IFERROR(__xludf.DUMMYFUNCTION("""COMPUTED_VALUE"""),437.95)</f>
        <v>437.95</v>
      </c>
      <c r="E1878" s="1">
        <f>IFERROR(__xludf.DUMMYFUNCTION("""COMPUTED_VALUE"""),440.32)</f>
        <v>440.32</v>
      </c>
      <c r="F1878" s="1">
        <f>IFERROR(__xludf.DUMMYFUNCTION("""COMPUTED_VALUE"""),4.1296876E7)</f>
        <v>41296876</v>
      </c>
    </row>
    <row r="1879">
      <c r="A1879" s="2">
        <f>IFERROR(__xludf.DUMMYFUNCTION("""COMPUTED_VALUE"""),34108.666666666664)</f>
        <v>34108.66667</v>
      </c>
      <c r="B1879" s="1">
        <f>IFERROR(__xludf.DUMMYFUNCTION("""COMPUTED_VALUE"""),440.32)</f>
        <v>440.32</v>
      </c>
      <c r="C1879" s="1">
        <f>IFERROR(__xludf.DUMMYFUNCTION("""COMPUTED_VALUE"""),447.86)</f>
        <v>447.86</v>
      </c>
      <c r="D1879" s="1">
        <f>IFERROR(__xludf.DUMMYFUNCTION("""COMPUTED_VALUE"""),436.86)</f>
        <v>436.86</v>
      </c>
      <c r="E1879" s="1">
        <f>IFERROR(__xludf.DUMMYFUNCTION("""COMPUTED_VALUE"""),447.57)</f>
        <v>447.57</v>
      </c>
      <c r="F1879" s="1">
        <f>IFERROR(__xludf.DUMMYFUNCTION("""COMPUTED_VALUE"""),5.3503124E7)</f>
        <v>53503124</v>
      </c>
    </row>
    <row r="1880">
      <c r="A1880" s="2">
        <f>IFERROR(__xludf.DUMMYFUNCTION("""COMPUTED_VALUE"""),34109.666666666664)</f>
        <v>34109.66667</v>
      </c>
      <c r="B1880" s="1">
        <f>IFERROR(__xludf.DUMMYFUNCTION("""COMPUTED_VALUE"""),447.57)</f>
        <v>447.57</v>
      </c>
      <c r="C1880" s="1">
        <f>IFERROR(__xludf.DUMMYFUNCTION("""COMPUTED_VALUE"""),450.59)</f>
        <v>450.59</v>
      </c>
      <c r="D1880" s="1">
        <f>IFERROR(__xludf.DUMMYFUNCTION("""COMPUTED_VALUE"""),447.36)</f>
        <v>447.36</v>
      </c>
      <c r="E1880" s="1">
        <f>IFERROR(__xludf.DUMMYFUNCTION("""COMPUTED_VALUE"""),450.59)</f>
        <v>450.59</v>
      </c>
      <c r="F1880" s="1">
        <f>IFERROR(__xludf.DUMMYFUNCTION("""COMPUTED_VALUE"""),4.5181248E7)</f>
        <v>45181248</v>
      </c>
    </row>
    <row r="1881">
      <c r="A1881" s="2">
        <f>IFERROR(__xludf.DUMMYFUNCTION("""COMPUTED_VALUE"""),34110.666666666664)</f>
        <v>34110.66667</v>
      </c>
      <c r="B1881" s="1">
        <f>IFERROR(__xludf.DUMMYFUNCTION("""COMPUTED_VALUE"""),450.59)</f>
        <v>450.59</v>
      </c>
      <c r="C1881" s="1">
        <f>IFERROR(__xludf.DUMMYFUNCTION("""COMPUTED_VALUE"""),450.59)</f>
        <v>450.59</v>
      </c>
      <c r="D1881" s="1">
        <f>IFERROR(__xludf.DUMMYFUNCTION("""COMPUTED_VALUE"""),444.89)</f>
        <v>444.89</v>
      </c>
      <c r="E1881" s="1">
        <f>IFERROR(__xludf.DUMMYFUNCTION("""COMPUTED_VALUE"""),445.84)</f>
        <v>445.84</v>
      </c>
      <c r="F1881" s="1">
        <f>IFERROR(__xludf.DUMMYFUNCTION("""COMPUTED_VALUE"""),4.36125E7)</f>
        <v>43612500</v>
      </c>
    </row>
    <row r="1882">
      <c r="A1882" s="2">
        <f>IFERROR(__xludf.DUMMYFUNCTION("""COMPUTED_VALUE"""),34113.666666666664)</f>
        <v>34113.66667</v>
      </c>
      <c r="B1882" s="1">
        <f>IFERROR(__xludf.DUMMYFUNCTION("""COMPUTED_VALUE"""),445.84)</f>
        <v>445.84</v>
      </c>
      <c r="C1882" s="1">
        <f>IFERROR(__xludf.DUMMYFUNCTION("""COMPUTED_VALUE"""),448.44)</f>
        <v>448.44</v>
      </c>
      <c r="D1882" s="1">
        <f>IFERROR(__xludf.DUMMYFUNCTION("""COMPUTED_VALUE"""),445.26)</f>
        <v>445.26</v>
      </c>
      <c r="E1882" s="1">
        <f>IFERROR(__xludf.DUMMYFUNCTION("""COMPUTED_VALUE"""),448.0)</f>
        <v>448</v>
      </c>
      <c r="F1882" s="1">
        <f>IFERROR(__xludf.DUMMYFUNCTION("""COMPUTED_VALUE"""),3.0935938E7)</f>
        <v>30935938</v>
      </c>
    </row>
    <row r="1883">
      <c r="A1883" s="2">
        <f>IFERROR(__xludf.DUMMYFUNCTION("""COMPUTED_VALUE"""),34114.666666666664)</f>
        <v>34114.66667</v>
      </c>
      <c r="B1883" s="1">
        <f>IFERROR(__xludf.DUMMYFUNCTION("""COMPUTED_VALUE"""),448.0)</f>
        <v>448</v>
      </c>
      <c r="C1883" s="1">
        <f>IFERROR(__xludf.DUMMYFUNCTION("""COMPUTED_VALUE"""),449.04)</f>
        <v>449.04</v>
      </c>
      <c r="D1883" s="1">
        <f>IFERROR(__xludf.DUMMYFUNCTION("""COMPUTED_VALUE"""),447.7)</f>
        <v>447.7</v>
      </c>
      <c r="E1883" s="1">
        <f>IFERROR(__xludf.DUMMYFUNCTION("""COMPUTED_VALUE"""),448.85)</f>
        <v>448.85</v>
      </c>
      <c r="F1883" s="1">
        <f>IFERROR(__xludf.DUMMYFUNCTION("""COMPUTED_VALUE"""),3.4701564E7)</f>
        <v>34701564</v>
      </c>
    </row>
    <row r="1884">
      <c r="A1884" s="2">
        <f>IFERROR(__xludf.DUMMYFUNCTION("""COMPUTED_VALUE"""),34115.666666666664)</f>
        <v>34115.66667</v>
      </c>
      <c r="B1884" s="1">
        <f>IFERROR(__xludf.DUMMYFUNCTION("""COMPUTED_VALUE"""),448.85)</f>
        <v>448.85</v>
      </c>
      <c r="C1884" s="1">
        <f>IFERROR(__xludf.DUMMYFUNCTION("""COMPUTED_VALUE"""),453.51)</f>
        <v>453.51</v>
      </c>
      <c r="D1884" s="1">
        <f>IFERROR(__xludf.DUMMYFUNCTION("""COMPUTED_VALUE"""),448.82)</f>
        <v>448.82</v>
      </c>
      <c r="E1884" s="1">
        <f>IFERROR(__xludf.DUMMYFUNCTION("""COMPUTED_VALUE"""),453.44)</f>
        <v>453.44</v>
      </c>
      <c r="F1884" s="1">
        <f>IFERROR(__xludf.DUMMYFUNCTION("""COMPUTED_VALUE"""),4.2848436E7)</f>
        <v>42848436</v>
      </c>
    </row>
    <row r="1885">
      <c r="A1885" s="2">
        <f>IFERROR(__xludf.DUMMYFUNCTION("""COMPUTED_VALUE"""),34116.666666666664)</f>
        <v>34116.66667</v>
      </c>
      <c r="B1885" s="1">
        <f>IFERROR(__xludf.DUMMYFUNCTION("""COMPUTED_VALUE"""),453.44)</f>
        <v>453.44</v>
      </c>
      <c r="C1885" s="1">
        <f>IFERROR(__xludf.DUMMYFUNCTION("""COMPUTED_VALUE"""),454.55)</f>
        <v>454.55</v>
      </c>
      <c r="D1885" s="1">
        <f>IFERROR(__xludf.DUMMYFUNCTION("""COMPUTED_VALUE"""),451.14)</f>
        <v>451.14</v>
      </c>
      <c r="E1885" s="1">
        <f>IFERROR(__xludf.DUMMYFUNCTION("""COMPUTED_VALUE"""),452.41)</f>
        <v>452.41</v>
      </c>
      <c r="F1885" s="1">
        <f>IFERROR(__xludf.DUMMYFUNCTION("""COMPUTED_VALUE"""),4.7001564E7)</f>
        <v>47001564</v>
      </c>
    </row>
    <row r="1886">
      <c r="A1886" s="2">
        <f>IFERROR(__xludf.DUMMYFUNCTION("""COMPUTED_VALUE"""),34117.666666666664)</f>
        <v>34117.66667</v>
      </c>
      <c r="B1886" s="1">
        <f>IFERROR(__xludf.DUMMYFUNCTION("""COMPUTED_VALUE"""),452.41)</f>
        <v>452.41</v>
      </c>
      <c r="C1886" s="1">
        <f>IFERROR(__xludf.DUMMYFUNCTION("""COMPUTED_VALUE"""),452.41)</f>
        <v>452.41</v>
      </c>
      <c r="D1886" s="1">
        <f>IFERROR(__xludf.DUMMYFUNCTION("""COMPUTED_VALUE"""),447.67)</f>
        <v>447.67</v>
      </c>
      <c r="E1886" s="1">
        <f>IFERROR(__xludf.DUMMYFUNCTION("""COMPUTED_VALUE"""),450.19)</f>
        <v>450.19</v>
      </c>
      <c r="F1886" s="1">
        <f>IFERROR(__xludf.DUMMYFUNCTION("""COMPUTED_VALUE"""),3.2471876E7)</f>
        <v>32471876</v>
      </c>
    </row>
    <row r="1887">
      <c r="A1887" s="2">
        <f>IFERROR(__xludf.DUMMYFUNCTION("""COMPUTED_VALUE"""),34121.666666666664)</f>
        <v>34121.66667</v>
      </c>
      <c r="B1887" s="1">
        <f>IFERROR(__xludf.DUMMYFUNCTION("""COMPUTED_VALUE"""),450.23)</f>
        <v>450.23</v>
      </c>
      <c r="C1887" s="1">
        <f>IFERROR(__xludf.DUMMYFUNCTION("""COMPUTED_VALUE"""),455.63)</f>
        <v>455.63</v>
      </c>
      <c r="D1887" s="1">
        <f>IFERROR(__xludf.DUMMYFUNCTION("""COMPUTED_VALUE"""),450.23)</f>
        <v>450.23</v>
      </c>
      <c r="E1887" s="1">
        <f>IFERROR(__xludf.DUMMYFUNCTION("""COMPUTED_VALUE"""),453.83)</f>
        <v>453.83</v>
      </c>
      <c r="F1887" s="1">
        <f>IFERROR(__xludf.DUMMYFUNCTION("""COMPUTED_VALUE"""),3.5889064E7)</f>
        <v>35889064</v>
      </c>
    </row>
    <row r="1888">
      <c r="A1888" s="2">
        <f>IFERROR(__xludf.DUMMYFUNCTION("""COMPUTED_VALUE"""),34122.666666666664)</f>
        <v>34122.66667</v>
      </c>
      <c r="B1888" s="1">
        <f>IFERROR(__xludf.DUMMYFUNCTION("""COMPUTED_VALUE"""),453.83)</f>
        <v>453.83</v>
      </c>
      <c r="C1888" s="1">
        <f>IFERROR(__xludf.DUMMYFUNCTION("""COMPUTED_VALUE"""),454.53)</f>
        <v>454.53</v>
      </c>
      <c r="D1888" s="1">
        <f>IFERROR(__xludf.DUMMYFUNCTION("""COMPUTED_VALUE"""),452.68)</f>
        <v>452.68</v>
      </c>
      <c r="E1888" s="1">
        <f>IFERROR(__xludf.DUMMYFUNCTION("""COMPUTED_VALUE"""),453.85)</f>
        <v>453.85</v>
      </c>
      <c r="F1888" s="1">
        <f>IFERROR(__xludf.DUMMYFUNCTION("""COMPUTED_VALUE"""),4.6181248E7)</f>
        <v>46181248</v>
      </c>
    </row>
    <row r="1889">
      <c r="A1889" s="2">
        <f>IFERROR(__xludf.DUMMYFUNCTION("""COMPUTED_VALUE"""),34123.666666666664)</f>
        <v>34123.66667</v>
      </c>
      <c r="B1889" s="1">
        <f>IFERROR(__xludf.DUMMYFUNCTION("""COMPUTED_VALUE"""),453.84)</f>
        <v>453.84</v>
      </c>
      <c r="C1889" s="1">
        <f>IFERROR(__xludf.DUMMYFUNCTION("""COMPUTED_VALUE"""),453.85)</f>
        <v>453.85</v>
      </c>
      <c r="D1889" s="1">
        <f>IFERROR(__xludf.DUMMYFUNCTION("""COMPUTED_VALUE"""),451.12)</f>
        <v>451.12</v>
      </c>
      <c r="E1889" s="1">
        <f>IFERROR(__xludf.DUMMYFUNCTION("""COMPUTED_VALUE"""),452.49)</f>
        <v>452.49</v>
      </c>
      <c r="F1889" s="1">
        <f>IFERROR(__xludf.DUMMYFUNCTION("""COMPUTED_VALUE"""),4.4620312E7)</f>
        <v>44620312</v>
      </c>
    </row>
    <row r="1890">
      <c r="A1890" s="2">
        <f>IFERROR(__xludf.DUMMYFUNCTION("""COMPUTED_VALUE"""),34124.666666666664)</f>
        <v>34124.66667</v>
      </c>
      <c r="B1890" s="1">
        <f>IFERROR(__xludf.DUMMYFUNCTION("""COMPUTED_VALUE"""),452.43)</f>
        <v>452.43</v>
      </c>
      <c r="C1890" s="1">
        <f>IFERROR(__xludf.DUMMYFUNCTION("""COMPUTED_VALUE"""),452.43)</f>
        <v>452.43</v>
      </c>
      <c r="D1890" s="1">
        <f>IFERROR(__xludf.DUMMYFUNCTION("""COMPUTED_VALUE"""),448.92)</f>
        <v>448.92</v>
      </c>
      <c r="E1890" s="1">
        <f>IFERROR(__xludf.DUMMYFUNCTION("""COMPUTED_VALUE"""),450.06)</f>
        <v>450.06</v>
      </c>
      <c r="F1890" s="1">
        <f>IFERROR(__xludf.DUMMYFUNCTION("""COMPUTED_VALUE"""),3.5381248E7)</f>
        <v>35381248</v>
      </c>
    </row>
    <row r="1891">
      <c r="A1891" s="2">
        <f>IFERROR(__xludf.DUMMYFUNCTION("""COMPUTED_VALUE"""),34127.666666666664)</f>
        <v>34127.66667</v>
      </c>
      <c r="B1891" s="1">
        <f>IFERROR(__xludf.DUMMYFUNCTION("""COMPUTED_VALUE"""),450.07)</f>
        <v>450.07</v>
      </c>
      <c r="C1891" s="1">
        <f>IFERROR(__xludf.DUMMYFUNCTION("""COMPUTED_VALUE"""),450.75)</f>
        <v>450.75</v>
      </c>
      <c r="D1891" s="1">
        <f>IFERROR(__xludf.DUMMYFUNCTION("""COMPUTED_VALUE"""),447.32)</f>
        <v>447.32</v>
      </c>
      <c r="E1891" s="1">
        <f>IFERROR(__xludf.DUMMYFUNCTION("""COMPUTED_VALUE"""),447.69)</f>
        <v>447.69</v>
      </c>
      <c r="F1891" s="1">
        <f>IFERROR(__xludf.DUMMYFUNCTION("""COMPUTED_VALUE"""),3.7018752E7)</f>
        <v>37018752</v>
      </c>
    </row>
    <row r="1892">
      <c r="A1892" s="2">
        <f>IFERROR(__xludf.DUMMYFUNCTION("""COMPUTED_VALUE"""),34128.666666666664)</f>
        <v>34128.66667</v>
      </c>
      <c r="B1892" s="1">
        <f>IFERROR(__xludf.DUMMYFUNCTION("""COMPUTED_VALUE"""),447.65)</f>
        <v>447.65</v>
      </c>
      <c r="C1892" s="1">
        <f>IFERROR(__xludf.DUMMYFUNCTION("""COMPUTED_VALUE"""),447.65)</f>
        <v>447.65</v>
      </c>
      <c r="D1892" s="1">
        <f>IFERROR(__xludf.DUMMYFUNCTION("""COMPUTED_VALUE"""),444.31)</f>
        <v>444.31</v>
      </c>
      <c r="E1892" s="1">
        <f>IFERROR(__xludf.DUMMYFUNCTION("""COMPUTED_VALUE"""),444.71)</f>
        <v>444.71</v>
      </c>
      <c r="F1892" s="1">
        <f>IFERROR(__xludf.DUMMYFUNCTION("""COMPUTED_VALUE"""),3.76E7)</f>
        <v>37600000</v>
      </c>
    </row>
    <row r="1893">
      <c r="A1893" s="2">
        <f>IFERROR(__xludf.DUMMYFUNCTION("""COMPUTED_VALUE"""),34129.666666666664)</f>
        <v>34129.66667</v>
      </c>
      <c r="B1893" s="1">
        <f>IFERROR(__xludf.DUMMYFUNCTION("""COMPUTED_VALUE"""),444.71)</f>
        <v>444.71</v>
      </c>
      <c r="C1893" s="1">
        <f>IFERROR(__xludf.DUMMYFUNCTION("""COMPUTED_VALUE"""),447.39)</f>
        <v>447.39</v>
      </c>
      <c r="D1893" s="1">
        <f>IFERROR(__xludf.DUMMYFUNCTION("""COMPUTED_VALUE"""),444.66)</f>
        <v>444.66</v>
      </c>
      <c r="E1893" s="1">
        <f>IFERROR(__xludf.DUMMYFUNCTION("""COMPUTED_VALUE"""),445.78)</f>
        <v>445.78</v>
      </c>
      <c r="F1893" s="1">
        <f>IFERROR(__xludf.DUMMYFUNCTION("""COMPUTED_VALUE"""),3.8910936E7)</f>
        <v>38910936</v>
      </c>
    </row>
    <row r="1894">
      <c r="A1894" s="2">
        <f>IFERROR(__xludf.DUMMYFUNCTION("""COMPUTED_VALUE"""),34130.666666666664)</f>
        <v>34130.66667</v>
      </c>
      <c r="B1894" s="1">
        <f>IFERROR(__xludf.DUMMYFUNCTION("""COMPUTED_VALUE"""),445.78)</f>
        <v>445.78</v>
      </c>
      <c r="C1894" s="1">
        <f>IFERROR(__xludf.DUMMYFUNCTION("""COMPUTED_VALUE"""),446.22)</f>
        <v>446.22</v>
      </c>
      <c r="D1894" s="1">
        <f>IFERROR(__xludf.DUMMYFUNCTION("""COMPUTED_VALUE"""),444.09)</f>
        <v>444.09</v>
      </c>
      <c r="E1894" s="1">
        <f>IFERROR(__xludf.DUMMYFUNCTION("""COMPUTED_VALUE"""),445.38)</f>
        <v>445.38</v>
      </c>
      <c r="F1894" s="1">
        <f>IFERROR(__xludf.DUMMYFUNCTION("""COMPUTED_VALUE"""),3.6343752E7)</f>
        <v>36343752</v>
      </c>
    </row>
    <row r="1895">
      <c r="A1895" s="2">
        <f>IFERROR(__xludf.DUMMYFUNCTION("""COMPUTED_VALUE"""),34131.666666666664)</f>
        <v>34131.66667</v>
      </c>
      <c r="B1895" s="1">
        <f>IFERROR(__xludf.DUMMYFUNCTION("""COMPUTED_VALUE"""),445.38)</f>
        <v>445.38</v>
      </c>
      <c r="C1895" s="1">
        <f>IFERROR(__xludf.DUMMYFUNCTION("""COMPUTED_VALUE"""),448.19)</f>
        <v>448.19</v>
      </c>
      <c r="D1895" s="1">
        <f>IFERROR(__xludf.DUMMYFUNCTION("""COMPUTED_VALUE"""),445.38)</f>
        <v>445.38</v>
      </c>
      <c r="E1895" s="1">
        <f>IFERROR(__xludf.DUMMYFUNCTION("""COMPUTED_VALUE"""),447.26)</f>
        <v>447.26</v>
      </c>
      <c r="F1895" s="1">
        <f>IFERROR(__xludf.DUMMYFUNCTION("""COMPUTED_VALUE"""),4.0117188E7)</f>
        <v>40117188</v>
      </c>
    </row>
    <row r="1896">
      <c r="A1896" s="2">
        <f>IFERROR(__xludf.DUMMYFUNCTION("""COMPUTED_VALUE"""),34134.666666666664)</f>
        <v>34134.66667</v>
      </c>
      <c r="B1896" s="1">
        <f>IFERROR(__xludf.DUMMYFUNCTION("""COMPUTED_VALUE"""),447.26)</f>
        <v>447.26</v>
      </c>
      <c r="C1896" s="1">
        <f>IFERROR(__xludf.DUMMYFUNCTION("""COMPUTED_VALUE"""),448.64)</f>
        <v>448.64</v>
      </c>
      <c r="D1896" s="1">
        <f>IFERROR(__xludf.DUMMYFUNCTION("""COMPUTED_VALUE"""),447.23)</f>
        <v>447.23</v>
      </c>
      <c r="E1896" s="1">
        <f>IFERROR(__xludf.DUMMYFUNCTION("""COMPUTED_VALUE"""),447.71)</f>
        <v>447.71</v>
      </c>
      <c r="F1896" s="1">
        <f>IFERROR(__xludf.DUMMYFUNCTION("""COMPUTED_VALUE"""),3.288125E7)</f>
        <v>32881250</v>
      </c>
    </row>
    <row r="1897">
      <c r="A1897" s="2">
        <f>IFERROR(__xludf.DUMMYFUNCTION("""COMPUTED_VALUE"""),34135.666666666664)</f>
        <v>34135.66667</v>
      </c>
      <c r="B1897" s="1">
        <f>IFERROR(__xludf.DUMMYFUNCTION("""COMPUTED_VALUE"""),447.73)</f>
        <v>447.73</v>
      </c>
      <c r="C1897" s="1">
        <f>IFERROR(__xludf.DUMMYFUNCTION("""COMPUTED_VALUE"""),448.28)</f>
        <v>448.28</v>
      </c>
      <c r="D1897" s="1">
        <f>IFERROR(__xludf.DUMMYFUNCTION("""COMPUTED_VALUE"""),446.18)</f>
        <v>446.18</v>
      </c>
      <c r="E1897" s="1">
        <f>IFERROR(__xludf.DUMMYFUNCTION("""COMPUTED_VALUE"""),446.27)</f>
        <v>446.27</v>
      </c>
      <c r="F1897" s="1">
        <f>IFERROR(__xludf.DUMMYFUNCTION("""COMPUTED_VALUE"""),3.6579688E7)</f>
        <v>36579688</v>
      </c>
    </row>
    <row r="1898">
      <c r="A1898" s="2">
        <f>IFERROR(__xludf.DUMMYFUNCTION("""COMPUTED_VALUE"""),34136.666666666664)</f>
        <v>34136.66667</v>
      </c>
      <c r="B1898" s="1">
        <f>IFERROR(__xludf.DUMMYFUNCTION("""COMPUTED_VALUE"""),446.27)</f>
        <v>446.27</v>
      </c>
      <c r="C1898" s="1">
        <f>IFERROR(__xludf.DUMMYFUNCTION("""COMPUTED_VALUE"""),447.43)</f>
        <v>447.43</v>
      </c>
      <c r="D1898" s="1">
        <f>IFERROR(__xludf.DUMMYFUNCTION("""COMPUTED_VALUE"""),443.61)</f>
        <v>443.61</v>
      </c>
      <c r="E1898" s="1">
        <f>IFERROR(__xludf.DUMMYFUNCTION("""COMPUTED_VALUE"""),447.43)</f>
        <v>447.43</v>
      </c>
      <c r="F1898" s="1">
        <f>IFERROR(__xludf.DUMMYFUNCTION("""COMPUTED_VALUE"""),4.1796876E7)</f>
        <v>41796876</v>
      </c>
    </row>
    <row r="1899">
      <c r="A1899" s="2">
        <f>IFERROR(__xludf.DUMMYFUNCTION("""COMPUTED_VALUE"""),34137.666666666664)</f>
        <v>34137.66667</v>
      </c>
      <c r="B1899" s="1">
        <f>IFERROR(__xludf.DUMMYFUNCTION("""COMPUTED_VALUE"""),447.43)</f>
        <v>447.43</v>
      </c>
      <c r="C1899" s="1">
        <f>IFERROR(__xludf.DUMMYFUNCTION("""COMPUTED_VALUE"""),448.98)</f>
        <v>448.98</v>
      </c>
      <c r="D1899" s="1">
        <f>IFERROR(__xludf.DUMMYFUNCTION("""COMPUTED_VALUE"""),446.91)</f>
        <v>446.91</v>
      </c>
      <c r="E1899" s="1">
        <f>IFERROR(__xludf.DUMMYFUNCTION("""COMPUTED_VALUE"""),448.54)</f>
        <v>448.54</v>
      </c>
      <c r="F1899" s="1">
        <f>IFERROR(__xludf.DUMMYFUNCTION("""COMPUTED_VALUE"""),3.7470312E7)</f>
        <v>37470312</v>
      </c>
    </row>
    <row r="1900">
      <c r="A1900" s="2">
        <f>IFERROR(__xludf.DUMMYFUNCTION("""COMPUTED_VALUE"""),34138.666666666664)</f>
        <v>34138.66667</v>
      </c>
      <c r="B1900" s="1">
        <f>IFERROR(__xludf.DUMMYFUNCTION("""COMPUTED_VALUE"""),448.54)</f>
        <v>448.54</v>
      </c>
      <c r="C1900" s="1">
        <f>IFERROR(__xludf.DUMMYFUNCTION("""COMPUTED_VALUE"""),448.59)</f>
        <v>448.59</v>
      </c>
      <c r="D1900" s="1">
        <f>IFERROR(__xludf.DUMMYFUNCTION("""COMPUTED_VALUE"""),443.68)</f>
        <v>443.68</v>
      </c>
      <c r="E1900" s="1">
        <f>IFERROR(__xludf.DUMMYFUNCTION("""COMPUTED_VALUE"""),443.68)</f>
        <v>443.68</v>
      </c>
      <c r="F1900" s="1">
        <f>IFERROR(__xludf.DUMMYFUNCTION("""COMPUTED_VALUE"""),4.6953124E7)</f>
        <v>46953124</v>
      </c>
    </row>
    <row r="1901">
      <c r="A1901" s="2">
        <f>IFERROR(__xludf.DUMMYFUNCTION("""COMPUTED_VALUE"""),34141.666666666664)</f>
        <v>34141.66667</v>
      </c>
      <c r="B1901" s="1">
        <f>IFERROR(__xludf.DUMMYFUNCTION("""COMPUTED_VALUE"""),443.68)</f>
        <v>443.68</v>
      </c>
      <c r="C1901" s="1">
        <f>IFERROR(__xludf.DUMMYFUNCTION("""COMPUTED_VALUE"""),446.22)</f>
        <v>446.22</v>
      </c>
      <c r="D1901" s="1">
        <f>IFERROR(__xludf.DUMMYFUNCTION("""COMPUTED_VALUE"""),443.68)</f>
        <v>443.68</v>
      </c>
      <c r="E1901" s="1">
        <f>IFERROR(__xludf.DUMMYFUNCTION("""COMPUTED_VALUE"""),446.22)</f>
        <v>446.22</v>
      </c>
      <c r="F1901" s="1">
        <f>IFERROR(__xludf.DUMMYFUNCTION("""COMPUTED_VALUE"""),3.4945312E7)</f>
        <v>34945312</v>
      </c>
    </row>
    <row r="1902">
      <c r="A1902" s="2">
        <f>IFERROR(__xludf.DUMMYFUNCTION("""COMPUTED_VALUE"""),34142.666666666664)</f>
        <v>34142.66667</v>
      </c>
      <c r="B1902" s="1">
        <f>IFERROR(__xludf.DUMMYFUNCTION("""COMPUTED_VALUE"""),446.25)</f>
        <v>446.25</v>
      </c>
      <c r="C1902" s="1">
        <f>IFERROR(__xludf.DUMMYFUNCTION("""COMPUTED_VALUE"""),446.29)</f>
        <v>446.29</v>
      </c>
      <c r="D1902" s="1">
        <f>IFERROR(__xludf.DUMMYFUNCTION("""COMPUTED_VALUE"""),444.94)</f>
        <v>444.94</v>
      </c>
      <c r="E1902" s="1">
        <f>IFERROR(__xludf.DUMMYFUNCTION("""COMPUTED_VALUE"""),445.93)</f>
        <v>445.93</v>
      </c>
      <c r="F1902" s="1">
        <f>IFERROR(__xludf.DUMMYFUNCTION("""COMPUTED_VALUE"""),4.0551564E7)</f>
        <v>40551564</v>
      </c>
    </row>
    <row r="1903">
      <c r="A1903" s="2">
        <f>IFERROR(__xludf.DUMMYFUNCTION("""COMPUTED_VALUE"""),34143.666666666664)</f>
        <v>34143.66667</v>
      </c>
      <c r="B1903" s="1">
        <f>IFERROR(__xludf.DUMMYFUNCTION("""COMPUTED_VALUE"""),445.96)</f>
        <v>445.96</v>
      </c>
      <c r="C1903" s="1">
        <f>IFERROR(__xludf.DUMMYFUNCTION("""COMPUTED_VALUE"""),445.96)</f>
        <v>445.96</v>
      </c>
      <c r="D1903" s="1">
        <f>IFERROR(__xludf.DUMMYFUNCTION("""COMPUTED_VALUE"""),443.19)</f>
        <v>443.19</v>
      </c>
      <c r="E1903" s="1">
        <f>IFERROR(__xludf.DUMMYFUNCTION("""COMPUTED_VALUE"""),443.19)</f>
        <v>443.19</v>
      </c>
      <c r="F1903" s="1">
        <f>IFERROR(__xludf.DUMMYFUNCTION("""COMPUTED_VALUE"""),4.3478124E7)</f>
        <v>43478124</v>
      </c>
    </row>
    <row r="1904">
      <c r="A1904" s="2">
        <f>IFERROR(__xludf.DUMMYFUNCTION("""COMPUTED_VALUE"""),34144.666666666664)</f>
        <v>34144.66667</v>
      </c>
      <c r="B1904" s="1">
        <f>IFERROR(__xludf.DUMMYFUNCTION("""COMPUTED_VALUE"""),443.04)</f>
        <v>443.04</v>
      </c>
      <c r="C1904" s="1">
        <f>IFERROR(__xludf.DUMMYFUNCTION("""COMPUTED_VALUE"""),447.21)</f>
        <v>447.21</v>
      </c>
      <c r="D1904" s="1">
        <f>IFERROR(__xludf.DUMMYFUNCTION("""COMPUTED_VALUE"""),442.5)</f>
        <v>442.5</v>
      </c>
      <c r="E1904" s="1">
        <f>IFERROR(__xludf.DUMMYFUNCTION("""COMPUTED_VALUE"""),446.62)</f>
        <v>446.62</v>
      </c>
      <c r="F1904" s="1">
        <f>IFERROR(__xludf.DUMMYFUNCTION("""COMPUTED_VALUE"""),4.1789064E7)</f>
        <v>41789064</v>
      </c>
    </row>
    <row r="1905">
      <c r="A1905" s="2">
        <f>IFERROR(__xludf.DUMMYFUNCTION("""COMPUTED_VALUE"""),34145.666666666664)</f>
        <v>34145.66667</v>
      </c>
      <c r="B1905" s="1">
        <f>IFERROR(__xludf.DUMMYFUNCTION("""COMPUTED_VALUE"""),446.62)</f>
        <v>446.62</v>
      </c>
      <c r="C1905" s="1">
        <f>IFERROR(__xludf.DUMMYFUNCTION("""COMPUTED_VALUE"""),448.64)</f>
        <v>448.64</v>
      </c>
      <c r="D1905" s="1">
        <f>IFERROR(__xludf.DUMMYFUNCTION("""COMPUTED_VALUE"""),446.62)</f>
        <v>446.62</v>
      </c>
      <c r="E1905" s="1">
        <f>IFERROR(__xludf.DUMMYFUNCTION("""COMPUTED_VALUE"""),447.6)</f>
        <v>447.6</v>
      </c>
      <c r="F1905" s="1">
        <f>IFERROR(__xludf.DUMMYFUNCTION("""COMPUTED_VALUE"""),3.2879688E7)</f>
        <v>32879688</v>
      </c>
    </row>
    <row r="1906">
      <c r="A1906" s="2">
        <f>IFERROR(__xludf.DUMMYFUNCTION("""COMPUTED_VALUE"""),34148.666666666664)</f>
        <v>34148.66667</v>
      </c>
      <c r="B1906" s="1">
        <f>IFERROR(__xludf.DUMMYFUNCTION("""COMPUTED_VALUE"""),447.6)</f>
        <v>447.6</v>
      </c>
      <c r="C1906" s="1">
        <f>IFERROR(__xludf.DUMMYFUNCTION("""COMPUTED_VALUE"""),451.9)</f>
        <v>451.9</v>
      </c>
      <c r="D1906" s="1">
        <f>IFERROR(__xludf.DUMMYFUNCTION("""COMPUTED_VALUE"""),447.6)</f>
        <v>447.6</v>
      </c>
      <c r="E1906" s="1">
        <f>IFERROR(__xludf.DUMMYFUNCTION("""COMPUTED_VALUE"""),451.85)</f>
        <v>451.85</v>
      </c>
      <c r="F1906" s="1">
        <f>IFERROR(__xludf.DUMMYFUNCTION("""COMPUTED_VALUE"""),3.7826564E7)</f>
        <v>37826564</v>
      </c>
    </row>
    <row r="1907">
      <c r="A1907" s="2">
        <f>IFERROR(__xludf.DUMMYFUNCTION("""COMPUTED_VALUE"""),34149.666666666664)</f>
        <v>34149.66667</v>
      </c>
      <c r="B1907" s="1">
        <f>IFERROR(__xludf.DUMMYFUNCTION("""COMPUTED_VALUE"""),451.89)</f>
        <v>451.89</v>
      </c>
      <c r="C1907" s="1">
        <f>IFERROR(__xludf.DUMMYFUNCTION("""COMPUTED_VALUE"""),451.9)</f>
        <v>451.9</v>
      </c>
      <c r="D1907" s="1">
        <f>IFERROR(__xludf.DUMMYFUNCTION("""COMPUTED_VALUE"""),449.67)</f>
        <v>449.67</v>
      </c>
      <c r="E1907" s="1">
        <f>IFERROR(__xludf.DUMMYFUNCTION("""COMPUTED_VALUE"""),450.69)</f>
        <v>450.69</v>
      </c>
      <c r="F1907" s="1">
        <f>IFERROR(__xludf.DUMMYFUNCTION("""COMPUTED_VALUE"""),4.3173436E7)</f>
        <v>43173436</v>
      </c>
    </row>
    <row r="1908">
      <c r="A1908" s="2">
        <f>IFERROR(__xludf.DUMMYFUNCTION("""COMPUTED_VALUE"""),34150.666666666664)</f>
        <v>34150.66667</v>
      </c>
      <c r="B1908" s="1">
        <f>IFERROR(__xludf.DUMMYFUNCTION("""COMPUTED_VALUE"""),450.69)</f>
        <v>450.69</v>
      </c>
      <c r="C1908" s="1">
        <f>IFERROR(__xludf.DUMMYFUNCTION("""COMPUTED_VALUE"""),451.47)</f>
        <v>451.47</v>
      </c>
      <c r="D1908" s="1">
        <f>IFERROR(__xludf.DUMMYFUNCTION("""COMPUTED_VALUE"""),450.15)</f>
        <v>450.15</v>
      </c>
      <c r="E1908" s="1">
        <f>IFERROR(__xludf.DUMMYFUNCTION("""COMPUTED_VALUE"""),450.53)</f>
        <v>450.53</v>
      </c>
      <c r="F1908" s="1">
        <f>IFERROR(__xludf.DUMMYFUNCTION("""COMPUTED_VALUE"""),4.3925E7)</f>
        <v>43925000</v>
      </c>
    </row>
    <row r="1909">
      <c r="A1909" s="2">
        <f>IFERROR(__xludf.DUMMYFUNCTION("""COMPUTED_VALUE"""),34151.666666666664)</f>
        <v>34151.66667</v>
      </c>
      <c r="B1909" s="1">
        <f>IFERROR(__xludf.DUMMYFUNCTION("""COMPUTED_VALUE"""),450.54)</f>
        <v>450.54</v>
      </c>
      <c r="C1909" s="1">
        <f>IFERROR(__xludf.DUMMYFUNCTION("""COMPUTED_VALUE"""),451.15)</f>
        <v>451.15</v>
      </c>
      <c r="D1909" s="1">
        <f>IFERROR(__xludf.DUMMYFUNCTION("""COMPUTED_VALUE"""),448.71)</f>
        <v>448.71</v>
      </c>
      <c r="E1909" s="1">
        <f>IFERROR(__xludf.DUMMYFUNCTION("""COMPUTED_VALUE"""),449.02)</f>
        <v>449.02</v>
      </c>
      <c r="F1909" s="1">
        <f>IFERROR(__xludf.DUMMYFUNCTION("""COMPUTED_VALUE"""),4.5631248E7)</f>
        <v>45631248</v>
      </c>
    </row>
    <row r="1910">
      <c r="A1910" s="2">
        <f>IFERROR(__xludf.DUMMYFUNCTION("""COMPUTED_VALUE"""),34152.666666666664)</f>
        <v>34152.66667</v>
      </c>
      <c r="B1910" s="1">
        <f>IFERROR(__xludf.DUMMYFUNCTION("""COMPUTED_VALUE"""),449.02)</f>
        <v>449.02</v>
      </c>
      <c r="C1910" s="1">
        <f>IFERROR(__xludf.DUMMYFUNCTION("""COMPUTED_VALUE"""),449.02)</f>
        <v>449.02</v>
      </c>
      <c r="D1910" s="1">
        <f>IFERROR(__xludf.DUMMYFUNCTION("""COMPUTED_VALUE"""),445.2)</f>
        <v>445.2</v>
      </c>
      <c r="E1910" s="1">
        <f>IFERROR(__xludf.DUMMYFUNCTION("""COMPUTED_VALUE"""),445.84)</f>
        <v>445.84</v>
      </c>
      <c r="F1910" s="1">
        <f>IFERROR(__xludf.DUMMYFUNCTION("""COMPUTED_VALUE"""),3.4492188E7)</f>
        <v>34492188</v>
      </c>
    </row>
    <row r="1911">
      <c r="A1911" s="2">
        <f>IFERROR(__xludf.DUMMYFUNCTION("""COMPUTED_VALUE"""),34156.666666666664)</f>
        <v>34156.66667</v>
      </c>
      <c r="B1911" s="1">
        <f>IFERROR(__xludf.DUMMYFUNCTION("""COMPUTED_VALUE"""),445.86)</f>
        <v>445.86</v>
      </c>
      <c r="C1911" s="1">
        <f>IFERROR(__xludf.DUMMYFUNCTION("""COMPUTED_VALUE"""),446.87)</f>
        <v>446.87</v>
      </c>
      <c r="D1911" s="1">
        <f>IFERROR(__xludf.DUMMYFUNCTION("""COMPUTED_VALUE"""),441.42)</f>
        <v>441.42</v>
      </c>
      <c r="E1911" s="1">
        <f>IFERROR(__xludf.DUMMYFUNCTION("""COMPUTED_VALUE"""),441.43)</f>
        <v>441.43</v>
      </c>
      <c r="F1911" s="1">
        <f>IFERROR(__xludf.DUMMYFUNCTION("""COMPUTED_VALUE"""),3.6689064E7)</f>
        <v>36689064</v>
      </c>
    </row>
    <row r="1912">
      <c r="A1912" s="2">
        <f>IFERROR(__xludf.DUMMYFUNCTION("""COMPUTED_VALUE"""),34157.666666666664)</f>
        <v>34157.66667</v>
      </c>
      <c r="B1912" s="1">
        <f>IFERROR(__xludf.DUMMYFUNCTION("""COMPUTED_VALUE"""),441.4)</f>
        <v>441.4</v>
      </c>
      <c r="C1912" s="1">
        <f>IFERROR(__xludf.DUMMYFUNCTION("""COMPUTED_VALUE"""),443.63)</f>
        <v>443.63</v>
      </c>
      <c r="D1912" s="1">
        <f>IFERROR(__xludf.DUMMYFUNCTION("""COMPUTED_VALUE"""),441.4)</f>
        <v>441.4</v>
      </c>
      <c r="E1912" s="1">
        <f>IFERROR(__xludf.DUMMYFUNCTION("""COMPUTED_VALUE"""),442.83)</f>
        <v>442.83</v>
      </c>
      <c r="F1912" s="1">
        <f>IFERROR(__xludf.DUMMYFUNCTION("""COMPUTED_VALUE"""),3.9557812E7)</f>
        <v>39557812</v>
      </c>
    </row>
    <row r="1913">
      <c r="A1913" s="2">
        <f>IFERROR(__xludf.DUMMYFUNCTION("""COMPUTED_VALUE"""),34158.666666666664)</f>
        <v>34158.66667</v>
      </c>
      <c r="B1913" s="1">
        <f>IFERROR(__xludf.DUMMYFUNCTION("""COMPUTED_VALUE"""),442.84)</f>
        <v>442.84</v>
      </c>
      <c r="C1913" s="1">
        <f>IFERROR(__xludf.DUMMYFUNCTION("""COMPUTED_VALUE"""),448.64)</f>
        <v>448.64</v>
      </c>
      <c r="D1913" s="1">
        <f>IFERROR(__xludf.DUMMYFUNCTION("""COMPUTED_VALUE"""),442.84)</f>
        <v>442.84</v>
      </c>
      <c r="E1913" s="1">
        <f>IFERROR(__xludf.DUMMYFUNCTION("""COMPUTED_VALUE"""),448.64)</f>
        <v>448.64</v>
      </c>
      <c r="F1913" s="1">
        <f>IFERROR(__xludf.DUMMYFUNCTION("""COMPUTED_VALUE"""),4.4204688E7)</f>
        <v>44204688</v>
      </c>
    </row>
    <row r="1914">
      <c r="A1914" s="2">
        <f>IFERROR(__xludf.DUMMYFUNCTION("""COMPUTED_VALUE"""),34159.666666666664)</f>
        <v>34159.66667</v>
      </c>
      <c r="B1914" s="1">
        <f>IFERROR(__xludf.DUMMYFUNCTION("""COMPUTED_VALUE"""),448.64)</f>
        <v>448.64</v>
      </c>
      <c r="C1914" s="1">
        <f>IFERROR(__xludf.DUMMYFUNCTION("""COMPUTED_VALUE"""),448.94)</f>
        <v>448.94</v>
      </c>
      <c r="D1914" s="1">
        <f>IFERROR(__xludf.DUMMYFUNCTION("""COMPUTED_VALUE"""),446.74)</f>
        <v>446.74</v>
      </c>
      <c r="E1914" s="1">
        <f>IFERROR(__xludf.DUMMYFUNCTION("""COMPUTED_VALUE"""),448.11)</f>
        <v>448.11</v>
      </c>
      <c r="F1914" s="1">
        <f>IFERROR(__xludf.DUMMYFUNCTION("""COMPUTED_VALUE"""),3.6751564E7)</f>
        <v>36751564</v>
      </c>
    </row>
    <row r="1915">
      <c r="A1915" s="2">
        <f>IFERROR(__xludf.DUMMYFUNCTION("""COMPUTED_VALUE"""),34162.666666666664)</f>
        <v>34162.66667</v>
      </c>
      <c r="B1915" s="1">
        <f>IFERROR(__xludf.DUMMYFUNCTION("""COMPUTED_VALUE"""),448.13)</f>
        <v>448.13</v>
      </c>
      <c r="C1915" s="1">
        <f>IFERROR(__xludf.DUMMYFUNCTION("""COMPUTED_VALUE"""),449.11)</f>
        <v>449.11</v>
      </c>
      <c r="D1915" s="1">
        <f>IFERROR(__xludf.DUMMYFUNCTION("""COMPUTED_VALUE"""),447.71)</f>
        <v>447.71</v>
      </c>
      <c r="E1915" s="1">
        <f>IFERROR(__xludf.DUMMYFUNCTION("""COMPUTED_VALUE"""),448.98)</f>
        <v>448.98</v>
      </c>
      <c r="F1915" s="1">
        <f>IFERROR(__xludf.DUMMYFUNCTION("""COMPUTED_VALUE"""),3.1610938E7)</f>
        <v>31610938</v>
      </c>
    </row>
    <row r="1916">
      <c r="A1916" s="2">
        <f>IFERROR(__xludf.DUMMYFUNCTION("""COMPUTED_VALUE"""),34163.666666666664)</f>
        <v>34163.66667</v>
      </c>
      <c r="B1916" s="1">
        <f>IFERROR(__xludf.DUMMYFUNCTION("""COMPUTED_VALUE"""),449.0)</f>
        <v>449</v>
      </c>
      <c r="C1916" s="1">
        <f>IFERROR(__xludf.DUMMYFUNCTION("""COMPUTED_VALUE"""),450.7)</f>
        <v>450.7</v>
      </c>
      <c r="D1916" s="1">
        <f>IFERROR(__xludf.DUMMYFUNCTION("""COMPUTED_VALUE"""),448.07)</f>
        <v>448.07</v>
      </c>
      <c r="E1916" s="1">
        <f>IFERROR(__xludf.DUMMYFUNCTION("""COMPUTED_VALUE"""),448.09)</f>
        <v>448.09</v>
      </c>
      <c r="F1916" s="1">
        <f>IFERROR(__xludf.DUMMYFUNCTION("""COMPUTED_VALUE"""),3.69875E7)</f>
        <v>36987500</v>
      </c>
    </row>
    <row r="1917">
      <c r="A1917" s="2">
        <f>IFERROR(__xludf.DUMMYFUNCTION("""COMPUTED_VALUE"""),34164.666666666664)</f>
        <v>34164.66667</v>
      </c>
      <c r="B1917" s="1">
        <f>IFERROR(__xludf.DUMMYFUNCTION("""COMPUTED_VALUE"""),448.08)</f>
        <v>448.08</v>
      </c>
      <c r="C1917" s="1">
        <f>IFERROR(__xludf.DUMMYFUNCTION("""COMPUTED_VALUE"""),451.12)</f>
        <v>451.12</v>
      </c>
      <c r="D1917" s="1">
        <f>IFERROR(__xludf.DUMMYFUNCTION("""COMPUTED_VALUE"""),448.08)</f>
        <v>448.08</v>
      </c>
      <c r="E1917" s="1">
        <f>IFERROR(__xludf.DUMMYFUNCTION("""COMPUTED_VALUE"""),450.08)</f>
        <v>450.08</v>
      </c>
      <c r="F1917" s="1">
        <f>IFERROR(__xludf.DUMMYFUNCTION("""COMPUTED_VALUE"""),4.6473436E7)</f>
        <v>46473436</v>
      </c>
    </row>
    <row r="1918">
      <c r="A1918" s="2">
        <f>IFERROR(__xludf.DUMMYFUNCTION("""COMPUTED_VALUE"""),34165.666666666664)</f>
        <v>34165.66667</v>
      </c>
      <c r="B1918" s="1">
        <f>IFERROR(__xludf.DUMMYFUNCTION("""COMPUTED_VALUE"""),450.09)</f>
        <v>450.09</v>
      </c>
      <c r="C1918" s="1">
        <f>IFERROR(__xludf.DUMMYFUNCTION("""COMPUTED_VALUE"""),450.12)</f>
        <v>450.12</v>
      </c>
      <c r="D1918" s="1">
        <f>IFERROR(__xludf.DUMMYFUNCTION("""COMPUTED_VALUE"""),447.26)</f>
        <v>447.26</v>
      </c>
      <c r="E1918" s="1">
        <f>IFERROR(__xludf.DUMMYFUNCTION("""COMPUTED_VALUE"""),449.22)</f>
        <v>449.22</v>
      </c>
      <c r="F1918" s="1">
        <f>IFERROR(__xludf.DUMMYFUNCTION("""COMPUTED_VALUE"""),4.3407812E7)</f>
        <v>43407812</v>
      </c>
    </row>
    <row r="1919">
      <c r="A1919" s="2">
        <f>IFERROR(__xludf.DUMMYFUNCTION("""COMPUTED_VALUE"""),34166.666666666664)</f>
        <v>34166.66667</v>
      </c>
      <c r="B1919" s="1">
        <f>IFERROR(__xludf.DUMMYFUNCTION("""COMPUTED_VALUE"""),449.07)</f>
        <v>449.07</v>
      </c>
      <c r="C1919" s="1">
        <f>IFERROR(__xludf.DUMMYFUNCTION("""COMPUTED_VALUE"""),449.08)</f>
        <v>449.08</v>
      </c>
      <c r="D1919" s="1">
        <f>IFERROR(__xludf.DUMMYFUNCTION("""COMPUTED_VALUE"""),445.66)</f>
        <v>445.66</v>
      </c>
      <c r="E1919" s="1">
        <f>IFERROR(__xludf.DUMMYFUNCTION("""COMPUTED_VALUE"""),445.75)</f>
        <v>445.75</v>
      </c>
      <c r="F1919" s="1">
        <f>IFERROR(__xludf.DUMMYFUNCTION("""COMPUTED_VALUE"""),4.1109376E7)</f>
        <v>41109376</v>
      </c>
    </row>
    <row r="1920">
      <c r="A1920" s="2">
        <f>IFERROR(__xludf.DUMMYFUNCTION("""COMPUTED_VALUE"""),34169.666666666664)</f>
        <v>34169.66667</v>
      </c>
      <c r="B1920" s="1">
        <f>IFERROR(__xludf.DUMMYFUNCTION("""COMPUTED_VALUE"""),445.75)</f>
        <v>445.75</v>
      </c>
      <c r="C1920" s="1">
        <f>IFERROR(__xludf.DUMMYFUNCTION("""COMPUTED_VALUE"""),446.78)</f>
        <v>446.78</v>
      </c>
      <c r="D1920" s="1">
        <f>IFERROR(__xludf.DUMMYFUNCTION("""COMPUTED_VALUE"""),444.83)</f>
        <v>444.83</v>
      </c>
      <c r="E1920" s="1">
        <f>IFERROR(__xludf.DUMMYFUNCTION("""COMPUTED_VALUE"""),446.03)</f>
        <v>446.03</v>
      </c>
      <c r="F1920" s="1">
        <f>IFERROR(__xludf.DUMMYFUNCTION("""COMPUTED_VALUE"""),3.3807812E7)</f>
        <v>33807812</v>
      </c>
    </row>
    <row r="1921">
      <c r="A1921" s="2">
        <f>IFERROR(__xludf.DUMMYFUNCTION("""COMPUTED_VALUE"""),34170.666666666664)</f>
        <v>34170.66667</v>
      </c>
      <c r="B1921" s="1">
        <f>IFERROR(__xludf.DUMMYFUNCTION("""COMPUTED_VALUE"""),446.03)</f>
        <v>446.03</v>
      </c>
      <c r="C1921" s="1">
        <f>IFERROR(__xludf.DUMMYFUNCTION("""COMPUTED_VALUE"""),447.63)</f>
        <v>447.63</v>
      </c>
      <c r="D1921" s="1">
        <f>IFERROR(__xludf.DUMMYFUNCTION("""COMPUTED_VALUE"""),443.71)</f>
        <v>443.71</v>
      </c>
      <c r="E1921" s="1">
        <f>IFERROR(__xludf.DUMMYFUNCTION("""COMPUTED_VALUE"""),447.31)</f>
        <v>447.31</v>
      </c>
      <c r="F1921" s="1">
        <f>IFERROR(__xludf.DUMMYFUNCTION("""COMPUTED_VALUE"""),4.3346876E7)</f>
        <v>43346876</v>
      </c>
    </row>
    <row r="1922">
      <c r="A1922" s="2">
        <f>IFERROR(__xludf.DUMMYFUNCTION("""COMPUTED_VALUE"""),34171.666666666664)</f>
        <v>34171.66667</v>
      </c>
      <c r="B1922" s="1">
        <f>IFERROR(__xludf.DUMMYFUNCTION("""COMPUTED_VALUE"""),447.28)</f>
        <v>447.28</v>
      </c>
      <c r="C1922" s="1">
        <f>IFERROR(__xludf.DUMMYFUNCTION("""COMPUTED_VALUE"""),447.5)</f>
        <v>447.5</v>
      </c>
      <c r="D1922" s="1">
        <f>IFERROR(__xludf.DUMMYFUNCTION("""COMPUTED_VALUE"""),445.84)</f>
        <v>445.84</v>
      </c>
      <c r="E1922" s="1">
        <f>IFERROR(__xludf.DUMMYFUNCTION("""COMPUTED_VALUE"""),447.18)</f>
        <v>447.18</v>
      </c>
      <c r="F1922" s="1">
        <f>IFERROR(__xludf.DUMMYFUNCTION("""COMPUTED_VALUE"""),4.3529688E7)</f>
        <v>43529688</v>
      </c>
    </row>
    <row r="1923">
      <c r="A1923" s="2">
        <f>IFERROR(__xludf.DUMMYFUNCTION("""COMPUTED_VALUE"""),34172.666666666664)</f>
        <v>34172.66667</v>
      </c>
      <c r="B1923" s="1">
        <f>IFERROR(__xludf.DUMMYFUNCTION("""COMPUTED_VALUE"""),447.18)</f>
        <v>447.18</v>
      </c>
      <c r="C1923" s="1">
        <f>IFERROR(__xludf.DUMMYFUNCTION("""COMPUTED_VALUE"""),447.23)</f>
        <v>447.23</v>
      </c>
      <c r="D1923" s="1">
        <f>IFERROR(__xludf.DUMMYFUNCTION("""COMPUTED_VALUE"""),443.72)</f>
        <v>443.72</v>
      </c>
      <c r="E1923" s="1">
        <f>IFERROR(__xludf.DUMMYFUNCTION("""COMPUTED_VALUE"""),444.51)</f>
        <v>444.51</v>
      </c>
      <c r="F1923" s="1">
        <f>IFERROR(__xludf.DUMMYFUNCTION("""COMPUTED_VALUE"""),3.9004688E7)</f>
        <v>39004688</v>
      </c>
    </row>
    <row r="1924">
      <c r="A1924" s="2">
        <f>IFERROR(__xludf.DUMMYFUNCTION("""COMPUTED_VALUE"""),34173.666666666664)</f>
        <v>34173.66667</v>
      </c>
      <c r="B1924" s="1">
        <f>IFERROR(__xludf.DUMMYFUNCTION("""COMPUTED_VALUE"""),444.54)</f>
        <v>444.54</v>
      </c>
      <c r="C1924" s="1">
        <f>IFERROR(__xludf.DUMMYFUNCTION("""COMPUTED_VALUE"""),447.1)</f>
        <v>447.1</v>
      </c>
      <c r="D1924" s="1">
        <f>IFERROR(__xludf.DUMMYFUNCTION("""COMPUTED_VALUE"""),444.54)</f>
        <v>444.54</v>
      </c>
      <c r="E1924" s="1">
        <f>IFERROR(__xludf.DUMMYFUNCTION("""COMPUTED_VALUE"""),447.1)</f>
        <v>447.1</v>
      </c>
      <c r="F1924" s="1">
        <f>IFERROR(__xludf.DUMMYFUNCTION("""COMPUTED_VALUE"""),3.4714064E7)</f>
        <v>34714064</v>
      </c>
    </row>
    <row r="1925">
      <c r="A1925" s="2">
        <f>IFERROR(__xludf.DUMMYFUNCTION("""COMPUTED_VALUE"""),34176.666666666664)</f>
        <v>34176.66667</v>
      </c>
      <c r="B1925" s="1">
        <f>IFERROR(__xludf.DUMMYFUNCTION("""COMPUTED_VALUE"""),447.06)</f>
        <v>447.06</v>
      </c>
      <c r="C1925" s="1">
        <f>IFERROR(__xludf.DUMMYFUNCTION("""COMPUTED_VALUE"""),449.5)</f>
        <v>449.5</v>
      </c>
      <c r="D1925" s="1">
        <f>IFERROR(__xludf.DUMMYFUNCTION("""COMPUTED_VALUE"""),447.04)</f>
        <v>447.04</v>
      </c>
      <c r="E1925" s="1">
        <f>IFERROR(__xludf.DUMMYFUNCTION("""COMPUTED_VALUE"""),449.09)</f>
        <v>449.09</v>
      </c>
      <c r="F1925" s="1">
        <f>IFERROR(__xludf.DUMMYFUNCTION("""COMPUTED_VALUE"""),3.4778124E7)</f>
        <v>34778124</v>
      </c>
    </row>
    <row r="1926">
      <c r="A1926" s="2">
        <f>IFERROR(__xludf.DUMMYFUNCTION("""COMPUTED_VALUE"""),34177.666666666664)</f>
        <v>34177.66667</v>
      </c>
      <c r="B1926" s="1">
        <f>IFERROR(__xludf.DUMMYFUNCTION("""COMPUTED_VALUE"""),449.0)</f>
        <v>449</v>
      </c>
      <c r="C1926" s="1">
        <f>IFERROR(__xludf.DUMMYFUNCTION("""COMPUTED_VALUE"""),449.44)</f>
        <v>449.44</v>
      </c>
      <c r="D1926" s="1">
        <f>IFERROR(__xludf.DUMMYFUNCTION("""COMPUTED_VALUE"""),446.76)</f>
        <v>446.76</v>
      </c>
      <c r="E1926" s="1">
        <f>IFERROR(__xludf.DUMMYFUNCTION("""COMPUTED_VALUE"""),448.24)</f>
        <v>448.24</v>
      </c>
      <c r="F1926" s="1">
        <f>IFERROR(__xludf.DUMMYFUNCTION("""COMPUTED_VALUE"""),4.0117188E7)</f>
        <v>40117188</v>
      </c>
    </row>
    <row r="1927">
      <c r="A1927" s="2">
        <f>IFERROR(__xludf.DUMMYFUNCTION("""COMPUTED_VALUE"""),34178.666666666664)</f>
        <v>34178.66667</v>
      </c>
      <c r="B1927" s="1">
        <f>IFERROR(__xludf.DUMMYFUNCTION("""COMPUTED_VALUE"""),448.25)</f>
        <v>448.25</v>
      </c>
      <c r="C1927" s="1">
        <f>IFERROR(__xludf.DUMMYFUNCTION("""COMPUTED_VALUE"""),448.61)</f>
        <v>448.61</v>
      </c>
      <c r="D1927" s="1">
        <f>IFERROR(__xludf.DUMMYFUNCTION("""COMPUTED_VALUE"""),446.59)</f>
        <v>446.59</v>
      </c>
      <c r="E1927" s="1">
        <f>IFERROR(__xludf.DUMMYFUNCTION("""COMPUTED_VALUE"""),447.19)</f>
        <v>447.19</v>
      </c>
      <c r="F1927" s="1">
        <f>IFERROR(__xludf.DUMMYFUNCTION("""COMPUTED_VALUE"""),4.2671876E7)</f>
        <v>42671876</v>
      </c>
    </row>
    <row r="1928">
      <c r="A1928" s="2">
        <f>IFERROR(__xludf.DUMMYFUNCTION("""COMPUTED_VALUE"""),34179.666666666664)</f>
        <v>34179.66667</v>
      </c>
      <c r="B1928" s="1">
        <f>IFERROR(__xludf.DUMMYFUNCTION("""COMPUTED_VALUE"""),447.19)</f>
        <v>447.19</v>
      </c>
      <c r="C1928" s="1">
        <f>IFERROR(__xludf.DUMMYFUNCTION("""COMPUTED_VALUE"""),450.77)</f>
        <v>450.77</v>
      </c>
      <c r="D1928" s="1">
        <f>IFERROR(__xludf.DUMMYFUNCTION("""COMPUTED_VALUE"""),447.19)</f>
        <v>447.19</v>
      </c>
      <c r="E1928" s="1">
        <f>IFERROR(__xludf.DUMMYFUNCTION("""COMPUTED_VALUE"""),450.24)</f>
        <v>450.24</v>
      </c>
      <c r="F1928" s="1">
        <f>IFERROR(__xludf.DUMMYFUNCTION("""COMPUTED_VALUE"""),4.0818752E7)</f>
        <v>40818752</v>
      </c>
    </row>
    <row r="1929">
      <c r="A1929" s="2">
        <f>IFERROR(__xludf.DUMMYFUNCTION("""COMPUTED_VALUE"""),34180.666666666664)</f>
        <v>34180.66667</v>
      </c>
      <c r="B1929" s="1">
        <f>IFERROR(__xludf.DUMMYFUNCTION("""COMPUTED_VALUE"""),450.19)</f>
        <v>450.19</v>
      </c>
      <c r="C1929" s="1">
        <f>IFERROR(__xludf.DUMMYFUNCTION("""COMPUTED_VALUE"""),450.22)</f>
        <v>450.22</v>
      </c>
      <c r="D1929" s="1">
        <f>IFERROR(__xludf.DUMMYFUNCTION("""COMPUTED_VALUE"""),446.98)</f>
        <v>446.98</v>
      </c>
      <c r="E1929" s="1">
        <f>IFERROR(__xludf.DUMMYFUNCTION("""COMPUTED_VALUE"""),448.13)</f>
        <v>448.13</v>
      </c>
      <c r="F1929" s="1">
        <f>IFERROR(__xludf.DUMMYFUNCTION("""COMPUTED_VALUE"""),3.9753124E7)</f>
        <v>39753124</v>
      </c>
    </row>
    <row r="1930">
      <c r="A1930" s="2">
        <f>IFERROR(__xludf.DUMMYFUNCTION("""COMPUTED_VALUE"""),34183.666666666664)</f>
        <v>34183.66667</v>
      </c>
      <c r="B1930" s="1">
        <f>IFERROR(__xludf.DUMMYFUNCTION("""COMPUTED_VALUE"""),448.13)</f>
        <v>448.13</v>
      </c>
      <c r="C1930" s="1">
        <f>IFERROR(__xludf.DUMMYFUNCTION("""COMPUTED_VALUE"""),450.15)</f>
        <v>450.15</v>
      </c>
      <c r="D1930" s="1">
        <f>IFERROR(__xludf.DUMMYFUNCTION("""COMPUTED_VALUE"""),448.03)</f>
        <v>448.03</v>
      </c>
      <c r="E1930" s="1">
        <f>IFERROR(__xludf.DUMMYFUNCTION("""COMPUTED_VALUE"""),450.15)</f>
        <v>450.15</v>
      </c>
      <c r="F1930" s="1">
        <f>IFERROR(__xludf.DUMMYFUNCTION("""COMPUTED_VALUE"""),3.5996876E7)</f>
        <v>35996876</v>
      </c>
    </row>
    <row r="1931">
      <c r="A1931" s="2">
        <f>IFERROR(__xludf.DUMMYFUNCTION("""COMPUTED_VALUE"""),34184.666666666664)</f>
        <v>34184.66667</v>
      </c>
      <c r="B1931" s="1">
        <f>IFERROR(__xludf.DUMMYFUNCTION("""COMPUTED_VALUE"""),450.15)</f>
        <v>450.15</v>
      </c>
      <c r="C1931" s="1">
        <f>IFERROR(__xludf.DUMMYFUNCTION("""COMPUTED_VALUE"""),450.43)</f>
        <v>450.43</v>
      </c>
      <c r="D1931" s="1">
        <f>IFERROR(__xludf.DUMMYFUNCTION("""COMPUTED_VALUE"""),447.59)</f>
        <v>447.59</v>
      </c>
      <c r="E1931" s="1">
        <f>IFERROR(__xludf.DUMMYFUNCTION("""COMPUTED_VALUE"""),449.27)</f>
        <v>449.27</v>
      </c>
      <c r="F1931" s="1">
        <f>IFERROR(__xludf.DUMMYFUNCTION("""COMPUTED_VALUE"""),3.9548436E7)</f>
        <v>39548436</v>
      </c>
    </row>
    <row r="1932">
      <c r="A1932" s="2">
        <f>IFERROR(__xludf.DUMMYFUNCTION("""COMPUTED_VALUE"""),34185.666666666664)</f>
        <v>34185.66667</v>
      </c>
      <c r="B1932" s="1">
        <f>IFERROR(__xludf.DUMMYFUNCTION("""COMPUTED_VALUE"""),449.27)</f>
        <v>449.27</v>
      </c>
      <c r="C1932" s="1">
        <f>IFERROR(__xludf.DUMMYFUNCTION("""COMPUTED_VALUE"""),449.72)</f>
        <v>449.72</v>
      </c>
      <c r="D1932" s="1">
        <f>IFERROR(__xludf.DUMMYFUNCTION("""COMPUTED_VALUE"""),447.93)</f>
        <v>447.93</v>
      </c>
      <c r="E1932" s="1">
        <f>IFERROR(__xludf.DUMMYFUNCTION("""COMPUTED_VALUE"""),448.54)</f>
        <v>448.54</v>
      </c>
      <c r="F1932" s="1">
        <f>IFERROR(__xludf.DUMMYFUNCTION("""COMPUTED_VALUE"""),3.5943752E7)</f>
        <v>35943752</v>
      </c>
    </row>
    <row r="1933">
      <c r="A1933" s="2">
        <f>IFERROR(__xludf.DUMMYFUNCTION("""COMPUTED_VALUE"""),34186.666666666664)</f>
        <v>34186.66667</v>
      </c>
      <c r="B1933" s="1">
        <f>IFERROR(__xludf.DUMMYFUNCTION("""COMPUTED_VALUE"""),448.55)</f>
        <v>448.55</v>
      </c>
      <c r="C1933" s="1">
        <f>IFERROR(__xludf.DUMMYFUNCTION("""COMPUTED_VALUE"""),449.61)</f>
        <v>449.61</v>
      </c>
      <c r="D1933" s="1">
        <f>IFERROR(__xludf.DUMMYFUNCTION("""COMPUTED_VALUE"""),446.94)</f>
        <v>446.94</v>
      </c>
      <c r="E1933" s="1">
        <f>IFERROR(__xludf.DUMMYFUNCTION("""COMPUTED_VALUE"""),448.13)</f>
        <v>448.13</v>
      </c>
      <c r="F1933" s="1">
        <f>IFERROR(__xludf.DUMMYFUNCTION("""COMPUTED_VALUE"""),4.0921876E7)</f>
        <v>40921876</v>
      </c>
    </row>
    <row r="1934">
      <c r="A1934" s="2">
        <f>IFERROR(__xludf.DUMMYFUNCTION("""COMPUTED_VALUE"""),34187.666666666664)</f>
        <v>34187.66667</v>
      </c>
      <c r="B1934" s="1">
        <f>IFERROR(__xludf.DUMMYFUNCTION("""COMPUTED_VALUE"""),448.13)</f>
        <v>448.13</v>
      </c>
      <c r="C1934" s="1">
        <f>IFERROR(__xludf.DUMMYFUNCTION("""COMPUTED_VALUE"""),449.26)</f>
        <v>449.26</v>
      </c>
      <c r="D1934" s="1">
        <f>IFERROR(__xludf.DUMMYFUNCTION("""COMPUTED_VALUE"""),447.87)</f>
        <v>447.87</v>
      </c>
      <c r="E1934" s="1">
        <f>IFERROR(__xludf.DUMMYFUNCTION("""COMPUTED_VALUE"""),448.68)</f>
        <v>448.68</v>
      </c>
      <c r="F1934" s="1">
        <f>IFERROR(__xludf.DUMMYFUNCTION("""COMPUTED_VALUE"""),3.4557812E7)</f>
        <v>34557812</v>
      </c>
    </row>
    <row r="1935">
      <c r="A1935" s="2">
        <f>IFERROR(__xludf.DUMMYFUNCTION("""COMPUTED_VALUE"""),34190.666666666664)</f>
        <v>34190.66667</v>
      </c>
      <c r="B1935" s="1">
        <f>IFERROR(__xludf.DUMMYFUNCTION("""COMPUTED_VALUE"""),448.68)</f>
        <v>448.68</v>
      </c>
      <c r="C1935" s="1">
        <f>IFERROR(__xludf.DUMMYFUNCTION("""COMPUTED_VALUE"""),451.51)</f>
        <v>451.51</v>
      </c>
      <c r="D1935" s="1">
        <f>IFERROR(__xludf.DUMMYFUNCTION("""COMPUTED_VALUE"""),448.31)</f>
        <v>448.31</v>
      </c>
      <c r="E1935" s="1">
        <f>IFERROR(__xludf.DUMMYFUNCTION("""COMPUTED_VALUE"""),450.72)</f>
        <v>450.72</v>
      </c>
      <c r="F1935" s="1">
        <f>IFERROR(__xludf.DUMMYFUNCTION("""COMPUTED_VALUE"""),3.6367188E7)</f>
        <v>36367188</v>
      </c>
    </row>
    <row r="1936">
      <c r="A1936" s="2">
        <f>IFERROR(__xludf.DUMMYFUNCTION("""COMPUTED_VALUE"""),34191.666666666664)</f>
        <v>34191.66667</v>
      </c>
      <c r="B1936" s="1">
        <f>IFERROR(__xludf.DUMMYFUNCTION("""COMPUTED_VALUE"""),450.71)</f>
        <v>450.71</v>
      </c>
      <c r="C1936" s="1">
        <f>IFERROR(__xludf.DUMMYFUNCTION("""COMPUTED_VALUE"""),450.71)</f>
        <v>450.71</v>
      </c>
      <c r="D1936" s="1">
        <f>IFERROR(__xludf.DUMMYFUNCTION("""COMPUTED_VALUE"""),449.1)</f>
        <v>449.1</v>
      </c>
      <c r="E1936" s="1">
        <f>IFERROR(__xludf.DUMMYFUNCTION("""COMPUTED_VALUE"""),449.45)</f>
        <v>449.45</v>
      </c>
      <c r="F1936" s="1">
        <f>IFERROR(__xludf.DUMMYFUNCTION("""COMPUTED_VALUE"""),3.9925E7)</f>
        <v>39925000</v>
      </c>
    </row>
    <row r="1937">
      <c r="A1937" s="2">
        <f>IFERROR(__xludf.DUMMYFUNCTION("""COMPUTED_VALUE"""),34192.666666666664)</f>
        <v>34192.66667</v>
      </c>
      <c r="B1937" s="1">
        <f>IFERROR(__xludf.DUMMYFUNCTION("""COMPUTED_VALUE"""),449.6)</f>
        <v>449.6</v>
      </c>
      <c r="C1937" s="1">
        <f>IFERROR(__xludf.DUMMYFUNCTION("""COMPUTED_VALUE"""),451.0)</f>
        <v>451</v>
      </c>
      <c r="D1937" s="1">
        <f>IFERROR(__xludf.DUMMYFUNCTION("""COMPUTED_VALUE"""),449.6)</f>
        <v>449.6</v>
      </c>
      <c r="E1937" s="1">
        <f>IFERROR(__xludf.DUMMYFUNCTION("""COMPUTED_VALUE"""),450.46)</f>
        <v>450.46</v>
      </c>
      <c r="F1937" s="1">
        <f>IFERROR(__xludf.DUMMYFUNCTION("""COMPUTED_VALUE"""),4.1926564E7)</f>
        <v>41926564</v>
      </c>
    </row>
    <row r="1938">
      <c r="A1938" s="2">
        <f>IFERROR(__xludf.DUMMYFUNCTION("""COMPUTED_VALUE"""),34193.666666666664)</f>
        <v>34193.66667</v>
      </c>
      <c r="B1938" s="1">
        <f>IFERROR(__xludf.DUMMYFUNCTION("""COMPUTED_VALUE"""),450.47)</f>
        <v>450.47</v>
      </c>
      <c r="C1938" s="1">
        <f>IFERROR(__xludf.DUMMYFUNCTION("""COMPUTED_VALUE"""),451.63)</f>
        <v>451.63</v>
      </c>
      <c r="D1938" s="1">
        <f>IFERROR(__xludf.DUMMYFUNCTION("""COMPUTED_VALUE"""),447.53)</f>
        <v>447.53</v>
      </c>
      <c r="E1938" s="1">
        <f>IFERROR(__xludf.DUMMYFUNCTION("""COMPUTED_VALUE"""),448.96)</f>
        <v>448.96</v>
      </c>
      <c r="F1938" s="1">
        <f>IFERROR(__xludf.DUMMYFUNCTION("""COMPUTED_VALUE"""),4.3520312E7)</f>
        <v>43520312</v>
      </c>
    </row>
    <row r="1939">
      <c r="A1939" s="2">
        <f>IFERROR(__xludf.DUMMYFUNCTION("""COMPUTED_VALUE"""),34194.666666666664)</f>
        <v>34194.66667</v>
      </c>
      <c r="B1939" s="1">
        <f>IFERROR(__xludf.DUMMYFUNCTION("""COMPUTED_VALUE"""),448.97)</f>
        <v>448.97</v>
      </c>
      <c r="C1939" s="1">
        <f>IFERROR(__xludf.DUMMYFUNCTION("""COMPUTED_VALUE"""),450.25)</f>
        <v>450.25</v>
      </c>
      <c r="D1939" s="1">
        <f>IFERROR(__xludf.DUMMYFUNCTION("""COMPUTED_VALUE"""),448.97)</f>
        <v>448.97</v>
      </c>
      <c r="E1939" s="1">
        <f>IFERROR(__xludf.DUMMYFUNCTION("""COMPUTED_VALUE"""),450.14)</f>
        <v>450.14</v>
      </c>
      <c r="F1939" s="1">
        <f>IFERROR(__xludf.DUMMYFUNCTION("""COMPUTED_VALUE"""),3.3495312E7)</f>
        <v>33495312</v>
      </c>
    </row>
    <row r="1940">
      <c r="A1940" s="2">
        <f>IFERROR(__xludf.DUMMYFUNCTION("""COMPUTED_VALUE"""),34197.666666666664)</f>
        <v>34197.66667</v>
      </c>
      <c r="B1940" s="1">
        <f>IFERROR(__xludf.DUMMYFUNCTION("""COMPUTED_VALUE"""),450.25)</f>
        <v>450.25</v>
      </c>
      <c r="C1940" s="1">
        <f>IFERROR(__xludf.DUMMYFUNCTION("""COMPUTED_VALUE"""),453.41)</f>
        <v>453.41</v>
      </c>
      <c r="D1940" s="1">
        <f>IFERROR(__xludf.DUMMYFUNCTION("""COMPUTED_VALUE"""),450.25)</f>
        <v>450.25</v>
      </c>
      <c r="E1940" s="1">
        <f>IFERROR(__xludf.DUMMYFUNCTION("""COMPUTED_VALUE"""),452.38)</f>
        <v>452.38</v>
      </c>
      <c r="F1940" s="1">
        <f>IFERROR(__xludf.DUMMYFUNCTION("""COMPUTED_VALUE"""),3.6506248E7)</f>
        <v>36506248</v>
      </c>
    </row>
    <row r="1941">
      <c r="A1941" s="2">
        <f>IFERROR(__xludf.DUMMYFUNCTION("""COMPUTED_VALUE"""),34198.666666666664)</f>
        <v>34198.66667</v>
      </c>
      <c r="B1941" s="1">
        <f>IFERROR(__xludf.DUMMYFUNCTION("""COMPUTED_VALUE"""),452.38)</f>
        <v>452.38</v>
      </c>
      <c r="C1941" s="1">
        <f>IFERROR(__xludf.DUMMYFUNCTION("""COMPUTED_VALUE"""),453.7)</f>
        <v>453.7</v>
      </c>
      <c r="D1941" s="1">
        <f>IFERROR(__xludf.DUMMYFUNCTION("""COMPUTED_VALUE"""),451.96)</f>
        <v>451.96</v>
      </c>
      <c r="E1941" s="1">
        <f>IFERROR(__xludf.DUMMYFUNCTION("""COMPUTED_VALUE"""),453.13)</f>
        <v>453.13</v>
      </c>
      <c r="F1941" s="1">
        <f>IFERROR(__xludf.DUMMYFUNCTION("""COMPUTED_VALUE"""),4.0831248E7)</f>
        <v>40831248</v>
      </c>
    </row>
    <row r="1942">
      <c r="A1942" s="2">
        <f>IFERROR(__xludf.DUMMYFUNCTION("""COMPUTED_VALUE"""),34199.666666666664)</f>
        <v>34199.66667</v>
      </c>
      <c r="B1942" s="1">
        <f>IFERROR(__xludf.DUMMYFUNCTION("""COMPUTED_VALUE"""),453.21)</f>
        <v>453.21</v>
      </c>
      <c r="C1942" s="1">
        <f>IFERROR(__xludf.DUMMYFUNCTION("""COMPUTED_VALUE"""),456.99)</f>
        <v>456.99</v>
      </c>
      <c r="D1942" s="1">
        <f>IFERROR(__xludf.DUMMYFUNCTION("""COMPUTED_VALUE"""),453.21)</f>
        <v>453.21</v>
      </c>
      <c r="E1942" s="1">
        <f>IFERROR(__xludf.DUMMYFUNCTION("""COMPUTED_VALUE"""),456.04)</f>
        <v>456.04</v>
      </c>
      <c r="F1942" s="1">
        <f>IFERROR(__xludf.DUMMYFUNCTION("""COMPUTED_VALUE"""),4.8896876E7)</f>
        <v>48896876</v>
      </c>
    </row>
    <row r="1943">
      <c r="A1943" s="2">
        <f>IFERROR(__xludf.DUMMYFUNCTION("""COMPUTED_VALUE"""),34200.666666666664)</f>
        <v>34200.66667</v>
      </c>
      <c r="B1943" s="1">
        <f>IFERROR(__xludf.DUMMYFUNCTION("""COMPUTED_VALUE"""),456.01)</f>
        <v>456.01</v>
      </c>
      <c r="C1943" s="1">
        <f>IFERROR(__xludf.DUMMYFUNCTION("""COMPUTED_VALUE"""),456.76)</f>
        <v>456.76</v>
      </c>
      <c r="D1943" s="1">
        <f>IFERROR(__xludf.DUMMYFUNCTION("""COMPUTED_VALUE"""),455.2)</f>
        <v>455.2</v>
      </c>
      <c r="E1943" s="1">
        <f>IFERROR(__xludf.DUMMYFUNCTION("""COMPUTED_VALUE"""),456.43)</f>
        <v>456.43</v>
      </c>
      <c r="F1943" s="1">
        <f>IFERROR(__xludf.DUMMYFUNCTION("""COMPUTED_VALUE"""),4.5832812E7)</f>
        <v>45832812</v>
      </c>
    </row>
    <row r="1944">
      <c r="A1944" s="2">
        <f>IFERROR(__xludf.DUMMYFUNCTION("""COMPUTED_VALUE"""),34201.666666666664)</f>
        <v>34201.66667</v>
      </c>
      <c r="B1944" s="1">
        <f>IFERROR(__xludf.DUMMYFUNCTION("""COMPUTED_VALUE"""),456.51)</f>
        <v>456.51</v>
      </c>
      <c r="C1944" s="1">
        <f>IFERROR(__xludf.DUMMYFUNCTION("""COMPUTED_VALUE"""),456.68)</f>
        <v>456.68</v>
      </c>
      <c r="D1944" s="1">
        <f>IFERROR(__xludf.DUMMYFUNCTION("""COMPUTED_VALUE"""),454.6)</f>
        <v>454.6</v>
      </c>
      <c r="E1944" s="1">
        <f>IFERROR(__xludf.DUMMYFUNCTION("""COMPUTED_VALUE"""),456.16)</f>
        <v>456.16</v>
      </c>
      <c r="F1944" s="1">
        <f>IFERROR(__xludf.DUMMYFUNCTION("""COMPUTED_VALUE"""),4.325E7)</f>
        <v>43250000</v>
      </c>
    </row>
    <row r="1945">
      <c r="A1945" s="2">
        <f>IFERROR(__xludf.DUMMYFUNCTION("""COMPUTED_VALUE"""),34204.666666666664)</f>
        <v>34204.66667</v>
      </c>
      <c r="B1945" s="1">
        <f>IFERROR(__xludf.DUMMYFUNCTION("""COMPUTED_VALUE"""),456.12)</f>
        <v>456.12</v>
      </c>
      <c r="C1945" s="1">
        <f>IFERROR(__xludf.DUMMYFUNCTION("""COMPUTED_VALUE"""),456.12)</f>
        <v>456.12</v>
      </c>
      <c r="D1945" s="1">
        <f>IFERROR(__xludf.DUMMYFUNCTION("""COMPUTED_VALUE"""),454.29)</f>
        <v>454.29</v>
      </c>
      <c r="E1945" s="1">
        <f>IFERROR(__xludf.DUMMYFUNCTION("""COMPUTED_VALUE"""),455.23)</f>
        <v>455.23</v>
      </c>
      <c r="F1945" s="1">
        <f>IFERROR(__xludf.DUMMYFUNCTION("""COMPUTED_VALUE"""),3.3203124E7)</f>
        <v>33203124</v>
      </c>
    </row>
    <row r="1946">
      <c r="A1946" s="2">
        <f>IFERROR(__xludf.DUMMYFUNCTION("""COMPUTED_VALUE"""),34205.666666666664)</f>
        <v>34205.66667</v>
      </c>
      <c r="B1946" s="1">
        <f>IFERROR(__xludf.DUMMYFUNCTION("""COMPUTED_VALUE"""),455.23)</f>
        <v>455.23</v>
      </c>
      <c r="C1946" s="1">
        <f>IFERROR(__xludf.DUMMYFUNCTION("""COMPUTED_VALUE"""),459.77)</f>
        <v>459.77</v>
      </c>
      <c r="D1946" s="1">
        <f>IFERROR(__xludf.DUMMYFUNCTION("""COMPUTED_VALUE"""),455.04)</f>
        <v>455.04</v>
      </c>
      <c r="E1946" s="1">
        <f>IFERROR(__xludf.DUMMYFUNCTION("""COMPUTED_VALUE"""),459.77)</f>
        <v>459.77</v>
      </c>
      <c r="F1946" s="1">
        <f>IFERROR(__xludf.DUMMYFUNCTION("""COMPUTED_VALUE"""),4.2296876E7)</f>
        <v>42296876</v>
      </c>
    </row>
    <row r="1947">
      <c r="A1947" s="2">
        <f>IFERROR(__xludf.DUMMYFUNCTION("""COMPUTED_VALUE"""),34206.666666666664)</f>
        <v>34206.66667</v>
      </c>
      <c r="B1947" s="1">
        <f>IFERROR(__xludf.DUMMYFUNCTION("""COMPUTED_VALUE"""),459.75)</f>
        <v>459.75</v>
      </c>
      <c r="C1947" s="1">
        <f>IFERROR(__xludf.DUMMYFUNCTION("""COMPUTED_VALUE"""),462.04)</f>
        <v>462.04</v>
      </c>
      <c r="D1947" s="1">
        <f>IFERROR(__xludf.DUMMYFUNCTION("""COMPUTED_VALUE"""),459.3)</f>
        <v>459.3</v>
      </c>
      <c r="E1947" s="1">
        <f>IFERROR(__xludf.DUMMYFUNCTION("""COMPUTED_VALUE"""),460.13)</f>
        <v>460.13</v>
      </c>
      <c r="F1947" s="1">
        <f>IFERROR(__xludf.DUMMYFUNCTION("""COMPUTED_VALUE"""),4.7132812E7)</f>
        <v>47132812</v>
      </c>
    </row>
    <row r="1948">
      <c r="A1948" s="2">
        <f>IFERROR(__xludf.DUMMYFUNCTION("""COMPUTED_VALUE"""),34207.666666666664)</f>
        <v>34207.66667</v>
      </c>
      <c r="B1948" s="1">
        <f>IFERROR(__xludf.DUMMYFUNCTION("""COMPUTED_VALUE"""),460.04)</f>
        <v>460.04</v>
      </c>
      <c r="C1948" s="1">
        <f>IFERROR(__xludf.DUMMYFUNCTION("""COMPUTED_VALUE"""),462.87)</f>
        <v>462.87</v>
      </c>
      <c r="D1948" s="1">
        <f>IFERROR(__xludf.DUMMYFUNCTION("""COMPUTED_VALUE"""),458.82)</f>
        <v>458.82</v>
      </c>
      <c r="E1948" s="1">
        <f>IFERROR(__xludf.DUMMYFUNCTION("""COMPUTED_VALUE"""),461.04)</f>
        <v>461.04</v>
      </c>
      <c r="F1948" s="1">
        <f>IFERROR(__xludf.DUMMYFUNCTION("""COMPUTED_VALUE"""),3.9698436E7)</f>
        <v>39698436</v>
      </c>
    </row>
    <row r="1949">
      <c r="A1949" s="2">
        <f>IFERROR(__xludf.DUMMYFUNCTION("""COMPUTED_VALUE"""),34208.666666666664)</f>
        <v>34208.66667</v>
      </c>
      <c r="B1949" s="1">
        <f>IFERROR(__xludf.DUMMYFUNCTION("""COMPUTED_VALUE"""),461.05)</f>
        <v>461.05</v>
      </c>
      <c r="C1949" s="1">
        <f>IFERROR(__xludf.DUMMYFUNCTION("""COMPUTED_VALUE"""),461.05)</f>
        <v>461.05</v>
      </c>
      <c r="D1949" s="1">
        <f>IFERROR(__xludf.DUMMYFUNCTION("""COMPUTED_VALUE"""),459.19)</f>
        <v>459.19</v>
      </c>
      <c r="E1949" s="1">
        <f>IFERROR(__xludf.DUMMYFUNCTION("""COMPUTED_VALUE"""),460.54)</f>
        <v>460.54</v>
      </c>
      <c r="F1949" s="1">
        <f>IFERROR(__xludf.DUMMYFUNCTION("""COMPUTED_VALUE"""),3.0646876E7)</f>
        <v>30646876</v>
      </c>
    </row>
    <row r="1950">
      <c r="A1950" s="2">
        <f>IFERROR(__xludf.DUMMYFUNCTION("""COMPUTED_VALUE"""),34211.666666666664)</f>
        <v>34211.66667</v>
      </c>
      <c r="B1950" s="1">
        <f>IFERROR(__xludf.DUMMYFUNCTION("""COMPUTED_VALUE"""),460.54)</f>
        <v>460.54</v>
      </c>
      <c r="C1950" s="1">
        <f>IFERROR(__xludf.DUMMYFUNCTION("""COMPUTED_VALUE"""),462.58)</f>
        <v>462.58</v>
      </c>
      <c r="D1950" s="1">
        <f>IFERROR(__xludf.DUMMYFUNCTION("""COMPUTED_VALUE"""),460.28)</f>
        <v>460.28</v>
      </c>
      <c r="E1950" s="1">
        <f>IFERROR(__xludf.DUMMYFUNCTION("""COMPUTED_VALUE"""),461.9)</f>
        <v>461.9</v>
      </c>
      <c r="F1950" s="1">
        <f>IFERROR(__xludf.DUMMYFUNCTION("""COMPUTED_VALUE"""),3.0340624E7)</f>
        <v>30340624</v>
      </c>
    </row>
    <row r="1951">
      <c r="A1951" s="2">
        <f>IFERROR(__xludf.DUMMYFUNCTION("""COMPUTED_VALUE"""),34212.666666666664)</f>
        <v>34212.66667</v>
      </c>
      <c r="B1951" s="1">
        <f>IFERROR(__xludf.DUMMYFUNCTION("""COMPUTED_VALUE"""),461.9)</f>
        <v>461.9</v>
      </c>
      <c r="C1951" s="1">
        <f>IFERROR(__xludf.DUMMYFUNCTION("""COMPUTED_VALUE"""),463.56)</f>
        <v>463.56</v>
      </c>
      <c r="D1951" s="1">
        <f>IFERROR(__xludf.DUMMYFUNCTION("""COMPUTED_VALUE"""),461.29)</f>
        <v>461.29</v>
      </c>
      <c r="E1951" s="1">
        <f>IFERROR(__xludf.DUMMYFUNCTION("""COMPUTED_VALUE"""),463.56)</f>
        <v>463.56</v>
      </c>
      <c r="F1951" s="1">
        <f>IFERROR(__xludf.DUMMYFUNCTION("""COMPUTED_VALUE"""),3.9504688E7)</f>
        <v>39504688</v>
      </c>
    </row>
    <row r="1952">
      <c r="A1952" s="2">
        <f>IFERROR(__xludf.DUMMYFUNCTION("""COMPUTED_VALUE"""),34213.666666666664)</f>
        <v>34213.66667</v>
      </c>
      <c r="B1952" s="1">
        <f>IFERROR(__xludf.DUMMYFUNCTION("""COMPUTED_VALUE"""),463.55)</f>
        <v>463.55</v>
      </c>
      <c r="C1952" s="1">
        <f>IFERROR(__xludf.DUMMYFUNCTION("""COMPUTED_VALUE"""),463.8)</f>
        <v>463.8</v>
      </c>
      <c r="D1952" s="1">
        <f>IFERROR(__xludf.DUMMYFUNCTION("""COMPUTED_VALUE"""),461.77)</f>
        <v>461.77</v>
      </c>
      <c r="E1952" s="1">
        <f>IFERROR(__xludf.DUMMYFUNCTION("""COMPUTED_VALUE"""),463.15)</f>
        <v>463.15</v>
      </c>
      <c r="F1952" s="1">
        <f>IFERROR(__xludf.DUMMYFUNCTION("""COMPUTED_VALUE"""),3.82875E7)</f>
        <v>38287500</v>
      </c>
    </row>
    <row r="1953">
      <c r="A1953" s="2">
        <f>IFERROR(__xludf.DUMMYFUNCTION("""COMPUTED_VALUE"""),34214.666666666664)</f>
        <v>34214.66667</v>
      </c>
      <c r="B1953" s="1">
        <f>IFERROR(__xludf.DUMMYFUNCTION("""COMPUTED_VALUE"""),463.13)</f>
        <v>463.13</v>
      </c>
      <c r="C1953" s="1">
        <f>IFERROR(__xludf.DUMMYFUNCTION("""COMPUTED_VALUE"""),463.54)</f>
        <v>463.54</v>
      </c>
      <c r="D1953" s="1">
        <f>IFERROR(__xludf.DUMMYFUNCTION("""COMPUTED_VALUE"""),461.07)</f>
        <v>461.07</v>
      </c>
      <c r="E1953" s="1">
        <f>IFERROR(__xludf.DUMMYFUNCTION("""COMPUTED_VALUE"""),461.3)</f>
        <v>461.3</v>
      </c>
      <c r="F1953" s="1">
        <f>IFERROR(__xludf.DUMMYFUNCTION("""COMPUTED_VALUE"""),4.0604688E7)</f>
        <v>40604688</v>
      </c>
    </row>
    <row r="1954">
      <c r="A1954" s="2">
        <f>IFERROR(__xludf.DUMMYFUNCTION("""COMPUTED_VALUE"""),34215.666666666664)</f>
        <v>34215.66667</v>
      </c>
      <c r="B1954" s="1">
        <f>IFERROR(__xludf.DUMMYFUNCTION("""COMPUTED_VALUE"""),461.3)</f>
        <v>461.3</v>
      </c>
      <c r="C1954" s="1">
        <f>IFERROR(__xludf.DUMMYFUNCTION("""COMPUTED_VALUE"""),462.05)</f>
        <v>462.05</v>
      </c>
      <c r="D1954" s="1">
        <f>IFERROR(__xludf.DUMMYFUNCTION("""COMPUTED_VALUE"""),459.91)</f>
        <v>459.91</v>
      </c>
      <c r="E1954" s="1">
        <f>IFERROR(__xludf.DUMMYFUNCTION("""COMPUTED_VALUE"""),461.34)</f>
        <v>461.34</v>
      </c>
      <c r="F1954" s="1">
        <f>IFERROR(__xludf.DUMMYFUNCTION("""COMPUTED_VALUE"""),3.080625E7)</f>
        <v>30806250</v>
      </c>
    </row>
    <row r="1955">
      <c r="A1955" s="2">
        <f>IFERROR(__xludf.DUMMYFUNCTION("""COMPUTED_VALUE"""),34219.666666666664)</f>
        <v>34219.66667</v>
      </c>
      <c r="B1955" s="1">
        <f>IFERROR(__xludf.DUMMYFUNCTION("""COMPUTED_VALUE"""),461.34)</f>
        <v>461.34</v>
      </c>
      <c r="C1955" s="1">
        <f>IFERROR(__xludf.DUMMYFUNCTION("""COMPUTED_VALUE"""),462.07)</f>
        <v>462.07</v>
      </c>
      <c r="D1955" s="1">
        <f>IFERROR(__xludf.DUMMYFUNCTION("""COMPUTED_VALUE"""),457.95)</f>
        <v>457.95</v>
      </c>
      <c r="E1955" s="1">
        <f>IFERROR(__xludf.DUMMYFUNCTION("""COMPUTED_VALUE"""),458.52)</f>
        <v>458.52</v>
      </c>
      <c r="F1955" s="1">
        <f>IFERROR(__xludf.DUMMYFUNCTION("""COMPUTED_VALUE"""),3.5859376E7)</f>
        <v>35859376</v>
      </c>
    </row>
    <row r="1956">
      <c r="A1956" s="2">
        <f>IFERROR(__xludf.DUMMYFUNCTION("""COMPUTED_VALUE"""),34220.666666666664)</f>
        <v>34220.66667</v>
      </c>
      <c r="B1956" s="1">
        <f>IFERROR(__xludf.DUMMYFUNCTION("""COMPUTED_VALUE"""),458.52)</f>
        <v>458.52</v>
      </c>
      <c r="C1956" s="1">
        <f>IFERROR(__xludf.DUMMYFUNCTION("""COMPUTED_VALUE"""),458.53)</f>
        <v>458.53</v>
      </c>
      <c r="D1956" s="1">
        <f>IFERROR(__xludf.DUMMYFUNCTION("""COMPUTED_VALUE"""),453.75)</f>
        <v>453.75</v>
      </c>
      <c r="E1956" s="1">
        <f>IFERROR(__xludf.DUMMYFUNCTION("""COMPUTED_VALUE"""),456.65)</f>
        <v>456.65</v>
      </c>
      <c r="F1956" s="1">
        <f>IFERROR(__xludf.DUMMYFUNCTION("""COMPUTED_VALUE"""),4.4234376E7)</f>
        <v>44234376</v>
      </c>
    </row>
    <row r="1957">
      <c r="A1957" s="2">
        <f>IFERROR(__xludf.DUMMYFUNCTION("""COMPUTED_VALUE"""),34221.666666666664)</f>
        <v>34221.66667</v>
      </c>
      <c r="B1957" s="1">
        <f>IFERROR(__xludf.DUMMYFUNCTION("""COMPUTED_VALUE"""),456.65)</f>
        <v>456.65</v>
      </c>
      <c r="C1957" s="1">
        <f>IFERROR(__xludf.DUMMYFUNCTION("""COMPUTED_VALUE"""),458.11)</f>
        <v>458.11</v>
      </c>
      <c r="D1957" s="1">
        <f>IFERROR(__xludf.DUMMYFUNCTION("""COMPUTED_VALUE"""),455.17)</f>
        <v>455.17</v>
      </c>
      <c r="E1957" s="1">
        <f>IFERROR(__xludf.DUMMYFUNCTION("""COMPUTED_VALUE"""),457.5)</f>
        <v>457.5</v>
      </c>
      <c r="F1957" s="1">
        <f>IFERROR(__xludf.DUMMYFUNCTION("""COMPUTED_VALUE"""),4.0323436E7)</f>
        <v>40323436</v>
      </c>
    </row>
    <row r="1958">
      <c r="A1958" s="2">
        <f>IFERROR(__xludf.DUMMYFUNCTION("""COMPUTED_VALUE"""),34222.666666666664)</f>
        <v>34222.66667</v>
      </c>
      <c r="B1958" s="1">
        <f>IFERROR(__xludf.DUMMYFUNCTION("""COMPUTED_VALUE"""),457.49)</f>
        <v>457.49</v>
      </c>
      <c r="C1958" s="1">
        <f>IFERROR(__xludf.DUMMYFUNCTION("""COMPUTED_VALUE"""),461.86)</f>
        <v>461.86</v>
      </c>
      <c r="D1958" s="1">
        <f>IFERROR(__xludf.DUMMYFUNCTION("""COMPUTED_VALUE"""),457.49)</f>
        <v>457.49</v>
      </c>
      <c r="E1958" s="1">
        <f>IFERROR(__xludf.DUMMYFUNCTION("""COMPUTED_VALUE"""),461.72)</f>
        <v>461.72</v>
      </c>
      <c r="F1958" s="1">
        <f>IFERROR(__xludf.DUMMYFUNCTION("""COMPUTED_VALUE"""),4.2179688E7)</f>
        <v>42179688</v>
      </c>
    </row>
    <row r="1959">
      <c r="A1959" s="2">
        <f>IFERROR(__xludf.DUMMYFUNCTION("""COMPUTED_VALUE"""),34225.666666666664)</f>
        <v>34225.66667</v>
      </c>
      <c r="B1959" s="1">
        <f>IFERROR(__xludf.DUMMYFUNCTION("""COMPUTED_VALUE"""),461.7)</f>
        <v>461.7</v>
      </c>
      <c r="C1959" s="1">
        <f>IFERROR(__xludf.DUMMYFUNCTION("""COMPUTED_VALUE"""),463.38)</f>
        <v>463.38</v>
      </c>
      <c r="D1959" s="1">
        <f>IFERROR(__xludf.DUMMYFUNCTION("""COMPUTED_VALUE"""),461.41)</f>
        <v>461.41</v>
      </c>
      <c r="E1959" s="1">
        <f>IFERROR(__xludf.DUMMYFUNCTION("""COMPUTED_VALUE"""),462.06)</f>
        <v>462.06</v>
      </c>
      <c r="F1959" s="1">
        <f>IFERROR(__xludf.DUMMYFUNCTION("""COMPUTED_VALUE"""),3.8276564E7)</f>
        <v>38276564</v>
      </c>
    </row>
    <row r="1960">
      <c r="A1960" s="2">
        <f>IFERROR(__xludf.DUMMYFUNCTION("""COMPUTED_VALUE"""),34226.666666666664)</f>
        <v>34226.66667</v>
      </c>
      <c r="B1960" s="1">
        <f>IFERROR(__xludf.DUMMYFUNCTION("""COMPUTED_VALUE"""),461.93)</f>
        <v>461.93</v>
      </c>
      <c r="C1960" s="1">
        <f>IFERROR(__xludf.DUMMYFUNCTION("""COMPUTED_VALUE"""),461.93)</f>
        <v>461.93</v>
      </c>
      <c r="D1960" s="1">
        <f>IFERROR(__xludf.DUMMYFUNCTION("""COMPUTED_VALUE"""),458.15)</f>
        <v>458.15</v>
      </c>
      <c r="E1960" s="1">
        <f>IFERROR(__xludf.DUMMYFUNCTION("""COMPUTED_VALUE"""),459.9)</f>
        <v>459.9</v>
      </c>
      <c r="F1960" s="1">
        <f>IFERROR(__xludf.DUMMYFUNCTION("""COMPUTED_VALUE"""),4.0414064E7)</f>
        <v>40414064</v>
      </c>
    </row>
    <row r="1961">
      <c r="A1961" s="2">
        <f>IFERROR(__xludf.DUMMYFUNCTION("""COMPUTED_VALUE"""),34227.666666666664)</f>
        <v>34227.66667</v>
      </c>
      <c r="B1961" s="1">
        <f>IFERROR(__xludf.DUMMYFUNCTION("""COMPUTED_VALUE"""),459.9)</f>
        <v>459.9</v>
      </c>
      <c r="C1961" s="1">
        <f>IFERROR(__xludf.DUMMYFUNCTION("""COMPUTED_VALUE"""),461.96)</f>
        <v>461.96</v>
      </c>
      <c r="D1961" s="1">
        <f>IFERROR(__xludf.DUMMYFUNCTION("""COMPUTED_VALUE"""),456.31)</f>
        <v>456.31</v>
      </c>
      <c r="E1961" s="1">
        <f>IFERROR(__xludf.DUMMYFUNCTION("""COMPUTED_VALUE"""),461.6)</f>
        <v>461.6</v>
      </c>
      <c r="F1961" s="1">
        <f>IFERROR(__xludf.DUMMYFUNCTION("""COMPUTED_VALUE"""),4.6001564E7)</f>
        <v>46001564</v>
      </c>
    </row>
    <row r="1962">
      <c r="A1962" s="2">
        <f>IFERROR(__xludf.DUMMYFUNCTION("""COMPUTED_VALUE"""),34228.666666666664)</f>
        <v>34228.66667</v>
      </c>
      <c r="B1962" s="1">
        <f>IFERROR(__xludf.DUMMYFUNCTION("""COMPUTED_VALUE"""),461.54)</f>
        <v>461.54</v>
      </c>
      <c r="C1962" s="1">
        <f>IFERROR(__xludf.DUMMYFUNCTION("""COMPUTED_VALUE"""),461.54)</f>
        <v>461.54</v>
      </c>
      <c r="D1962" s="1">
        <f>IFERROR(__xludf.DUMMYFUNCTION("""COMPUTED_VALUE"""),459.0)</f>
        <v>459</v>
      </c>
      <c r="E1962" s="1">
        <f>IFERROR(__xludf.DUMMYFUNCTION("""COMPUTED_VALUE"""),459.43)</f>
        <v>459.43</v>
      </c>
      <c r="F1962" s="1">
        <f>IFERROR(__xludf.DUMMYFUNCTION("""COMPUTED_VALUE"""),3.5890624E7)</f>
        <v>35890624</v>
      </c>
    </row>
    <row r="1963">
      <c r="A1963" s="2">
        <f>IFERROR(__xludf.DUMMYFUNCTION("""COMPUTED_VALUE"""),34229.666666666664)</f>
        <v>34229.66667</v>
      </c>
      <c r="B1963" s="1">
        <f>IFERROR(__xludf.DUMMYFUNCTION("""COMPUTED_VALUE"""),459.43)</f>
        <v>459.43</v>
      </c>
      <c r="C1963" s="1">
        <f>IFERROR(__xludf.DUMMYFUNCTION("""COMPUTED_VALUE"""),459.43)</f>
        <v>459.43</v>
      </c>
      <c r="D1963" s="1">
        <f>IFERROR(__xludf.DUMMYFUNCTION("""COMPUTED_VALUE"""),457.09)</f>
        <v>457.09</v>
      </c>
      <c r="E1963" s="1">
        <f>IFERROR(__xludf.DUMMYFUNCTION("""COMPUTED_VALUE"""),458.83)</f>
        <v>458.83</v>
      </c>
      <c r="F1963" s="1">
        <f>IFERROR(__xludf.DUMMYFUNCTION("""COMPUTED_VALUE"""),5.9589064E7)</f>
        <v>59589064</v>
      </c>
    </row>
    <row r="1964">
      <c r="A1964" s="2">
        <f>IFERROR(__xludf.DUMMYFUNCTION("""COMPUTED_VALUE"""),34232.666666666664)</f>
        <v>34232.66667</v>
      </c>
      <c r="B1964" s="1">
        <f>IFERROR(__xludf.DUMMYFUNCTION("""COMPUTED_VALUE"""),458.84)</f>
        <v>458.84</v>
      </c>
      <c r="C1964" s="1">
        <f>IFERROR(__xludf.DUMMYFUNCTION("""COMPUTED_VALUE"""),459.91)</f>
        <v>459.91</v>
      </c>
      <c r="D1964" s="1">
        <f>IFERROR(__xludf.DUMMYFUNCTION("""COMPUTED_VALUE"""),455.0)</f>
        <v>455</v>
      </c>
      <c r="E1964" s="1">
        <f>IFERROR(__xludf.DUMMYFUNCTION("""COMPUTED_VALUE"""),455.05)</f>
        <v>455.05</v>
      </c>
      <c r="F1964" s="1">
        <f>IFERROR(__xludf.DUMMYFUNCTION("""COMPUTED_VALUE"""),3.6114064E7)</f>
        <v>36114064</v>
      </c>
    </row>
    <row r="1965">
      <c r="A1965" s="2">
        <f>IFERROR(__xludf.DUMMYFUNCTION("""COMPUTED_VALUE"""),34233.666666666664)</f>
        <v>34233.66667</v>
      </c>
      <c r="B1965" s="1">
        <f>IFERROR(__xludf.DUMMYFUNCTION("""COMPUTED_VALUE"""),455.05)</f>
        <v>455.05</v>
      </c>
      <c r="C1965" s="1">
        <f>IFERROR(__xludf.DUMMYFUNCTION("""COMPUTED_VALUE"""),455.8)</f>
        <v>455.8</v>
      </c>
      <c r="D1965" s="1">
        <f>IFERROR(__xludf.DUMMYFUNCTION("""COMPUTED_VALUE"""),449.64)</f>
        <v>449.64</v>
      </c>
      <c r="E1965" s="1">
        <f>IFERROR(__xludf.DUMMYFUNCTION("""COMPUTED_VALUE"""),452.95)</f>
        <v>452.95</v>
      </c>
      <c r="F1965" s="1">
        <f>IFERROR(__xludf.DUMMYFUNCTION("""COMPUTED_VALUE"""),4.6923436E7)</f>
        <v>46923436</v>
      </c>
    </row>
    <row r="1966">
      <c r="A1966" s="2">
        <f>IFERROR(__xludf.DUMMYFUNCTION("""COMPUTED_VALUE"""),34234.666666666664)</f>
        <v>34234.66667</v>
      </c>
      <c r="B1966" s="1">
        <f>IFERROR(__xludf.DUMMYFUNCTION("""COMPUTED_VALUE"""),452.94)</f>
        <v>452.94</v>
      </c>
      <c r="C1966" s="1">
        <f>IFERROR(__xludf.DUMMYFUNCTION("""COMPUTED_VALUE"""),456.92)</f>
        <v>456.92</v>
      </c>
      <c r="D1966" s="1">
        <f>IFERROR(__xludf.DUMMYFUNCTION("""COMPUTED_VALUE"""),452.94)</f>
        <v>452.94</v>
      </c>
      <c r="E1966" s="1">
        <f>IFERROR(__xludf.DUMMYFUNCTION("""COMPUTED_VALUE"""),456.2)</f>
        <v>456.2</v>
      </c>
      <c r="F1966" s="1">
        <f>IFERROR(__xludf.DUMMYFUNCTION("""COMPUTED_VALUE"""),4.67125E7)</f>
        <v>46712500</v>
      </c>
    </row>
    <row r="1967">
      <c r="A1967" s="2">
        <f>IFERROR(__xludf.DUMMYFUNCTION("""COMPUTED_VALUE"""),34235.666666666664)</f>
        <v>34235.66667</v>
      </c>
      <c r="B1967" s="1">
        <f>IFERROR(__xludf.DUMMYFUNCTION("""COMPUTED_VALUE"""),456.25)</f>
        <v>456.25</v>
      </c>
      <c r="C1967" s="1">
        <f>IFERROR(__xludf.DUMMYFUNCTION("""COMPUTED_VALUE"""),458.69)</f>
        <v>458.69</v>
      </c>
      <c r="D1967" s="1">
        <f>IFERROR(__xludf.DUMMYFUNCTION("""COMPUTED_VALUE"""),456.25)</f>
        <v>456.25</v>
      </c>
      <c r="E1967" s="1">
        <f>IFERROR(__xludf.DUMMYFUNCTION("""COMPUTED_VALUE"""),457.74)</f>
        <v>457.74</v>
      </c>
      <c r="F1967" s="1">
        <f>IFERROR(__xludf.DUMMYFUNCTION("""COMPUTED_VALUE"""),4.3023436E7)</f>
        <v>43023436</v>
      </c>
    </row>
    <row r="1968">
      <c r="A1968" s="2">
        <f>IFERROR(__xludf.DUMMYFUNCTION("""COMPUTED_VALUE"""),34236.666666666664)</f>
        <v>34236.66667</v>
      </c>
      <c r="B1968" s="1">
        <f>IFERROR(__xludf.DUMMYFUNCTION("""COMPUTED_VALUE"""),457.74)</f>
        <v>457.74</v>
      </c>
      <c r="C1968" s="1">
        <f>IFERROR(__xludf.DUMMYFUNCTION("""COMPUTED_VALUE"""),458.56)</f>
        <v>458.56</v>
      </c>
      <c r="D1968" s="1">
        <f>IFERROR(__xludf.DUMMYFUNCTION("""COMPUTED_VALUE"""),456.92)</f>
        <v>456.92</v>
      </c>
      <c r="E1968" s="1">
        <f>IFERROR(__xludf.DUMMYFUNCTION("""COMPUTED_VALUE"""),457.63)</f>
        <v>457.63</v>
      </c>
      <c r="F1968" s="1">
        <f>IFERROR(__xludf.DUMMYFUNCTION("""COMPUTED_VALUE"""),3.8792188E7)</f>
        <v>38792188</v>
      </c>
    </row>
    <row r="1969">
      <c r="A1969" s="2">
        <f>IFERROR(__xludf.DUMMYFUNCTION("""COMPUTED_VALUE"""),34239.666666666664)</f>
        <v>34239.66667</v>
      </c>
      <c r="B1969" s="1">
        <f>IFERROR(__xludf.DUMMYFUNCTION("""COMPUTED_VALUE"""),457.63)</f>
        <v>457.63</v>
      </c>
      <c r="C1969" s="1">
        <f>IFERROR(__xludf.DUMMYFUNCTION("""COMPUTED_VALUE"""),461.81)</f>
        <v>461.81</v>
      </c>
      <c r="D1969" s="1">
        <f>IFERROR(__xludf.DUMMYFUNCTION("""COMPUTED_VALUE"""),457.63)</f>
        <v>457.63</v>
      </c>
      <c r="E1969" s="1">
        <f>IFERROR(__xludf.DUMMYFUNCTION("""COMPUTED_VALUE"""),461.8)</f>
        <v>461.8</v>
      </c>
      <c r="F1969" s="1">
        <f>IFERROR(__xludf.DUMMYFUNCTION("""COMPUTED_VALUE"""),3.8268752E7)</f>
        <v>38268752</v>
      </c>
    </row>
    <row r="1970">
      <c r="A1970" s="2">
        <f>IFERROR(__xludf.DUMMYFUNCTION("""COMPUTED_VALUE"""),34240.666666666664)</f>
        <v>34240.66667</v>
      </c>
      <c r="B1970" s="1">
        <f>IFERROR(__xludf.DUMMYFUNCTION("""COMPUTED_VALUE"""),461.84)</f>
        <v>461.84</v>
      </c>
      <c r="C1970" s="1">
        <f>IFERROR(__xludf.DUMMYFUNCTION("""COMPUTED_VALUE"""),462.08)</f>
        <v>462.08</v>
      </c>
      <c r="D1970" s="1">
        <f>IFERROR(__xludf.DUMMYFUNCTION("""COMPUTED_VALUE"""),460.91)</f>
        <v>460.91</v>
      </c>
      <c r="E1970" s="1">
        <f>IFERROR(__xludf.DUMMYFUNCTION("""COMPUTED_VALUE"""),461.53)</f>
        <v>461.53</v>
      </c>
      <c r="F1970" s="1">
        <f>IFERROR(__xludf.DUMMYFUNCTION("""COMPUTED_VALUE"""),3.8018752E7)</f>
        <v>38018752</v>
      </c>
    </row>
    <row r="1971">
      <c r="A1971" s="2">
        <f>IFERROR(__xludf.DUMMYFUNCTION("""COMPUTED_VALUE"""),34241.666666666664)</f>
        <v>34241.66667</v>
      </c>
      <c r="B1971" s="1">
        <f>IFERROR(__xludf.DUMMYFUNCTION("""COMPUTED_VALUE"""),461.6)</f>
        <v>461.6</v>
      </c>
      <c r="C1971" s="1">
        <f>IFERROR(__xludf.DUMMYFUNCTION("""COMPUTED_VALUE"""),462.17)</f>
        <v>462.17</v>
      </c>
      <c r="D1971" s="1">
        <f>IFERROR(__xludf.DUMMYFUNCTION("""COMPUTED_VALUE"""),459.51)</f>
        <v>459.51</v>
      </c>
      <c r="E1971" s="1">
        <f>IFERROR(__xludf.DUMMYFUNCTION("""COMPUTED_VALUE"""),460.11)</f>
        <v>460.11</v>
      </c>
      <c r="F1971" s="1">
        <f>IFERROR(__xludf.DUMMYFUNCTION("""COMPUTED_VALUE"""),4.3389064E7)</f>
        <v>43389064</v>
      </c>
    </row>
    <row r="1972">
      <c r="A1972" s="2">
        <f>IFERROR(__xludf.DUMMYFUNCTION("""COMPUTED_VALUE"""),34242.666666666664)</f>
        <v>34242.66667</v>
      </c>
      <c r="B1972" s="1">
        <f>IFERROR(__xludf.DUMMYFUNCTION("""COMPUTED_VALUE"""),460.11)</f>
        <v>460.11</v>
      </c>
      <c r="C1972" s="1">
        <f>IFERROR(__xludf.DUMMYFUNCTION("""COMPUTED_VALUE"""),460.56)</f>
        <v>460.56</v>
      </c>
      <c r="D1972" s="1">
        <f>IFERROR(__xludf.DUMMYFUNCTION("""COMPUTED_VALUE"""),458.28)</f>
        <v>458.28</v>
      </c>
      <c r="E1972" s="1">
        <f>IFERROR(__xludf.DUMMYFUNCTION("""COMPUTED_VALUE"""),458.93)</f>
        <v>458.93</v>
      </c>
      <c r="F1972" s="1">
        <f>IFERROR(__xludf.DUMMYFUNCTION("""COMPUTED_VALUE"""),4.3903124E7)</f>
        <v>43903124</v>
      </c>
    </row>
    <row r="1973">
      <c r="A1973" s="2">
        <f>IFERROR(__xludf.DUMMYFUNCTION("""COMPUTED_VALUE"""),34243.666666666664)</f>
        <v>34243.66667</v>
      </c>
      <c r="B1973" s="1">
        <f>IFERROR(__xludf.DUMMYFUNCTION("""COMPUTED_VALUE"""),458.93)</f>
        <v>458.93</v>
      </c>
      <c r="C1973" s="1">
        <f>IFERROR(__xludf.DUMMYFUNCTION("""COMPUTED_VALUE"""),461.48)</f>
        <v>461.48</v>
      </c>
      <c r="D1973" s="1">
        <f>IFERROR(__xludf.DUMMYFUNCTION("""COMPUTED_VALUE"""),458.35)</f>
        <v>458.35</v>
      </c>
      <c r="E1973" s="1">
        <f>IFERROR(__xludf.DUMMYFUNCTION("""COMPUTED_VALUE"""),461.28)</f>
        <v>461.28</v>
      </c>
      <c r="F1973" s="1">
        <f>IFERROR(__xludf.DUMMYFUNCTION("""COMPUTED_VALUE"""),4.01375E7)</f>
        <v>40137500</v>
      </c>
    </row>
    <row r="1974">
      <c r="A1974" s="2">
        <f>IFERROR(__xludf.DUMMYFUNCTION("""COMPUTED_VALUE"""),34246.666666666664)</f>
        <v>34246.66667</v>
      </c>
      <c r="B1974" s="1">
        <f>IFERROR(__xludf.DUMMYFUNCTION("""COMPUTED_VALUE"""),461.28)</f>
        <v>461.28</v>
      </c>
      <c r="C1974" s="1">
        <f>IFERROR(__xludf.DUMMYFUNCTION("""COMPUTED_VALUE"""),461.8)</f>
        <v>461.8</v>
      </c>
      <c r="D1974" s="1">
        <f>IFERROR(__xludf.DUMMYFUNCTION("""COMPUTED_VALUE"""),460.02)</f>
        <v>460.02</v>
      </c>
      <c r="E1974" s="1">
        <f>IFERROR(__xludf.DUMMYFUNCTION("""COMPUTED_VALUE"""),461.34)</f>
        <v>461.34</v>
      </c>
      <c r="F1974" s="1">
        <f>IFERROR(__xludf.DUMMYFUNCTION("""COMPUTED_VALUE"""),3.5840624E7)</f>
        <v>35840624</v>
      </c>
    </row>
    <row r="1975">
      <c r="A1975" s="2">
        <f>IFERROR(__xludf.DUMMYFUNCTION("""COMPUTED_VALUE"""),34247.666666666664)</f>
        <v>34247.66667</v>
      </c>
      <c r="B1975" s="1">
        <f>IFERROR(__xludf.DUMMYFUNCTION("""COMPUTED_VALUE"""),461.34)</f>
        <v>461.34</v>
      </c>
      <c r="C1975" s="1">
        <f>IFERROR(__xludf.DUMMYFUNCTION("""COMPUTED_VALUE"""),463.15)</f>
        <v>463.15</v>
      </c>
      <c r="D1975" s="1">
        <f>IFERROR(__xludf.DUMMYFUNCTION("""COMPUTED_VALUE"""),459.45)</f>
        <v>459.45</v>
      </c>
      <c r="E1975" s="1">
        <f>IFERROR(__xludf.DUMMYFUNCTION("""COMPUTED_VALUE"""),461.2)</f>
        <v>461.2</v>
      </c>
      <c r="F1975" s="1">
        <f>IFERROR(__xludf.DUMMYFUNCTION("""COMPUTED_VALUE"""),4.6026564E7)</f>
        <v>46026564</v>
      </c>
    </row>
    <row r="1976">
      <c r="A1976" s="2">
        <f>IFERROR(__xludf.DUMMYFUNCTION("""COMPUTED_VALUE"""),34248.666666666664)</f>
        <v>34248.66667</v>
      </c>
      <c r="B1976" s="1">
        <f>IFERROR(__xludf.DUMMYFUNCTION("""COMPUTED_VALUE"""),461.24)</f>
        <v>461.24</v>
      </c>
      <c r="C1976" s="1">
        <f>IFERROR(__xludf.DUMMYFUNCTION("""COMPUTED_VALUE"""),462.6)</f>
        <v>462.6</v>
      </c>
      <c r="D1976" s="1">
        <f>IFERROR(__xludf.DUMMYFUNCTION("""COMPUTED_VALUE"""),460.26)</f>
        <v>460.26</v>
      </c>
      <c r="E1976" s="1">
        <f>IFERROR(__xludf.DUMMYFUNCTION("""COMPUTED_VALUE"""),460.74)</f>
        <v>460.74</v>
      </c>
      <c r="F1976" s="1">
        <f>IFERROR(__xludf.DUMMYFUNCTION("""COMPUTED_VALUE"""),4.3292188E7)</f>
        <v>43292188</v>
      </c>
    </row>
    <row r="1977">
      <c r="A1977" s="2">
        <f>IFERROR(__xludf.DUMMYFUNCTION("""COMPUTED_VALUE"""),34249.666666666664)</f>
        <v>34249.66667</v>
      </c>
      <c r="B1977" s="1">
        <f>IFERROR(__xludf.DUMMYFUNCTION("""COMPUTED_VALUE"""),460.71)</f>
        <v>460.71</v>
      </c>
      <c r="C1977" s="1">
        <f>IFERROR(__xludf.DUMMYFUNCTION("""COMPUTED_VALUE"""),461.13)</f>
        <v>461.13</v>
      </c>
      <c r="D1977" s="1">
        <f>IFERROR(__xludf.DUMMYFUNCTION("""COMPUTED_VALUE"""),459.08)</f>
        <v>459.08</v>
      </c>
      <c r="E1977" s="1">
        <f>IFERROR(__xludf.DUMMYFUNCTION("""COMPUTED_VALUE"""),459.18)</f>
        <v>459.18</v>
      </c>
      <c r="F1977" s="1">
        <f>IFERROR(__xludf.DUMMYFUNCTION("""COMPUTED_VALUE"""),3.9876564E7)</f>
        <v>39876564</v>
      </c>
    </row>
    <row r="1978">
      <c r="A1978" s="2">
        <f>IFERROR(__xludf.DUMMYFUNCTION("""COMPUTED_VALUE"""),34250.666666666664)</f>
        <v>34250.66667</v>
      </c>
      <c r="B1978" s="1">
        <f>IFERROR(__xludf.DUMMYFUNCTION("""COMPUTED_VALUE"""),459.18)</f>
        <v>459.18</v>
      </c>
      <c r="C1978" s="1">
        <f>IFERROR(__xludf.DUMMYFUNCTION("""COMPUTED_VALUE"""),460.99)</f>
        <v>460.99</v>
      </c>
      <c r="D1978" s="1">
        <f>IFERROR(__xludf.DUMMYFUNCTION("""COMPUTED_VALUE"""),456.4)</f>
        <v>456.4</v>
      </c>
      <c r="E1978" s="1">
        <f>IFERROR(__xludf.DUMMYFUNCTION("""COMPUTED_VALUE"""),460.31)</f>
        <v>460.31</v>
      </c>
      <c r="F1978" s="1">
        <f>IFERROR(__xludf.DUMMYFUNCTION("""COMPUTED_VALUE"""),3.80625E7)</f>
        <v>38062500</v>
      </c>
    </row>
    <row r="1979">
      <c r="A1979" s="2">
        <f>IFERROR(__xludf.DUMMYFUNCTION("""COMPUTED_VALUE"""),34253.666666666664)</f>
        <v>34253.66667</v>
      </c>
      <c r="B1979" s="1">
        <f>IFERROR(__xludf.DUMMYFUNCTION("""COMPUTED_VALUE"""),460.31)</f>
        <v>460.31</v>
      </c>
      <c r="C1979" s="1">
        <f>IFERROR(__xludf.DUMMYFUNCTION("""COMPUTED_VALUE"""),461.87)</f>
        <v>461.87</v>
      </c>
      <c r="D1979" s="1">
        <f>IFERROR(__xludf.DUMMYFUNCTION("""COMPUTED_VALUE"""),460.31)</f>
        <v>460.31</v>
      </c>
      <c r="E1979" s="1">
        <f>IFERROR(__xludf.DUMMYFUNCTION("""COMPUTED_VALUE"""),460.88)</f>
        <v>460.88</v>
      </c>
      <c r="F1979" s="1">
        <f>IFERROR(__xludf.DUMMYFUNCTION("""COMPUTED_VALUE"""),2.8603124E7)</f>
        <v>28603124</v>
      </c>
    </row>
    <row r="1980">
      <c r="A1980" s="2">
        <f>IFERROR(__xludf.DUMMYFUNCTION("""COMPUTED_VALUE"""),34254.666666666664)</f>
        <v>34254.66667</v>
      </c>
      <c r="B1980" s="1">
        <f>IFERROR(__xludf.DUMMYFUNCTION("""COMPUTED_VALUE"""),461.04)</f>
        <v>461.04</v>
      </c>
      <c r="C1980" s="1">
        <f>IFERROR(__xludf.DUMMYFUNCTION("""COMPUTED_VALUE"""),462.47)</f>
        <v>462.47</v>
      </c>
      <c r="D1980" s="1">
        <f>IFERROR(__xludf.DUMMYFUNCTION("""COMPUTED_VALUE"""),460.73)</f>
        <v>460.73</v>
      </c>
      <c r="E1980" s="1">
        <f>IFERROR(__xludf.DUMMYFUNCTION("""COMPUTED_VALUE"""),461.12)</f>
        <v>461.12</v>
      </c>
      <c r="F1980" s="1">
        <f>IFERROR(__xludf.DUMMYFUNCTION("""COMPUTED_VALUE"""),4.1245312E7)</f>
        <v>41245312</v>
      </c>
    </row>
    <row r="1981">
      <c r="A1981" s="2">
        <f>IFERROR(__xludf.DUMMYFUNCTION("""COMPUTED_VALUE"""),34255.666666666664)</f>
        <v>34255.66667</v>
      </c>
      <c r="B1981" s="1">
        <f>IFERROR(__xludf.DUMMYFUNCTION("""COMPUTED_VALUE"""),461.12)</f>
        <v>461.12</v>
      </c>
      <c r="C1981" s="1">
        <f>IFERROR(__xludf.DUMMYFUNCTION("""COMPUTED_VALUE"""),461.98)</f>
        <v>461.98</v>
      </c>
      <c r="D1981" s="1">
        <f>IFERROR(__xludf.DUMMYFUNCTION("""COMPUTED_VALUE"""),460.76)</f>
        <v>460.76</v>
      </c>
      <c r="E1981" s="1">
        <f>IFERROR(__xludf.DUMMYFUNCTION("""COMPUTED_VALUE"""),461.49)</f>
        <v>461.49</v>
      </c>
      <c r="F1981" s="1">
        <f>IFERROR(__xludf.DUMMYFUNCTION("""COMPUTED_VALUE"""),4.5457812E7)</f>
        <v>45457812</v>
      </c>
    </row>
    <row r="1982">
      <c r="A1982" s="2">
        <f>IFERROR(__xludf.DUMMYFUNCTION("""COMPUTED_VALUE"""),34256.666666666664)</f>
        <v>34256.66667</v>
      </c>
      <c r="B1982" s="1">
        <f>IFERROR(__xludf.DUMMYFUNCTION("""COMPUTED_VALUE"""),461.55)</f>
        <v>461.55</v>
      </c>
      <c r="C1982" s="1">
        <f>IFERROR(__xludf.DUMMYFUNCTION("""COMPUTED_VALUE"""),466.83)</f>
        <v>466.83</v>
      </c>
      <c r="D1982" s="1">
        <f>IFERROR(__xludf.DUMMYFUNCTION("""COMPUTED_VALUE"""),461.55)</f>
        <v>461.55</v>
      </c>
      <c r="E1982" s="1">
        <f>IFERROR(__xludf.DUMMYFUNCTION("""COMPUTED_VALUE"""),466.83)</f>
        <v>466.83</v>
      </c>
      <c r="F1982" s="1">
        <f>IFERROR(__xludf.DUMMYFUNCTION("""COMPUTED_VALUE"""),5.5082812E7)</f>
        <v>55082812</v>
      </c>
    </row>
    <row r="1983">
      <c r="A1983" s="2">
        <f>IFERROR(__xludf.DUMMYFUNCTION("""COMPUTED_VALUE"""),34257.666666666664)</f>
        <v>34257.66667</v>
      </c>
      <c r="B1983" s="1">
        <f>IFERROR(__xludf.DUMMYFUNCTION("""COMPUTED_VALUE"""),466.83)</f>
        <v>466.83</v>
      </c>
      <c r="C1983" s="1">
        <f>IFERROR(__xludf.DUMMYFUNCTION("""COMPUTED_VALUE"""),471.1)</f>
        <v>471.1</v>
      </c>
      <c r="D1983" s="1">
        <f>IFERROR(__xludf.DUMMYFUNCTION("""COMPUTED_VALUE"""),466.83)</f>
        <v>466.83</v>
      </c>
      <c r="E1983" s="1">
        <f>IFERROR(__xludf.DUMMYFUNCTION("""COMPUTED_VALUE"""),469.5)</f>
        <v>469.5</v>
      </c>
      <c r="F1983" s="1">
        <f>IFERROR(__xludf.DUMMYFUNCTION("""COMPUTED_VALUE"""),5.7204688E7)</f>
        <v>57204688</v>
      </c>
    </row>
    <row r="1984">
      <c r="A1984" s="2">
        <f>IFERROR(__xludf.DUMMYFUNCTION("""COMPUTED_VALUE"""),34260.666666666664)</f>
        <v>34260.66667</v>
      </c>
      <c r="B1984" s="1">
        <f>IFERROR(__xludf.DUMMYFUNCTION("""COMPUTED_VALUE"""),469.5)</f>
        <v>469.5</v>
      </c>
      <c r="C1984" s="1">
        <f>IFERROR(__xludf.DUMMYFUNCTION("""COMPUTED_VALUE"""),470.04)</f>
        <v>470.04</v>
      </c>
      <c r="D1984" s="1">
        <f>IFERROR(__xludf.DUMMYFUNCTION("""COMPUTED_VALUE"""),468.02)</f>
        <v>468.02</v>
      </c>
      <c r="E1984" s="1">
        <f>IFERROR(__xludf.DUMMYFUNCTION("""COMPUTED_VALUE"""),468.45)</f>
        <v>468.45</v>
      </c>
      <c r="F1984" s="1">
        <f>IFERROR(__xludf.DUMMYFUNCTION("""COMPUTED_VALUE"""),5.1496876E7)</f>
        <v>51496876</v>
      </c>
    </row>
    <row r="1985">
      <c r="A1985" s="2">
        <f>IFERROR(__xludf.DUMMYFUNCTION("""COMPUTED_VALUE"""),34261.666666666664)</f>
        <v>34261.66667</v>
      </c>
      <c r="B1985" s="1">
        <f>IFERROR(__xludf.DUMMYFUNCTION("""COMPUTED_VALUE"""),468.41)</f>
        <v>468.41</v>
      </c>
      <c r="C1985" s="1">
        <f>IFERROR(__xludf.DUMMYFUNCTION("""COMPUTED_VALUE"""),468.64)</f>
        <v>468.64</v>
      </c>
      <c r="D1985" s="1">
        <f>IFERROR(__xludf.DUMMYFUNCTION("""COMPUTED_VALUE"""),464.8)</f>
        <v>464.8</v>
      </c>
      <c r="E1985" s="1">
        <f>IFERROR(__xludf.DUMMYFUNCTION("""COMPUTED_VALUE"""),466.21)</f>
        <v>466.21</v>
      </c>
      <c r="F1985" s="1">
        <f>IFERROR(__xludf.DUMMYFUNCTION("""COMPUTED_VALUE"""),4.75625E7)</f>
        <v>47562500</v>
      </c>
    </row>
    <row r="1986">
      <c r="A1986" s="2">
        <f>IFERROR(__xludf.DUMMYFUNCTION("""COMPUTED_VALUE"""),34262.666666666664)</f>
        <v>34262.66667</v>
      </c>
      <c r="B1986" s="1">
        <f>IFERROR(__xludf.DUMMYFUNCTION("""COMPUTED_VALUE"""),466.21)</f>
        <v>466.21</v>
      </c>
      <c r="C1986" s="1">
        <f>IFERROR(__xludf.DUMMYFUNCTION("""COMPUTED_VALUE"""),466.87)</f>
        <v>466.87</v>
      </c>
      <c r="D1986" s="1">
        <f>IFERROR(__xludf.DUMMYFUNCTION("""COMPUTED_VALUE"""),464.54)</f>
        <v>464.54</v>
      </c>
      <c r="E1986" s="1">
        <f>IFERROR(__xludf.DUMMYFUNCTION("""COMPUTED_VALUE"""),466.07)</f>
        <v>466.07</v>
      </c>
      <c r="F1986" s="1">
        <f>IFERROR(__xludf.DUMMYFUNCTION("""COMPUTED_VALUE"""),4.7760936E7)</f>
        <v>47760936</v>
      </c>
    </row>
    <row r="1987">
      <c r="A1987" s="2">
        <f>IFERROR(__xludf.DUMMYFUNCTION("""COMPUTED_VALUE"""),34263.666666666664)</f>
        <v>34263.66667</v>
      </c>
      <c r="B1987" s="1">
        <f>IFERROR(__xludf.DUMMYFUNCTION("""COMPUTED_VALUE"""),466.06)</f>
        <v>466.06</v>
      </c>
      <c r="C1987" s="1">
        <f>IFERROR(__xludf.DUMMYFUNCTION("""COMPUTED_VALUE"""),466.64)</f>
        <v>466.64</v>
      </c>
      <c r="D1987" s="1">
        <f>IFERROR(__xludf.DUMMYFUNCTION("""COMPUTED_VALUE"""),464.38)</f>
        <v>464.38</v>
      </c>
      <c r="E1987" s="1">
        <f>IFERROR(__xludf.DUMMYFUNCTION("""COMPUTED_VALUE"""),465.36)</f>
        <v>465.36</v>
      </c>
      <c r="F1987" s="1">
        <f>IFERROR(__xludf.DUMMYFUNCTION("""COMPUTED_VALUE"""),4.525E7)</f>
        <v>45250000</v>
      </c>
    </row>
    <row r="1988">
      <c r="A1988" s="2">
        <f>IFERROR(__xludf.DUMMYFUNCTION("""COMPUTED_VALUE"""),34264.666666666664)</f>
        <v>34264.66667</v>
      </c>
      <c r="B1988" s="1">
        <f>IFERROR(__xludf.DUMMYFUNCTION("""COMPUTED_VALUE"""),465.36)</f>
        <v>465.36</v>
      </c>
      <c r="C1988" s="1">
        <f>IFERROR(__xludf.DUMMYFUNCTION("""COMPUTED_VALUE"""),467.82)</f>
        <v>467.82</v>
      </c>
      <c r="D1988" s="1">
        <f>IFERROR(__xludf.DUMMYFUNCTION("""COMPUTED_VALUE"""),463.27)</f>
        <v>463.27</v>
      </c>
      <c r="E1988" s="1">
        <f>IFERROR(__xludf.DUMMYFUNCTION("""COMPUTED_VALUE"""),463.27)</f>
        <v>463.27</v>
      </c>
      <c r="F1988" s="1">
        <f>IFERROR(__xludf.DUMMYFUNCTION("""COMPUTED_VALUE"""),4.71E7)</f>
        <v>47100000</v>
      </c>
    </row>
    <row r="1989">
      <c r="A1989" s="2">
        <f>IFERROR(__xludf.DUMMYFUNCTION("""COMPUTED_VALUE"""),34267.666666666664)</f>
        <v>34267.66667</v>
      </c>
      <c r="B1989" s="1">
        <f>IFERROR(__xludf.DUMMYFUNCTION("""COMPUTED_VALUE"""),463.27)</f>
        <v>463.27</v>
      </c>
      <c r="C1989" s="1">
        <f>IFERROR(__xludf.DUMMYFUNCTION("""COMPUTED_VALUE"""),464.49)</f>
        <v>464.49</v>
      </c>
      <c r="D1989" s="1">
        <f>IFERROR(__xludf.DUMMYFUNCTION("""COMPUTED_VALUE"""),462.05)</f>
        <v>462.05</v>
      </c>
      <c r="E1989" s="1">
        <f>IFERROR(__xludf.DUMMYFUNCTION("""COMPUTED_VALUE"""),464.2)</f>
        <v>464.2</v>
      </c>
      <c r="F1989" s="1">
        <f>IFERROR(__xludf.DUMMYFUNCTION("""COMPUTED_VALUE"""),4.0673436E7)</f>
        <v>40673436</v>
      </c>
    </row>
    <row r="1990">
      <c r="A1990" s="2">
        <f>IFERROR(__xludf.DUMMYFUNCTION("""COMPUTED_VALUE"""),34268.666666666664)</f>
        <v>34268.66667</v>
      </c>
      <c r="B1990" s="1">
        <f>IFERROR(__xludf.DUMMYFUNCTION("""COMPUTED_VALUE"""),464.2)</f>
        <v>464.2</v>
      </c>
      <c r="C1990" s="1">
        <f>IFERROR(__xludf.DUMMYFUNCTION("""COMPUTED_VALUE"""),464.32)</f>
        <v>464.32</v>
      </c>
      <c r="D1990" s="1">
        <f>IFERROR(__xludf.DUMMYFUNCTION("""COMPUTED_VALUE"""),462.65)</f>
        <v>462.65</v>
      </c>
      <c r="E1990" s="1">
        <f>IFERROR(__xludf.DUMMYFUNCTION("""COMPUTED_VALUE"""),464.3)</f>
        <v>464.3</v>
      </c>
      <c r="F1990" s="1">
        <f>IFERROR(__xludf.DUMMYFUNCTION("""COMPUTED_VALUE"""),4.4457812E7)</f>
        <v>44457812</v>
      </c>
    </row>
    <row r="1991">
      <c r="A1991" s="2">
        <f>IFERROR(__xludf.DUMMYFUNCTION("""COMPUTED_VALUE"""),34269.666666666664)</f>
        <v>34269.66667</v>
      </c>
      <c r="B1991" s="1">
        <f>IFERROR(__xludf.DUMMYFUNCTION("""COMPUTED_VALUE"""),464.3)</f>
        <v>464.3</v>
      </c>
      <c r="C1991" s="1">
        <f>IFERROR(__xludf.DUMMYFUNCTION("""COMPUTED_VALUE"""),464.61)</f>
        <v>464.61</v>
      </c>
      <c r="D1991" s="1">
        <f>IFERROR(__xludf.DUMMYFUNCTION("""COMPUTED_VALUE"""),463.36)</f>
        <v>463.36</v>
      </c>
      <c r="E1991" s="1">
        <f>IFERROR(__xludf.DUMMYFUNCTION("""COMPUTED_VALUE"""),464.61)</f>
        <v>464.61</v>
      </c>
      <c r="F1991" s="1">
        <f>IFERROR(__xludf.DUMMYFUNCTION("""COMPUTED_VALUE"""),4.3723436E7)</f>
        <v>43723436</v>
      </c>
    </row>
    <row r="1992">
      <c r="A1992" s="2">
        <f>IFERROR(__xludf.DUMMYFUNCTION("""COMPUTED_VALUE"""),34270.666666666664)</f>
        <v>34270.66667</v>
      </c>
      <c r="B1992" s="1">
        <f>IFERROR(__xludf.DUMMYFUNCTION("""COMPUTED_VALUE"""),464.52)</f>
        <v>464.52</v>
      </c>
      <c r="C1992" s="1">
        <f>IFERROR(__xludf.DUMMYFUNCTION("""COMPUTED_VALUE"""),468.76)</f>
        <v>468.76</v>
      </c>
      <c r="D1992" s="1">
        <f>IFERROR(__xludf.DUMMYFUNCTION("""COMPUTED_VALUE"""),464.52)</f>
        <v>464.52</v>
      </c>
      <c r="E1992" s="1">
        <f>IFERROR(__xludf.DUMMYFUNCTION("""COMPUTED_VALUE"""),467.73)</f>
        <v>467.73</v>
      </c>
      <c r="F1992" s="1">
        <f>IFERROR(__xludf.DUMMYFUNCTION("""COMPUTED_VALUE"""),4.7065624E7)</f>
        <v>47065624</v>
      </c>
    </row>
    <row r="1993">
      <c r="A1993" s="2">
        <f>IFERROR(__xludf.DUMMYFUNCTION("""COMPUTED_VALUE"""),34271.666666666664)</f>
        <v>34271.66667</v>
      </c>
      <c r="B1993" s="1">
        <f>IFERROR(__xludf.DUMMYFUNCTION("""COMPUTED_VALUE"""),467.72)</f>
        <v>467.72</v>
      </c>
      <c r="C1993" s="1">
        <f>IFERROR(__xludf.DUMMYFUNCTION("""COMPUTED_VALUE"""),468.2)</f>
        <v>468.2</v>
      </c>
      <c r="D1993" s="1">
        <f>IFERROR(__xludf.DUMMYFUNCTION("""COMPUTED_VALUE"""),467.37)</f>
        <v>467.37</v>
      </c>
      <c r="E1993" s="1">
        <f>IFERROR(__xludf.DUMMYFUNCTION("""COMPUTED_VALUE"""),467.83)</f>
        <v>467.83</v>
      </c>
      <c r="F1993" s="1">
        <f>IFERROR(__xludf.DUMMYFUNCTION("""COMPUTED_VALUE"""),4.2276564E7)</f>
        <v>42276564</v>
      </c>
    </row>
    <row r="1994">
      <c r="A1994" s="2">
        <f>IFERROR(__xludf.DUMMYFUNCTION("""COMPUTED_VALUE"""),34274.666666666664)</f>
        <v>34274.66667</v>
      </c>
      <c r="B1994" s="1">
        <f>IFERROR(__xludf.DUMMYFUNCTION("""COMPUTED_VALUE"""),467.83)</f>
        <v>467.83</v>
      </c>
      <c r="C1994" s="1">
        <f>IFERROR(__xludf.DUMMYFUNCTION("""COMPUTED_VALUE"""),469.11)</f>
        <v>469.11</v>
      </c>
      <c r="D1994" s="1">
        <f>IFERROR(__xludf.DUMMYFUNCTION("""COMPUTED_VALUE"""),467.33)</f>
        <v>467.33</v>
      </c>
      <c r="E1994" s="1">
        <f>IFERROR(__xludf.DUMMYFUNCTION("""COMPUTED_VALUE"""),469.1)</f>
        <v>469.1</v>
      </c>
      <c r="F1994" s="1">
        <f>IFERROR(__xludf.DUMMYFUNCTION("""COMPUTED_VALUE"""),4.0004688E7)</f>
        <v>40004688</v>
      </c>
    </row>
    <row r="1995">
      <c r="A1995" s="2">
        <f>IFERROR(__xludf.DUMMYFUNCTION("""COMPUTED_VALUE"""),34275.666666666664)</f>
        <v>34275.66667</v>
      </c>
      <c r="B1995" s="1">
        <f>IFERROR(__xludf.DUMMYFUNCTION("""COMPUTED_VALUE"""),469.1)</f>
        <v>469.1</v>
      </c>
      <c r="C1995" s="1">
        <f>IFERROR(__xludf.DUMMYFUNCTION("""COMPUTED_VALUE"""),469.1)</f>
        <v>469.1</v>
      </c>
      <c r="D1995" s="1">
        <f>IFERROR(__xludf.DUMMYFUNCTION("""COMPUTED_VALUE"""),466.2)</f>
        <v>466.2</v>
      </c>
      <c r="E1995" s="1">
        <f>IFERROR(__xludf.DUMMYFUNCTION("""COMPUTED_VALUE"""),468.44)</f>
        <v>468.44</v>
      </c>
      <c r="F1995" s="1">
        <f>IFERROR(__xludf.DUMMYFUNCTION("""COMPUTED_VALUE"""),4.7621876E7)</f>
        <v>47621876</v>
      </c>
    </row>
    <row r="1996">
      <c r="A1996" s="2">
        <f>IFERROR(__xludf.DUMMYFUNCTION("""COMPUTED_VALUE"""),34276.666666666664)</f>
        <v>34276.66667</v>
      </c>
      <c r="B1996" s="1">
        <f>IFERROR(__xludf.DUMMYFUNCTION("""COMPUTED_VALUE"""),468.44)</f>
        <v>468.44</v>
      </c>
      <c r="C1996" s="1">
        <f>IFERROR(__xludf.DUMMYFUNCTION("""COMPUTED_VALUE"""),468.61)</f>
        <v>468.61</v>
      </c>
      <c r="D1996" s="1">
        <f>IFERROR(__xludf.DUMMYFUNCTION("""COMPUTED_VALUE"""),460.95)</f>
        <v>460.95</v>
      </c>
      <c r="E1996" s="1">
        <f>IFERROR(__xludf.DUMMYFUNCTION("""COMPUTED_VALUE"""),463.02)</f>
        <v>463.02</v>
      </c>
      <c r="F1996" s="1">
        <f>IFERROR(__xludf.DUMMYFUNCTION("""COMPUTED_VALUE"""),5.3454688E7)</f>
        <v>53454688</v>
      </c>
    </row>
    <row r="1997">
      <c r="A1997" s="2">
        <f>IFERROR(__xludf.DUMMYFUNCTION("""COMPUTED_VALUE"""),34277.666666666664)</f>
        <v>34277.66667</v>
      </c>
      <c r="B1997" s="1">
        <f>IFERROR(__xludf.DUMMYFUNCTION("""COMPUTED_VALUE"""),463.02)</f>
        <v>463.02</v>
      </c>
      <c r="C1997" s="1">
        <f>IFERROR(__xludf.DUMMYFUNCTION("""COMPUTED_VALUE"""),463.16)</f>
        <v>463.16</v>
      </c>
      <c r="D1997" s="1">
        <f>IFERROR(__xludf.DUMMYFUNCTION("""COMPUTED_VALUE"""),457.26)</f>
        <v>457.26</v>
      </c>
      <c r="E1997" s="1">
        <f>IFERROR(__xludf.DUMMYFUNCTION("""COMPUTED_VALUE"""),457.49)</f>
        <v>457.49</v>
      </c>
      <c r="F1997" s="1">
        <f>IFERROR(__xludf.DUMMYFUNCTION("""COMPUTED_VALUE"""),5.0535936E7)</f>
        <v>50535936</v>
      </c>
    </row>
    <row r="1998">
      <c r="A1998" s="2">
        <f>IFERROR(__xludf.DUMMYFUNCTION("""COMPUTED_VALUE"""),34278.666666666664)</f>
        <v>34278.66667</v>
      </c>
      <c r="B1998" s="1">
        <f>IFERROR(__xludf.DUMMYFUNCTION("""COMPUTED_VALUE"""),457.49)</f>
        <v>457.49</v>
      </c>
      <c r="C1998" s="1">
        <f>IFERROR(__xludf.DUMMYFUNCTION("""COMPUTED_VALUE"""),459.63)</f>
        <v>459.63</v>
      </c>
      <c r="D1998" s="1">
        <f>IFERROR(__xludf.DUMMYFUNCTION("""COMPUTED_VALUE"""),454.36)</f>
        <v>454.36</v>
      </c>
      <c r="E1998" s="1">
        <f>IFERROR(__xludf.DUMMYFUNCTION("""COMPUTED_VALUE"""),459.57)</f>
        <v>459.57</v>
      </c>
      <c r="F1998" s="1">
        <f>IFERROR(__xludf.DUMMYFUNCTION("""COMPUTED_VALUE"""),5.2639064E7)</f>
        <v>52639064</v>
      </c>
    </row>
    <row r="1999">
      <c r="A1999" s="2">
        <f>IFERROR(__xludf.DUMMYFUNCTION("""COMPUTED_VALUE"""),34281.666666666664)</f>
        <v>34281.66667</v>
      </c>
      <c r="B1999" s="1">
        <f>IFERROR(__xludf.DUMMYFUNCTION("""COMPUTED_VALUE"""),459.57)</f>
        <v>459.57</v>
      </c>
      <c r="C1999" s="1">
        <f>IFERROR(__xludf.DUMMYFUNCTION("""COMPUTED_VALUE"""),461.54)</f>
        <v>461.54</v>
      </c>
      <c r="D1999" s="1">
        <f>IFERROR(__xludf.DUMMYFUNCTION("""COMPUTED_VALUE"""),458.78)</f>
        <v>458.78</v>
      </c>
      <c r="E1999" s="1">
        <f>IFERROR(__xludf.DUMMYFUNCTION("""COMPUTED_VALUE"""),460.21)</f>
        <v>460.21</v>
      </c>
      <c r="F1999" s="1">
        <f>IFERROR(__xludf.DUMMYFUNCTION("""COMPUTED_VALUE"""),3.6615624E7)</f>
        <v>36615624</v>
      </c>
    </row>
    <row r="2000">
      <c r="A2000" s="2">
        <f>IFERROR(__xludf.DUMMYFUNCTION("""COMPUTED_VALUE"""),34282.666666666664)</f>
        <v>34282.66667</v>
      </c>
      <c r="B2000" s="1">
        <f>IFERROR(__xludf.DUMMYFUNCTION("""COMPUTED_VALUE"""),460.21)</f>
        <v>460.21</v>
      </c>
      <c r="C2000" s="1">
        <f>IFERROR(__xludf.DUMMYFUNCTION("""COMPUTED_VALUE"""),463.42)</f>
        <v>463.42</v>
      </c>
      <c r="D2000" s="1">
        <f>IFERROR(__xludf.DUMMYFUNCTION("""COMPUTED_VALUE"""),460.21)</f>
        <v>460.21</v>
      </c>
      <c r="E2000" s="1">
        <f>IFERROR(__xludf.DUMMYFUNCTION("""COMPUTED_VALUE"""),460.33)</f>
        <v>460.33</v>
      </c>
      <c r="F2000" s="1">
        <f>IFERROR(__xludf.DUMMYFUNCTION("""COMPUTED_VALUE"""),4.3181248E7)</f>
        <v>43181248</v>
      </c>
    </row>
    <row r="2001">
      <c r="A2001" s="2">
        <f>IFERROR(__xludf.DUMMYFUNCTION("""COMPUTED_VALUE"""),34283.666666666664)</f>
        <v>34283.66667</v>
      </c>
      <c r="B2001" s="1">
        <f>IFERROR(__xludf.DUMMYFUNCTION("""COMPUTED_VALUE"""),460.4)</f>
        <v>460.4</v>
      </c>
      <c r="C2001" s="1">
        <f>IFERROR(__xludf.DUMMYFUNCTION("""COMPUTED_VALUE"""),463.72)</f>
        <v>463.72</v>
      </c>
      <c r="D2001" s="1">
        <f>IFERROR(__xludf.DUMMYFUNCTION("""COMPUTED_VALUE"""),459.57)</f>
        <v>459.57</v>
      </c>
      <c r="E2001" s="1">
        <f>IFERROR(__xludf.DUMMYFUNCTION("""COMPUTED_VALUE"""),463.72)</f>
        <v>463.72</v>
      </c>
      <c r="F2001" s="1">
        <f>IFERROR(__xludf.DUMMYFUNCTION("""COMPUTED_VALUE"""),4.4289064E7)</f>
        <v>44289064</v>
      </c>
    </row>
    <row r="2002">
      <c r="A2002" s="2">
        <f>IFERROR(__xludf.DUMMYFUNCTION("""COMPUTED_VALUE"""),34284.666666666664)</f>
        <v>34284.66667</v>
      </c>
      <c r="B2002" s="1">
        <f>IFERROR(__xludf.DUMMYFUNCTION("""COMPUTED_VALUE"""),463.72)</f>
        <v>463.72</v>
      </c>
      <c r="C2002" s="1">
        <f>IFERROR(__xludf.DUMMYFUNCTION("""COMPUTED_VALUE"""),464.96)</f>
        <v>464.96</v>
      </c>
      <c r="D2002" s="1">
        <f>IFERROR(__xludf.DUMMYFUNCTION("""COMPUTED_VALUE"""),462.49)</f>
        <v>462.49</v>
      </c>
      <c r="E2002" s="1">
        <f>IFERROR(__xludf.DUMMYFUNCTION("""COMPUTED_VALUE"""),462.64)</f>
        <v>462.64</v>
      </c>
      <c r="F2002" s="1">
        <f>IFERROR(__xludf.DUMMYFUNCTION("""COMPUTED_VALUE"""),4.4346876E7)</f>
        <v>44346876</v>
      </c>
    </row>
    <row r="2003">
      <c r="A2003" s="2">
        <f>IFERROR(__xludf.DUMMYFUNCTION("""COMPUTED_VALUE"""),34285.666666666664)</f>
        <v>34285.66667</v>
      </c>
      <c r="B2003" s="1">
        <f>IFERROR(__xludf.DUMMYFUNCTION("""COMPUTED_VALUE"""),462.64)</f>
        <v>462.64</v>
      </c>
      <c r="C2003" s="1">
        <f>IFERROR(__xludf.DUMMYFUNCTION("""COMPUTED_VALUE"""),465.84)</f>
        <v>465.84</v>
      </c>
      <c r="D2003" s="1">
        <f>IFERROR(__xludf.DUMMYFUNCTION("""COMPUTED_VALUE"""),462.64)</f>
        <v>462.64</v>
      </c>
      <c r="E2003" s="1">
        <f>IFERROR(__xludf.DUMMYFUNCTION("""COMPUTED_VALUE"""),465.39)</f>
        <v>465.39</v>
      </c>
      <c r="F2003" s="1">
        <f>IFERROR(__xludf.DUMMYFUNCTION("""COMPUTED_VALUE"""),5.0975E7)</f>
        <v>50975000</v>
      </c>
    </row>
    <row r="2004">
      <c r="A2004" s="2">
        <f>IFERROR(__xludf.DUMMYFUNCTION("""COMPUTED_VALUE"""),34288.666666666664)</f>
        <v>34288.66667</v>
      </c>
      <c r="B2004" s="1">
        <f>IFERROR(__xludf.DUMMYFUNCTION("""COMPUTED_VALUE"""),465.39)</f>
        <v>465.39</v>
      </c>
      <c r="C2004" s="1">
        <f>IFERROR(__xludf.DUMMYFUNCTION("""COMPUTED_VALUE"""),466.13)</f>
        <v>466.13</v>
      </c>
      <c r="D2004" s="1">
        <f>IFERROR(__xludf.DUMMYFUNCTION("""COMPUTED_VALUE"""),463.01)</f>
        <v>463.01</v>
      </c>
      <c r="E2004" s="1">
        <f>IFERROR(__xludf.DUMMYFUNCTION("""COMPUTED_VALUE"""),463.75)</f>
        <v>463.75</v>
      </c>
      <c r="F2004" s="1">
        <f>IFERROR(__xludf.DUMMYFUNCTION("""COMPUTED_VALUE"""),3.9223436E7)</f>
        <v>39223436</v>
      </c>
    </row>
    <row r="2005">
      <c r="A2005" s="2">
        <f>IFERROR(__xludf.DUMMYFUNCTION("""COMPUTED_VALUE"""),34289.666666666664)</f>
        <v>34289.66667</v>
      </c>
      <c r="B2005" s="1">
        <f>IFERROR(__xludf.DUMMYFUNCTION("""COMPUTED_VALUE"""),463.75)</f>
        <v>463.75</v>
      </c>
      <c r="C2005" s="1">
        <f>IFERROR(__xludf.DUMMYFUNCTION("""COMPUTED_VALUE"""),466.74)</f>
        <v>466.74</v>
      </c>
      <c r="D2005" s="1">
        <f>IFERROR(__xludf.DUMMYFUNCTION("""COMPUTED_VALUE"""),462.97)</f>
        <v>462.97</v>
      </c>
      <c r="E2005" s="1">
        <f>IFERROR(__xludf.DUMMYFUNCTION("""COMPUTED_VALUE"""),466.74)</f>
        <v>466.74</v>
      </c>
      <c r="F2005" s="1">
        <f>IFERROR(__xludf.DUMMYFUNCTION("""COMPUTED_VALUE"""),4.7496876E7)</f>
        <v>47496876</v>
      </c>
    </row>
    <row r="2006">
      <c r="A2006" s="2">
        <f>IFERROR(__xludf.DUMMYFUNCTION("""COMPUTED_VALUE"""),34290.666666666664)</f>
        <v>34290.66667</v>
      </c>
      <c r="B2006" s="1">
        <f>IFERROR(__xludf.DUMMYFUNCTION("""COMPUTED_VALUE"""),466.74)</f>
        <v>466.74</v>
      </c>
      <c r="C2006" s="1">
        <f>IFERROR(__xludf.DUMMYFUNCTION("""COMPUTED_VALUE"""),467.24)</f>
        <v>467.24</v>
      </c>
      <c r="D2006" s="1">
        <f>IFERROR(__xludf.DUMMYFUNCTION("""COMPUTED_VALUE"""),462.73)</f>
        <v>462.73</v>
      </c>
      <c r="E2006" s="1">
        <f>IFERROR(__xludf.DUMMYFUNCTION("""COMPUTED_VALUE"""),464.81)</f>
        <v>464.81</v>
      </c>
      <c r="F2006" s="1">
        <f>IFERROR(__xludf.DUMMYFUNCTION("""COMPUTED_VALUE"""),4.9521876E7)</f>
        <v>49521876</v>
      </c>
    </row>
    <row r="2007">
      <c r="A2007" s="2">
        <f>IFERROR(__xludf.DUMMYFUNCTION("""COMPUTED_VALUE"""),34291.666666666664)</f>
        <v>34291.66667</v>
      </c>
      <c r="B2007" s="1">
        <f>IFERROR(__xludf.DUMMYFUNCTION("""COMPUTED_VALUE"""),464.83)</f>
        <v>464.83</v>
      </c>
      <c r="C2007" s="1">
        <f>IFERROR(__xludf.DUMMYFUNCTION("""COMPUTED_VALUE"""),464.88)</f>
        <v>464.88</v>
      </c>
      <c r="D2007" s="1">
        <f>IFERROR(__xludf.DUMMYFUNCTION("""COMPUTED_VALUE"""),461.73)</f>
        <v>461.73</v>
      </c>
      <c r="E2007" s="1">
        <f>IFERROR(__xludf.DUMMYFUNCTION("""COMPUTED_VALUE"""),463.62)</f>
        <v>463.62</v>
      </c>
      <c r="F2007" s="1">
        <f>IFERROR(__xludf.DUMMYFUNCTION("""COMPUTED_VALUE"""),4.8982812E7)</f>
        <v>48982812</v>
      </c>
    </row>
    <row r="2008">
      <c r="A2008" s="2">
        <f>IFERROR(__xludf.DUMMYFUNCTION("""COMPUTED_VALUE"""),34292.666666666664)</f>
        <v>34292.66667</v>
      </c>
      <c r="B2008" s="1">
        <f>IFERROR(__xludf.DUMMYFUNCTION("""COMPUTED_VALUE"""),463.59)</f>
        <v>463.59</v>
      </c>
      <c r="C2008" s="1">
        <f>IFERROR(__xludf.DUMMYFUNCTION("""COMPUTED_VALUE"""),463.6)</f>
        <v>463.6</v>
      </c>
      <c r="D2008" s="1">
        <f>IFERROR(__xludf.DUMMYFUNCTION("""COMPUTED_VALUE"""),460.03)</f>
        <v>460.03</v>
      </c>
      <c r="E2008" s="1">
        <f>IFERROR(__xludf.DUMMYFUNCTION("""COMPUTED_VALUE"""),462.6)</f>
        <v>462.6</v>
      </c>
      <c r="F2008" s="1">
        <f>IFERROR(__xludf.DUMMYFUNCTION("""COMPUTED_VALUE"""),4.7339064E7)</f>
        <v>47339064</v>
      </c>
    </row>
    <row r="2009">
      <c r="A2009" s="2">
        <f>IFERROR(__xludf.DUMMYFUNCTION("""COMPUTED_VALUE"""),34295.666666666664)</f>
        <v>34295.66667</v>
      </c>
      <c r="B2009" s="1">
        <f>IFERROR(__xludf.DUMMYFUNCTION("""COMPUTED_VALUE"""),462.6)</f>
        <v>462.6</v>
      </c>
      <c r="C2009" s="1">
        <f>IFERROR(__xludf.DUMMYFUNCTION("""COMPUTED_VALUE"""),462.6)</f>
        <v>462.6</v>
      </c>
      <c r="D2009" s="1">
        <f>IFERROR(__xludf.DUMMYFUNCTION("""COMPUTED_VALUE"""),457.08)</f>
        <v>457.08</v>
      </c>
      <c r="E2009" s="1">
        <f>IFERROR(__xludf.DUMMYFUNCTION("""COMPUTED_VALUE"""),459.13)</f>
        <v>459.13</v>
      </c>
      <c r="F2009" s="1">
        <f>IFERROR(__xludf.DUMMYFUNCTION("""COMPUTED_VALUE"""),4.3770312E7)</f>
        <v>43770312</v>
      </c>
    </row>
    <row r="2010">
      <c r="A2010" s="2">
        <f>IFERROR(__xludf.DUMMYFUNCTION("""COMPUTED_VALUE"""),34296.666666666664)</f>
        <v>34296.66667</v>
      </c>
      <c r="B2010" s="1">
        <f>IFERROR(__xludf.DUMMYFUNCTION("""COMPUTED_VALUE"""),459.13)</f>
        <v>459.13</v>
      </c>
      <c r="C2010" s="1">
        <f>IFERROR(__xludf.DUMMYFUNCTION("""COMPUTED_VALUE"""),461.77)</f>
        <v>461.77</v>
      </c>
      <c r="D2010" s="1">
        <f>IFERROR(__xludf.DUMMYFUNCTION("""COMPUTED_VALUE"""),458.47)</f>
        <v>458.47</v>
      </c>
      <c r="E2010" s="1">
        <f>IFERROR(__xludf.DUMMYFUNCTION("""COMPUTED_VALUE"""),461.03)</f>
        <v>461.03</v>
      </c>
      <c r="F2010" s="1">
        <f>IFERROR(__xludf.DUMMYFUNCTION("""COMPUTED_VALUE"""),4.06875E7)</f>
        <v>40687500</v>
      </c>
    </row>
    <row r="2011">
      <c r="A2011" s="2">
        <f>IFERROR(__xludf.DUMMYFUNCTION("""COMPUTED_VALUE"""),34297.666666666664)</f>
        <v>34297.66667</v>
      </c>
      <c r="B2011" s="1">
        <f>IFERROR(__xludf.DUMMYFUNCTION("""COMPUTED_VALUE"""),461.03)</f>
        <v>461.03</v>
      </c>
      <c r="C2011" s="1">
        <f>IFERROR(__xludf.DUMMYFUNCTION("""COMPUTED_VALUE"""),462.9)</f>
        <v>462.9</v>
      </c>
      <c r="D2011" s="1">
        <f>IFERROR(__xludf.DUMMYFUNCTION("""COMPUTED_VALUE"""),461.03)</f>
        <v>461.03</v>
      </c>
      <c r="E2011" s="1">
        <f>IFERROR(__xludf.DUMMYFUNCTION("""COMPUTED_VALUE"""),462.36)</f>
        <v>462.36</v>
      </c>
      <c r="F2011" s="1">
        <f>IFERROR(__xludf.DUMMYFUNCTION("""COMPUTED_VALUE"""),3.6035936E7)</f>
        <v>36035936</v>
      </c>
    </row>
    <row r="2012">
      <c r="A2012" s="2">
        <f>IFERROR(__xludf.DUMMYFUNCTION("""COMPUTED_VALUE"""),34299.666666666664)</f>
        <v>34299.66667</v>
      </c>
      <c r="B2012" s="1">
        <f>IFERROR(__xludf.DUMMYFUNCTION("""COMPUTED_VALUE"""),462.36)</f>
        <v>462.36</v>
      </c>
      <c r="C2012" s="1">
        <f>IFERROR(__xludf.DUMMYFUNCTION("""COMPUTED_VALUE"""),463.63)</f>
        <v>463.63</v>
      </c>
      <c r="D2012" s="1">
        <f>IFERROR(__xludf.DUMMYFUNCTION("""COMPUTED_VALUE"""),462.36)</f>
        <v>462.36</v>
      </c>
      <c r="E2012" s="1">
        <f>IFERROR(__xludf.DUMMYFUNCTION("""COMPUTED_VALUE"""),463.06)</f>
        <v>463.06</v>
      </c>
      <c r="F2012" s="1">
        <f>IFERROR(__xludf.DUMMYFUNCTION("""COMPUTED_VALUE"""),1.4096875E7)</f>
        <v>14096875</v>
      </c>
    </row>
    <row r="2013">
      <c r="A2013" s="2">
        <f>IFERROR(__xludf.DUMMYFUNCTION("""COMPUTED_VALUE"""),34302.666666666664)</f>
        <v>34302.66667</v>
      </c>
      <c r="B2013" s="1">
        <f>IFERROR(__xludf.DUMMYFUNCTION("""COMPUTED_VALUE"""),463.06)</f>
        <v>463.06</v>
      </c>
      <c r="C2013" s="1">
        <f>IFERROR(__xludf.DUMMYFUNCTION("""COMPUTED_VALUE"""),464.83)</f>
        <v>464.83</v>
      </c>
      <c r="D2013" s="1">
        <f>IFERROR(__xludf.DUMMYFUNCTION("""COMPUTED_VALUE"""),461.83)</f>
        <v>461.83</v>
      </c>
      <c r="E2013" s="1">
        <f>IFERROR(__xludf.DUMMYFUNCTION("""COMPUTED_VALUE"""),461.9)</f>
        <v>461.9</v>
      </c>
      <c r="F2013" s="1">
        <f>IFERROR(__xludf.DUMMYFUNCTION("""COMPUTED_VALUE"""),4.2610936E7)</f>
        <v>42610936</v>
      </c>
    </row>
    <row r="2014">
      <c r="A2014" s="2">
        <f>IFERROR(__xludf.DUMMYFUNCTION("""COMPUTED_VALUE"""),34303.666666666664)</f>
        <v>34303.66667</v>
      </c>
      <c r="B2014" s="1">
        <f>IFERROR(__xludf.DUMMYFUNCTION("""COMPUTED_VALUE"""),461.9)</f>
        <v>461.9</v>
      </c>
      <c r="C2014" s="1">
        <f>IFERROR(__xludf.DUMMYFUNCTION("""COMPUTED_VALUE"""),463.62)</f>
        <v>463.62</v>
      </c>
      <c r="D2014" s="1">
        <f>IFERROR(__xludf.DUMMYFUNCTION("""COMPUTED_VALUE"""),460.45)</f>
        <v>460.45</v>
      </c>
      <c r="E2014" s="1">
        <f>IFERROR(__xludf.DUMMYFUNCTION("""COMPUTED_VALUE"""),461.79)</f>
        <v>461.79</v>
      </c>
      <c r="F2014" s="1">
        <f>IFERROR(__xludf.DUMMYFUNCTION("""COMPUTED_VALUE"""),4.4790624E7)</f>
        <v>44790624</v>
      </c>
    </row>
    <row r="2015">
      <c r="A2015" s="2">
        <f>IFERROR(__xludf.DUMMYFUNCTION("""COMPUTED_VALUE"""),34304.666666666664)</f>
        <v>34304.66667</v>
      </c>
      <c r="B2015" s="1">
        <f>IFERROR(__xludf.DUMMYFUNCTION("""COMPUTED_VALUE"""),461.93)</f>
        <v>461.93</v>
      </c>
      <c r="C2015" s="1">
        <f>IFERROR(__xludf.DUMMYFUNCTION("""COMPUTED_VALUE"""),464.47)</f>
        <v>464.47</v>
      </c>
      <c r="D2015" s="1">
        <f>IFERROR(__xludf.DUMMYFUNCTION("""COMPUTED_VALUE"""),461.63)</f>
        <v>461.63</v>
      </c>
      <c r="E2015" s="1">
        <f>IFERROR(__xludf.DUMMYFUNCTION("""COMPUTED_VALUE"""),461.89)</f>
        <v>461.89</v>
      </c>
      <c r="F2015" s="1">
        <f>IFERROR(__xludf.DUMMYFUNCTION("""COMPUTED_VALUE"""),4.5917188E7)</f>
        <v>45917188</v>
      </c>
    </row>
    <row r="2016">
      <c r="A2016" s="2">
        <f>IFERROR(__xludf.DUMMYFUNCTION("""COMPUTED_VALUE"""),34305.666666666664)</f>
        <v>34305.66667</v>
      </c>
      <c r="B2016" s="1">
        <f>IFERROR(__xludf.DUMMYFUNCTION("""COMPUTED_VALUE"""),461.89)</f>
        <v>461.89</v>
      </c>
      <c r="C2016" s="1">
        <f>IFERROR(__xludf.DUMMYFUNCTION("""COMPUTED_VALUE"""),463.22)</f>
        <v>463.22</v>
      </c>
      <c r="D2016" s="1">
        <f>IFERROR(__xludf.DUMMYFUNCTION("""COMPUTED_VALUE"""),461.45)</f>
        <v>461.45</v>
      </c>
      <c r="E2016" s="1">
        <f>IFERROR(__xludf.DUMMYFUNCTION("""COMPUTED_VALUE"""),463.11)</f>
        <v>463.11</v>
      </c>
      <c r="F2016" s="1">
        <f>IFERROR(__xludf.DUMMYFUNCTION("""COMPUTED_VALUE"""),4.0057812E7)</f>
        <v>40057812</v>
      </c>
    </row>
    <row r="2017">
      <c r="A2017" s="2">
        <f>IFERROR(__xludf.DUMMYFUNCTION("""COMPUTED_VALUE"""),34306.666666666664)</f>
        <v>34306.66667</v>
      </c>
      <c r="B2017" s="1">
        <f>IFERROR(__xludf.DUMMYFUNCTION("""COMPUTED_VALUE"""),463.13)</f>
        <v>463.13</v>
      </c>
      <c r="C2017" s="1">
        <f>IFERROR(__xludf.DUMMYFUNCTION("""COMPUTED_VALUE"""),464.89)</f>
        <v>464.89</v>
      </c>
      <c r="D2017" s="1">
        <f>IFERROR(__xludf.DUMMYFUNCTION("""COMPUTED_VALUE"""),462.67)</f>
        <v>462.67</v>
      </c>
      <c r="E2017" s="1">
        <f>IFERROR(__xludf.DUMMYFUNCTION("""COMPUTED_VALUE"""),464.89)</f>
        <v>464.89</v>
      </c>
      <c r="F2017" s="1">
        <f>IFERROR(__xludf.DUMMYFUNCTION("""COMPUTED_VALUE"""),4.1931248E7)</f>
        <v>41931248</v>
      </c>
    </row>
    <row r="2018">
      <c r="A2018" s="2">
        <f>IFERROR(__xludf.DUMMYFUNCTION("""COMPUTED_VALUE"""),34309.666666666664)</f>
        <v>34309.66667</v>
      </c>
      <c r="B2018" s="1">
        <f>IFERROR(__xludf.DUMMYFUNCTION("""COMPUTED_VALUE"""),464.89)</f>
        <v>464.89</v>
      </c>
      <c r="C2018" s="1">
        <f>IFERROR(__xludf.DUMMYFUNCTION("""COMPUTED_VALUE"""),466.89)</f>
        <v>466.89</v>
      </c>
      <c r="D2018" s="1">
        <f>IFERROR(__xludf.DUMMYFUNCTION("""COMPUTED_VALUE"""),464.4)</f>
        <v>464.4</v>
      </c>
      <c r="E2018" s="1">
        <f>IFERROR(__xludf.DUMMYFUNCTION("""COMPUTED_VALUE"""),466.43)</f>
        <v>466.43</v>
      </c>
      <c r="F2018" s="1">
        <f>IFERROR(__xludf.DUMMYFUNCTION("""COMPUTED_VALUE"""),4.5682812E7)</f>
        <v>45682812</v>
      </c>
    </row>
    <row r="2019">
      <c r="A2019" s="2">
        <f>IFERROR(__xludf.DUMMYFUNCTION("""COMPUTED_VALUE"""),34310.666666666664)</f>
        <v>34310.66667</v>
      </c>
      <c r="B2019" s="1">
        <f>IFERROR(__xludf.DUMMYFUNCTION("""COMPUTED_VALUE"""),466.43)</f>
        <v>466.43</v>
      </c>
      <c r="C2019" s="1">
        <f>IFERROR(__xludf.DUMMYFUNCTION("""COMPUTED_VALUE"""),466.77)</f>
        <v>466.77</v>
      </c>
      <c r="D2019" s="1">
        <f>IFERROR(__xludf.DUMMYFUNCTION("""COMPUTED_VALUE"""),465.44)</f>
        <v>465.44</v>
      </c>
      <c r="E2019" s="1">
        <f>IFERROR(__xludf.DUMMYFUNCTION("""COMPUTED_VALUE"""),466.76)</f>
        <v>466.76</v>
      </c>
      <c r="F2019" s="1">
        <f>IFERROR(__xludf.DUMMYFUNCTION("""COMPUTED_VALUE"""),4.4639064E7)</f>
        <v>44639064</v>
      </c>
    </row>
    <row r="2020">
      <c r="A2020" s="2">
        <f>IFERROR(__xludf.DUMMYFUNCTION("""COMPUTED_VALUE"""),34311.666666666664)</f>
        <v>34311.66667</v>
      </c>
      <c r="B2020" s="1">
        <f>IFERROR(__xludf.DUMMYFUNCTION("""COMPUTED_VALUE"""),465.88)</f>
        <v>465.88</v>
      </c>
      <c r="C2020" s="1">
        <f>IFERROR(__xludf.DUMMYFUNCTION("""COMPUTED_VALUE"""),466.73)</f>
        <v>466.73</v>
      </c>
      <c r="D2020" s="1">
        <f>IFERROR(__xludf.DUMMYFUNCTION("""COMPUTED_VALUE"""),465.42)</f>
        <v>465.42</v>
      </c>
      <c r="E2020" s="1">
        <f>IFERROR(__xludf.DUMMYFUNCTION("""COMPUTED_VALUE"""),466.29)</f>
        <v>466.29</v>
      </c>
      <c r="F2020" s="1">
        <f>IFERROR(__xludf.DUMMYFUNCTION("""COMPUTED_VALUE"""),4.9134376E7)</f>
        <v>49134376</v>
      </c>
    </row>
    <row r="2021">
      <c r="A2021" s="2">
        <f>IFERROR(__xludf.DUMMYFUNCTION("""COMPUTED_VALUE"""),34312.666666666664)</f>
        <v>34312.66667</v>
      </c>
      <c r="B2021" s="1">
        <f>IFERROR(__xludf.DUMMYFUNCTION("""COMPUTED_VALUE"""),466.29)</f>
        <v>466.29</v>
      </c>
      <c r="C2021" s="1">
        <f>IFERROR(__xludf.DUMMYFUNCTION("""COMPUTED_VALUE"""),466.54)</f>
        <v>466.54</v>
      </c>
      <c r="D2021" s="1">
        <f>IFERROR(__xludf.DUMMYFUNCTION("""COMPUTED_VALUE"""),463.87)</f>
        <v>463.87</v>
      </c>
      <c r="E2021" s="1">
        <f>IFERROR(__xludf.DUMMYFUNCTION("""COMPUTED_VALUE"""),464.18)</f>
        <v>464.18</v>
      </c>
      <c r="F2021" s="1">
        <f>IFERROR(__xludf.DUMMYFUNCTION("""COMPUTED_VALUE"""),4.4932812E7)</f>
        <v>44932812</v>
      </c>
    </row>
    <row r="2022">
      <c r="A2022" s="2">
        <f>IFERROR(__xludf.DUMMYFUNCTION("""COMPUTED_VALUE"""),34313.666666666664)</f>
        <v>34313.66667</v>
      </c>
      <c r="B2022" s="1">
        <f>IFERROR(__xludf.DUMMYFUNCTION("""COMPUTED_VALUE"""),464.18)</f>
        <v>464.18</v>
      </c>
      <c r="C2022" s="1">
        <f>IFERROR(__xludf.DUMMYFUNCTION("""COMPUTED_VALUE"""),464.87)</f>
        <v>464.87</v>
      </c>
      <c r="D2022" s="1">
        <f>IFERROR(__xludf.DUMMYFUNCTION("""COMPUTED_VALUE"""),462.66)</f>
        <v>462.66</v>
      </c>
      <c r="E2022" s="1">
        <f>IFERROR(__xludf.DUMMYFUNCTION("""COMPUTED_VALUE"""),463.93)</f>
        <v>463.93</v>
      </c>
      <c r="F2022" s="1">
        <f>IFERROR(__xludf.DUMMYFUNCTION("""COMPUTED_VALUE"""),3.8378124E7)</f>
        <v>38378124</v>
      </c>
    </row>
    <row r="2023">
      <c r="A2023" s="2">
        <f>IFERROR(__xludf.DUMMYFUNCTION("""COMPUTED_VALUE"""),34316.666666666664)</f>
        <v>34316.66667</v>
      </c>
      <c r="B2023" s="1">
        <f>IFERROR(__xludf.DUMMYFUNCTION("""COMPUTED_VALUE"""),463.93)</f>
        <v>463.93</v>
      </c>
      <c r="C2023" s="1">
        <f>IFERROR(__xludf.DUMMYFUNCTION("""COMPUTED_VALUE"""),465.71)</f>
        <v>465.71</v>
      </c>
      <c r="D2023" s="1">
        <f>IFERROR(__xludf.DUMMYFUNCTION("""COMPUTED_VALUE"""),462.71)</f>
        <v>462.71</v>
      </c>
      <c r="E2023" s="1">
        <f>IFERROR(__xludf.DUMMYFUNCTION("""COMPUTED_VALUE"""),465.7)</f>
        <v>465.7</v>
      </c>
      <c r="F2023" s="1">
        <f>IFERROR(__xludf.DUMMYFUNCTION("""COMPUTED_VALUE"""),4.0090624E7)</f>
        <v>40090624</v>
      </c>
    </row>
    <row r="2024">
      <c r="A2024" s="2">
        <f>IFERROR(__xludf.DUMMYFUNCTION("""COMPUTED_VALUE"""),34317.666666666664)</f>
        <v>34317.66667</v>
      </c>
      <c r="B2024" s="1">
        <f>IFERROR(__xludf.DUMMYFUNCTION("""COMPUTED_VALUE"""),465.73)</f>
        <v>465.73</v>
      </c>
      <c r="C2024" s="1">
        <f>IFERROR(__xludf.DUMMYFUNCTION("""COMPUTED_VALUE"""),466.12)</f>
        <v>466.12</v>
      </c>
      <c r="D2024" s="1">
        <f>IFERROR(__xludf.DUMMYFUNCTION("""COMPUTED_VALUE"""),462.46)</f>
        <v>462.46</v>
      </c>
      <c r="E2024" s="1">
        <f>IFERROR(__xludf.DUMMYFUNCTION("""COMPUTED_VALUE"""),463.06)</f>
        <v>463.06</v>
      </c>
      <c r="F2024" s="1">
        <f>IFERROR(__xludf.DUMMYFUNCTION("""COMPUTED_VALUE"""),4.2976564E7)</f>
        <v>42976564</v>
      </c>
    </row>
    <row r="2025">
      <c r="A2025" s="2">
        <f>IFERROR(__xludf.DUMMYFUNCTION("""COMPUTED_VALUE"""),34318.666666666664)</f>
        <v>34318.66667</v>
      </c>
      <c r="B2025" s="1">
        <f>IFERROR(__xludf.DUMMYFUNCTION("""COMPUTED_VALUE"""),463.06)</f>
        <v>463.06</v>
      </c>
      <c r="C2025" s="1">
        <f>IFERROR(__xludf.DUMMYFUNCTION("""COMPUTED_VALUE"""),463.69)</f>
        <v>463.69</v>
      </c>
      <c r="D2025" s="1">
        <f>IFERROR(__xludf.DUMMYFUNCTION("""COMPUTED_VALUE"""),461.84)</f>
        <v>461.84</v>
      </c>
      <c r="E2025" s="1">
        <f>IFERROR(__xludf.DUMMYFUNCTION("""COMPUTED_VALUE"""),461.84)</f>
        <v>461.84</v>
      </c>
      <c r="F2025" s="1">
        <f>IFERROR(__xludf.DUMMYFUNCTION("""COMPUTED_VALUE"""),5.1839064E7)</f>
        <v>51839064</v>
      </c>
    </row>
    <row r="2026">
      <c r="A2026" s="2">
        <f>IFERROR(__xludf.DUMMYFUNCTION("""COMPUTED_VALUE"""),34319.666666666664)</f>
        <v>34319.66667</v>
      </c>
      <c r="B2026" s="1">
        <f>IFERROR(__xludf.DUMMYFUNCTION("""COMPUTED_VALUE"""),461.86)</f>
        <v>461.86</v>
      </c>
      <c r="C2026" s="1">
        <f>IFERROR(__xludf.DUMMYFUNCTION("""COMPUTED_VALUE"""),463.98)</f>
        <v>463.98</v>
      </c>
      <c r="D2026" s="1">
        <f>IFERROR(__xludf.DUMMYFUNCTION("""COMPUTED_VALUE"""),461.86)</f>
        <v>461.86</v>
      </c>
      <c r="E2026" s="1">
        <f>IFERROR(__xludf.DUMMYFUNCTION("""COMPUTED_VALUE"""),463.34)</f>
        <v>463.34</v>
      </c>
      <c r="F2026" s="1">
        <f>IFERROR(__xludf.DUMMYFUNCTION("""COMPUTED_VALUE"""),4.4471876E7)</f>
        <v>44471876</v>
      </c>
    </row>
    <row r="2027">
      <c r="A2027" s="2">
        <f>IFERROR(__xludf.DUMMYFUNCTION("""COMPUTED_VALUE"""),34320.666666666664)</f>
        <v>34320.66667</v>
      </c>
      <c r="B2027" s="1">
        <f>IFERROR(__xludf.DUMMYFUNCTION("""COMPUTED_VALUE"""),463.34)</f>
        <v>463.34</v>
      </c>
      <c r="C2027" s="1">
        <f>IFERROR(__xludf.DUMMYFUNCTION("""COMPUTED_VALUE"""),466.38)</f>
        <v>466.38</v>
      </c>
      <c r="D2027" s="1">
        <f>IFERROR(__xludf.DUMMYFUNCTION("""COMPUTED_VALUE"""),463.34)</f>
        <v>463.34</v>
      </c>
      <c r="E2027" s="1">
        <f>IFERROR(__xludf.DUMMYFUNCTION("""COMPUTED_VALUE"""),466.38)</f>
        <v>466.38</v>
      </c>
      <c r="F2027" s="1">
        <f>IFERROR(__xludf.DUMMYFUNCTION("""COMPUTED_VALUE"""),5.6835936E7)</f>
        <v>56835936</v>
      </c>
    </row>
    <row r="2028">
      <c r="A2028" s="2">
        <f>IFERROR(__xludf.DUMMYFUNCTION("""COMPUTED_VALUE"""),34323.666666666664)</f>
        <v>34323.66667</v>
      </c>
      <c r="B2028" s="1">
        <f>IFERROR(__xludf.DUMMYFUNCTION("""COMPUTED_VALUE"""),466.38)</f>
        <v>466.38</v>
      </c>
      <c r="C2028" s="1">
        <f>IFERROR(__xludf.DUMMYFUNCTION("""COMPUTED_VALUE"""),466.9)</f>
        <v>466.9</v>
      </c>
      <c r="D2028" s="1">
        <f>IFERROR(__xludf.DUMMYFUNCTION("""COMPUTED_VALUE"""),465.53)</f>
        <v>465.53</v>
      </c>
      <c r="E2028" s="1">
        <f>IFERROR(__xludf.DUMMYFUNCTION("""COMPUTED_VALUE"""),465.85)</f>
        <v>465.85</v>
      </c>
      <c r="F2028" s="1">
        <f>IFERROR(__xludf.DUMMYFUNCTION("""COMPUTED_VALUE"""),3.9984376E7)</f>
        <v>39984376</v>
      </c>
    </row>
    <row r="2029">
      <c r="A2029" s="2">
        <f>IFERROR(__xludf.DUMMYFUNCTION("""COMPUTED_VALUE"""),34324.666666666664)</f>
        <v>34324.66667</v>
      </c>
      <c r="B2029" s="1">
        <f>IFERROR(__xludf.DUMMYFUNCTION("""COMPUTED_VALUE"""),465.84)</f>
        <v>465.84</v>
      </c>
      <c r="C2029" s="1">
        <f>IFERROR(__xludf.DUMMYFUNCTION("""COMPUTED_VALUE"""),465.92)</f>
        <v>465.92</v>
      </c>
      <c r="D2029" s="1">
        <f>IFERROR(__xludf.DUMMYFUNCTION("""COMPUTED_VALUE"""),464.03)</f>
        <v>464.03</v>
      </c>
      <c r="E2029" s="1">
        <f>IFERROR(__xludf.DUMMYFUNCTION("""COMPUTED_VALUE"""),465.3)</f>
        <v>465.3</v>
      </c>
      <c r="F2029" s="1">
        <f>IFERROR(__xludf.DUMMYFUNCTION("""COMPUTED_VALUE"""),4.2714064E7)</f>
        <v>42714064</v>
      </c>
    </row>
    <row r="2030">
      <c r="A2030" s="2">
        <f>IFERROR(__xludf.DUMMYFUNCTION("""COMPUTED_VALUE"""),34325.666666666664)</f>
        <v>34325.66667</v>
      </c>
      <c r="B2030" s="1">
        <f>IFERROR(__xludf.DUMMYFUNCTION("""COMPUTED_VALUE"""),465.08)</f>
        <v>465.08</v>
      </c>
      <c r="C2030" s="1">
        <f>IFERROR(__xludf.DUMMYFUNCTION("""COMPUTED_VALUE"""),467.38)</f>
        <v>467.38</v>
      </c>
      <c r="D2030" s="1">
        <f>IFERROR(__xludf.DUMMYFUNCTION("""COMPUTED_VALUE"""),465.08)</f>
        <v>465.08</v>
      </c>
      <c r="E2030" s="1">
        <f>IFERROR(__xludf.DUMMYFUNCTION("""COMPUTED_VALUE"""),467.32)</f>
        <v>467.32</v>
      </c>
      <c r="F2030" s="1">
        <f>IFERROR(__xludf.DUMMYFUNCTION("""COMPUTED_VALUE"""),4.2568752E7)</f>
        <v>42568752</v>
      </c>
    </row>
    <row r="2031">
      <c r="A2031" s="2">
        <f>IFERROR(__xludf.DUMMYFUNCTION("""COMPUTED_VALUE"""),34326.666666666664)</f>
        <v>34326.66667</v>
      </c>
      <c r="B2031" s="1">
        <f>IFERROR(__xludf.DUMMYFUNCTION("""COMPUTED_VALUE"""),467.3)</f>
        <v>467.3</v>
      </c>
      <c r="C2031" s="1">
        <f>IFERROR(__xludf.DUMMYFUNCTION("""COMPUTED_VALUE"""),468.97)</f>
        <v>468.97</v>
      </c>
      <c r="D2031" s="1">
        <f>IFERROR(__xludf.DUMMYFUNCTION("""COMPUTED_VALUE"""),467.3)</f>
        <v>467.3</v>
      </c>
      <c r="E2031" s="1">
        <f>IFERROR(__xludf.DUMMYFUNCTION("""COMPUTED_VALUE"""),467.38)</f>
        <v>467.38</v>
      </c>
      <c r="F2031" s="1">
        <f>IFERROR(__xludf.DUMMYFUNCTION("""COMPUTED_VALUE"""),3.5506248E7)</f>
        <v>35506248</v>
      </c>
    </row>
    <row r="2032">
      <c r="A2032" s="2">
        <f>IFERROR(__xludf.DUMMYFUNCTION("""COMPUTED_VALUE"""),34330.666666666664)</f>
        <v>34330.66667</v>
      </c>
      <c r="B2032" s="1">
        <f>IFERROR(__xludf.DUMMYFUNCTION("""COMPUTED_VALUE"""),467.4)</f>
        <v>467.4</v>
      </c>
      <c r="C2032" s="1">
        <f>IFERROR(__xludf.DUMMYFUNCTION("""COMPUTED_VALUE"""),470.55)</f>
        <v>470.55</v>
      </c>
      <c r="D2032" s="1">
        <f>IFERROR(__xludf.DUMMYFUNCTION("""COMPUTED_VALUE"""),467.35)</f>
        <v>467.35</v>
      </c>
      <c r="E2032" s="1">
        <f>IFERROR(__xludf.DUMMYFUNCTION("""COMPUTED_VALUE"""),470.54)</f>
        <v>470.54</v>
      </c>
      <c r="F2032" s="1">
        <f>IFERROR(__xludf.DUMMYFUNCTION("""COMPUTED_VALUE"""),2.675E7)</f>
        <v>26750000</v>
      </c>
    </row>
    <row r="2033">
      <c r="A2033" s="2">
        <f>IFERROR(__xludf.DUMMYFUNCTION("""COMPUTED_VALUE"""),34331.666666666664)</f>
        <v>34331.66667</v>
      </c>
      <c r="B2033" s="1">
        <f>IFERROR(__xludf.DUMMYFUNCTION("""COMPUTED_VALUE"""),470.61)</f>
        <v>470.61</v>
      </c>
      <c r="C2033" s="1">
        <f>IFERROR(__xludf.DUMMYFUNCTION("""COMPUTED_VALUE"""),471.05)</f>
        <v>471.05</v>
      </c>
      <c r="D2033" s="1">
        <f>IFERROR(__xludf.DUMMYFUNCTION("""COMPUTED_VALUE"""),469.43)</f>
        <v>469.43</v>
      </c>
      <c r="E2033" s="1">
        <f>IFERROR(__xludf.DUMMYFUNCTION("""COMPUTED_VALUE"""),470.94)</f>
        <v>470.94</v>
      </c>
      <c r="F2033" s="1">
        <f>IFERROR(__xludf.DUMMYFUNCTION("""COMPUTED_VALUE"""),3.14E7)</f>
        <v>31400000</v>
      </c>
    </row>
    <row r="2034">
      <c r="A2034" s="2">
        <f>IFERROR(__xludf.DUMMYFUNCTION("""COMPUTED_VALUE"""),34332.666666666664)</f>
        <v>34332.66667</v>
      </c>
      <c r="B2034" s="1">
        <f>IFERROR(__xludf.DUMMYFUNCTION("""COMPUTED_VALUE"""),470.88)</f>
        <v>470.88</v>
      </c>
      <c r="C2034" s="1">
        <f>IFERROR(__xludf.DUMMYFUNCTION("""COMPUTED_VALUE"""),471.29)</f>
        <v>471.29</v>
      </c>
      <c r="D2034" s="1">
        <f>IFERROR(__xludf.DUMMYFUNCTION("""COMPUTED_VALUE"""),469.87)</f>
        <v>469.87</v>
      </c>
      <c r="E2034" s="1">
        <f>IFERROR(__xludf.DUMMYFUNCTION("""COMPUTED_VALUE"""),470.58)</f>
        <v>470.58</v>
      </c>
      <c r="F2034" s="1">
        <f>IFERROR(__xludf.DUMMYFUNCTION("""COMPUTED_VALUE"""),4.2120312E7)</f>
        <v>42120312</v>
      </c>
    </row>
    <row r="2035">
      <c r="A2035" s="2">
        <f>IFERROR(__xludf.DUMMYFUNCTION("""COMPUTED_VALUE"""),34333.666666666664)</f>
        <v>34333.66667</v>
      </c>
      <c r="B2035" s="1">
        <f>IFERROR(__xludf.DUMMYFUNCTION("""COMPUTED_VALUE"""),470.58)</f>
        <v>470.58</v>
      </c>
      <c r="C2035" s="1">
        <f>IFERROR(__xludf.DUMMYFUNCTION("""COMPUTED_VALUE"""),470.58)</f>
        <v>470.58</v>
      </c>
      <c r="D2035" s="1">
        <f>IFERROR(__xludf.DUMMYFUNCTION("""COMPUTED_VALUE"""),468.09)</f>
        <v>468.09</v>
      </c>
      <c r="E2035" s="1">
        <f>IFERROR(__xludf.DUMMYFUNCTION("""COMPUTED_VALUE"""),468.64)</f>
        <v>468.64</v>
      </c>
      <c r="F2035" s="1">
        <f>IFERROR(__xludf.DUMMYFUNCTION("""COMPUTED_VALUE"""),3.0603124E7)</f>
        <v>30603124</v>
      </c>
    </row>
    <row r="2036">
      <c r="A2036" s="2">
        <f>IFERROR(__xludf.DUMMYFUNCTION("""COMPUTED_VALUE"""),34334.666666666664)</f>
        <v>34334.66667</v>
      </c>
      <c r="B2036" s="1">
        <f>IFERROR(__xludf.DUMMYFUNCTION("""COMPUTED_VALUE"""),468.66)</f>
        <v>468.66</v>
      </c>
      <c r="C2036" s="1">
        <f>IFERROR(__xludf.DUMMYFUNCTION("""COMPUTED_VALUE"""),470.75)</f>
        <v>470.75</v>
      </c>
      <c r="D2036" s="1">
        <f>IFERROR(__xludf.DUMMYFUNCTION("""COMPUTED_VALUE"""),466.45)</f>
        <v>466.45</v>
      </c>
      <c r="E2036" s="1">
        <f>IFERROR(__xludf.DUMMYFUNCTION("""COMPUTED_VALUE"""),466.45)</f>
        <v>466.45</v>
      </c>
      <c r="F2036" s="1">
        <f>IFERROR(__xludf.DUMMYFUNCTION("""COMPUTED_VALUE"""),2.6342188E7)</f>
        <v>26342188</v>
      </c>
    </row>
    <row r="2037">
      <c r="A2037" s="2">
        <f>IFERROR(__xludf.DUMMYFUNCTION("""COMPUTED_VALUE"""),34337.666666666664)</f>
        <v>34337.66667</v>
      </c>
      <c r="B2037" s="1">
        <f>IFERROR(__xludf.DUMMYFUNCTION("""COMPUTED_VALUE"""),466.51)</f>
        <v>466.51</v>
      </c>
      <c r="C2037" s="1">
        <f>IFERROR(__xludf.DUMMYFUNCTION("""COMPUTED_VALUE"""),466.94)</f>
        <v>466.94</v>
      </c>
      <c r="D2037" s="1">
        <f>IFERROR(__xludf.DUMMYFUNCTION("""COMPUTED_VALUE"""),464.36)</f>
        <v>464.36</v>
      </c>
      <c r="E2037" s="1">
        <f>IFERROR(__xludf.DUMMYFUNCTION("""COMPUTED_VALUE"""),465.44)</f>
        <v>465.44</v>
      </c>
      <c r="F2037" s="1">
        <f>IFERROR(__xludf.DUMMYFUNCTION("""COMPUTED_VALUE"""),4.2209376E7)</f>
        <v>42209376</v>
      </c>
    </row>
    <row r="2038">
      <c r="A2038" s="2">
        <f>IFERROR(__xludf.DUMMYFUNCTION("""COMPUTED_VALUE"""),34338.666666666664)</f>
        <v>34338.66667</v>
      </c>
      <c r="B2038" s="1">
        <f>IFERROR(__xludf.DUMMYFUNCTION("""COMPUTED_VALUE"""),465.44)</f>
        <v>465.44</v>
      </c>
      <c r="C2038" s="1">
        <f>IFERROR(__xludf.DUMMYFUNCTION("""COMPUTED_VALUE"""),466.89)</f>
        <v>466.89</v>
      </c>
      <c r="D2038" s="1">
        <f>IFERROR(__xludf.DUMMYFUNCTION("""COMPUTED_VALUE"""),464.44)</f>
        <v>464.44</v>
      </c>
      <c r="E2038" s="1">
        <f>IFERROR(__xludf.DUMMYFUNCTION("""COMPUTED_VALUE"""),466.89)</f>
        <v>466.89</v>
      </c>
      <c r="F2038" s="1">
        <f>IFERROR(__xludf.DUMMYFUNCTION("""COMPUTED_VALUE"""),5.1031248E7)</f>
        <v>51031248</v>
      </c>
    </row>
    <row r="2039">
      <c r="A2039" s="2">
        <f>IFERROR(__xludf.DUMMYFUNCTION("""COMPUTED_VALUE"""),34339.666666666664)</f>
        <v>34339.66667</v>
      </c>
      <c r="B2039" s="1">
        <f>IFERROR(__xludf.DUMMYFUNCTION("""COMPUTED_VALUE"""),466.89)</f>
        <v>466.89</v>
      </c>
      <c r="C2039" s="1">
        <f>IFERROR(__xludf.DUMMYFUNCTION("""COMPUTED_VALUE"""),467.82)</f>
        <v>467.82</v>
      </c>
      <c r="D2039" s="1">
        <f>IFERROR(__xludf.DUMMYFUNCTION("""COMPUTED_VALUE"""),465.92)</f>
        <v>465.92</v>
      </c>
      <c r="E2039" s="1">
        <f>IFERROR(__xludf.DUMMYFUNCTION("""COMPUTED_VALUE"""),467.55)</f>
        <v>467.55</v>
      </c>
      <c r="F2039" s="1">
        <f>IFERROR(__xludf.DUMMYFUNCTION("""COMPUTED_VALUE"""),6.2504688E7)</f>
        <v>62504688</v>
      </c>
    </row>
    <row r="2040">
      <c r="A2040" s="2">
        <f>IFERROR(__xludf.DUMMYFUNCTION("""COMPUTED_VALUE"""),34340.666666666664)</f>
        <v>34340.66667</v>
      </c>
      <c r="B2040" s="1">
        <f>IFERROR(__xludf.DUMMYFUNCTION("""COMPUTED_VALUE"""),467.55)</f>
        <v>467.55</v>
      </c>
      <c r="C2040" s="1">
        <f>IFERROR(__xludf.DUMMYFUNCTION("""COMPUTED_VALUE"""),469.0)</f>
        <v>469</v>
      </c>
      <c r="D2040" s="1">
        <f>IFERROR(__xludf.DUMMYFUNCTION("""COMPUTED_VALUE"""),467.02)</f>
        <v>467.02</v>
      </c>
      <c r="E2040" s="1">
        <f>IFERROR(__xludf.DUMMYFUNCTION("""COMPUTED_VALUE"""),467.12)</f>
        <v>467.12</v>
      </c>
      <c r="F2040" s="1">
        <f>IFERROR(__xludf.DUMMYFUNCTION("""COMPUTED_VALUE"""),5.7181248E7)</f>
        <v>57181248</v>
      </c>
    </row>
    <row r="2041">
      <c r="A2041" s="2">
        <f>IFERROR(__xludf.DUMMYFUNCTION("""COMPUTED_VALUE"""),34341.666666666664)</f>
        <v>34341.66667</v>
      </c>
      <c r="B2041" s="1">
        <f>IFERROR(__xludf.DUMMYFUNCTION("""COMPUTED_VALUE"""),467.09)</f>
        <v>467.09</v>
      </c>
      <c r="C2041" s="1">
        <f>IFERROR(__xludf.DUMMYFUNCTION("""COMPUTED_VALUE"""),470.26)</f>
        <v>470.26</v>
      </c>
      <c r="D2041" s="1">
        <f>IFERROR(__xludf.DUMMYFUNCTION("""COMPUTED_VALUE"""),467.03)</f>
        <v>467.03</v>
      </c>
      <c r="E2041" s="1">
        <f>IFERROR(__xludf.DUMMYFUNCTION("""COMPUTED_VALUE"""),469.9)</f>
        <v>469.9</v>
      </c>
      <c r="F2041" s="1">
        <f>IFERROR(__xludf.DUMMYFUNCTION("""COMPUTED_VALUE"""),5.0768752E7)</f>
        <v>50768752</v>
      </c>
    </row>
    <row r="2042">
      <c r="A2042" s="2">
        <f>IFERROR(__xludf.DUMMYFUNCTION("""COMPUTED_VALUE"""),34344.666666666664)</f>
        <v>34344.66667</v>
      </c>
      <c r="B2042" s="1">
        <f>IFERROR(__xludf.DUMMYFUNCTION("""COMPUTED_VALUE"""),469.9)</f>
        <v>469.9</v>
      </c>
      <c r="C2042" s="1">
        <f>IFERROR(__xludf.DUMMYFUNCTION("""COMPUTED_VALUE"""),475.27)</f>
        <v>475.27</v>
      </c>
      <c r="D2042" s="1">
        <f>IFERROR(__xludf.DUMMYFUNCTION("""COMPUTED_VALUE"""),469.55)</f>
        <v>469.55</v>
      </c>
      <c r="E2042" s="1">
        <f>IFERROR(__xludf.DUMMYFUNCTION("""COMPUTED_VALUE"""),475.27)</f>
        <v>475.27</v>
      </c>
      <c r="F2042" s="1">
        <f>IFERROR(__xludf.DUMMYFUNCTION("""COMPUTED_VALUE"""),4.9920312E7)</f>
        <v>49920312</v>
      </c>
    </row>
    <row r="2043">
      <c r="A2043" s="2">
        <f>IFERROR(__xludf.DUMMYFUNCTION("""COMPUTED_VALUE"""),34345.666666666664)</f>
        <v>34345.66667</v>
      </c>
      <c r="B2043" s="1">
        <f>IFERROR(__xludf.DUMMYFUNCTION("""COMPUTED_VALUE"""),475.27)</f>
        <v>475.27</v>
      </c>
      <c r="C2043" s="1">
        <f>IFERROR(__xludf.DUMMYFUNCTION("""COMPUTED_VALUE"""),475.28)</f>
        <v>475.28</v>
      </c>
      <c r="D2043" s="1">
        <f>IFERROR(__xludf.DUMMYFUNCTION("""COMPUTED_VALUE"""),473.27)</f>
        <v>473.27</v>
      </c>
      <c r="E2043" s="1">
        <f>IFERROR(__xludf.DUMMYFUNCTION("""COMPUTED_VALUE"""),474.13)</f>
        <v>474.13</v>
      </c>
      <c r="F2043" s="1">
        <f>IFERROR(__xludf.DUMMYFUNCTION("""COMPUTED_VALUE"""),4.7732812E7)</f>
        <v>47732812</v>
      </c>
    </row>
    <row r="2044">
      <c r="A2044" s="2">
        <f>IFERROR(__xludf.DUMMYFUNCTION("""COMPUTED_VALUE"""),34346.666666666664)</f>
        <v>34346.66667</v>
      </c>
      <c r="B2044" s="1">
        <f>IFERROR(__xludf.DUMMYFUNCTION("""COMPUTED_VALUE"""),474.13)</f>
        <v>474.13</v>
      </c>
      <c r="C2044" s="1">
        <f>IFERROR(__xludf.DUMMYFUNCTION("""COMPUTED_VALUE"""),475.06)</f>
        <v>475.06</v>
      </c>
      <c r="D2044" s="1">
        <f>IFERROR(__xludf.DUMMYFUNCTION("""COMPUTED_VALUE"""),472.14)</f>
        <v>472.14</v>
      </c>
      <c r="E2044" s="1">
        <f>IFERROR(__xludf.DUMMYFUNCTION("""COMPUTED_VALUE"""),474.17)</f>
        <v>474.17</v>
      </c>
      <c r="F2044" s="1">
        <f>IFERROR(__xludf.DUMMYFUNCTION("""COMPUTED_VALUE"""),4.8545312E7)</f>
        <v>48545312</v>
      </c>
    </row>
    <row r="2045">
      <c r="A2045" s="2">
        <f>IFERROR(__xludf.DUMMYFUNCTION("""COMPUTED_VALUE"""),34347.666666666664)</f>
        <v>34347.66667</v>
      </c>
      <c r="B2045" s="1">
        <f>IFERROR(__xludf.DUMMYFUNCTION("""COMPUTED_VALUE"""),474.17)</f>
        <v>474.17</v>
      </c>
      <c r="C2045" s="1">
        <f>IFERROR(__xludf.DUMMYFUNCTION("""COMPUTED_VALUE"""),474.17)</f>
        <v>474.17</v>
      </c>
      <c r="D2045" s="1">
        <f>IFERROR(__xludf.DUMMYFUNCTION("""COMPUTED_VALUE"""),471.8)</f>
        <v>471.8</v>
      </c>
      <c r="E2045" s="1">
        <f>IFERROR(__xludf.DUMMYFUNCTION("""COMPUTED_VALUE"""),472.47)</f>
        <v>472.47</v>
      </c>
      <c r="F2045" s="1">
        <f>IFERROR(__xludf.DUMMYFUNCTION("""COMPUTED_VALUE"""),4.3432812E7)</f>
        <v>43432812</v>
      </c>
    </row>
    <row r="2046">
      <c r="A2046" s="2">
        <f>IFERROR(__xludf.DUMMYFUNCTION("""COMPUTED_VALUE"""),34348.666666666664)</f>
        <v>34348.66667</v>
      </c>
      <c r="B2046" s="1">
        <f>IFERROR(__xludf.DUMMYFUNCTION("""COMPUTED_VALUE"""),472.5)</f>
        <v>472.5</v>
      </c>
      <c r="C2046" s="1">
        <f>IFERROR(__xludf.DUMMYFUNCTION("""COMPUTED_VALUE"""),475.32)</f>
        <v>475.32</v>
      </c>
      <c r="D2046" s="1">
        <f>IFERROR(__xludf.DUMMYFUNCTION("""COMPUTED_VALUE"""),472.5)</f>
        <v>472.5</v>
      </c>
      <c r="E2046" s="1">
        <f>IFERROR(__xludf.DUMMYFUNCTION("""COMPUTED_VALUE"""),474.91)</f>
        <v>474.91</v>
      </c>
      <c r="F2046" s="1">
        <f>IFERROR(__xludf.DUMMYFUNCTION("""COMPUTED_VALUE"""),4.7643752E7)</f>
        <v>47643752</v>
      </c>
    </row>
    <row r="2047">
      <c r="A2047" s="2">
        <f>IFERROR(__xludf.DUMMYFUNCTION("""COMPUTED_VALUE"""),34351.666666666664)</f>
        <v>34351.66667</v>
      </c>
      <c r="B2047" s="1">
        <f>IFERROR(__xludf.DUMMYFUNCTION("""COMPUTED_VALUE"""),474.91)</f>
        <v>474.91</v>
      </c>
      <c r="C2047" s="1">
        <f>IFERROR(__xludf.DUMMYFUNCTION("""COMPUTED_VALUE"""),474.91)</f>
        <v>474.91</v>
      </c>
      <c r="D2047" s="1">
        <f>IFERROR(__xludf.DUMMYFUNCTION("""COMPUTED_VALUE"""),472.84)</f>
        <v>472.84</v>
      </c>
      <c r="E2047" s="1">
        <f>IFERROR(__xludf.DUMMYFUNCTION("""COMPUTED_VALUE"""),473.3)</f>
        <v>473.3</v>
      </c>
      <c r="F2047" s="1">
        <f>IFERROR(__xludf.DUMMYFUNCTION("""COMPUTED_VALUE"""),3.6559376E7)</f>
        <v>36559376</v>
      </c>
    </row>
    <row r="2048">
      <c r="A2048" s="2">
        <f>IFERROR(__xludf.DUMMYFUNCTION("""COMPUTED_VALUE"""),34352.666666666664)</f>
        <v>34352.66667</v>
      </c>
      <c r="B2048" s="1">
        <f>IFERROR(__xludf.DUMMYFUNCTION("""COMPUTED_VALUE"""),473.3)</f>
        <v>473.3</v>
      </c>
      <c r="C2048" s="1">
        <f>IFERROR(__xludf.DUMMYFUNCTION("""COMPUTED_VALUE"""),475.19)</f>
        <v>475.19</v>
      </c>
      <c r="D2048" s="1">
        <f>IFERROR(__xludf.DUMMYFUNCTION("""COMPUTED_VALUE"""),473.29)</f>
        <v>473.29</v>
      </c>
      <c r="E2048" s="1">
        <f>IFERROR(__xludf.DUMMYFUNCTION("""COMPUTED_VALUE"""),474.25)</f>
        <v>474.25</v>
      </c>
      <c r="F2048" s="1">
        <f>IFERROR(__xludf.DUMMYFUNCTION("""COMPUTED_VALUE"""),4.8256248E7)</f>
        <v>48256248</v>
      </c>
    </row>
    <row r="2049">
      <c r="A2049" s="2">
        <f>IFERROR(__xludf.DUMMYFUNCTION("""COMPUTED_VALUE"""),34353.666666666664)</f>
        <v>34353.66667</v>
      </c>
      <c r="B2049" s="1">
        <f>IFERROR(__xludf.DUMMYFUNCTION("""COMPUTED_VALUE"""),474.25)</f>
        <v>474.25</v>
      </c>
      <c r="C2049" s="1">
        <f>IFERROR(__xludf.DUMMYFUNCTION("""COMPUTED_VALUE"""),474.7)</f>
        <v>474.7</v>
      </c>
      <c r="D2049" s="1">
        <f>IFERROR(__xludf.DUMMYFUNCTION("""COMPUTED_VALUE"""),472.21)</f>
        <v>472.21</v>
      </c>
      <c r="E2049" s="1">
        <f>IFERROR(__xludf.DUMMYFUNCTION("""COMPUTED_VALUE"""),474.3)</f>
        <v>474.3</v>
      </c>
      <c r="F2049" s="1">
        <f>IFERROR(__xludf.DUMMYFUNCTION("""COMPUTED_VALUE"""),4.8651564E7)</f>
        <v>48651564</v>
      </c>
    </row>
    <row r="2050">
      <c r="A2050" s="2">
        <f>IFERROR(__xludf.DUMMYFUNCTION("""COMPUTED_VALUE"""),34354.666666666664)</f>
        <v>34354.66667</v>
      </c>
      <c r="B2050" s="1">
        <f>IFERROR(__xludf.DUMMYFUNCTION("""COMPUTED_VALUE"""),474.3)</f>
        <v>474.3</v>
      </c>
      <c r="C2050" s="1">
        <f>IFERROR(__xludf.DUMMYFUNCTION("""COMPUTED_VALUE"""),475.0)</f>
        <v>475</v>
      </c>
      <c r="D2050" s="1">
        <f>IFERROR(__xludf.DUMMYFUNCTION("""COMPUTED_VALUE"""),473.42)</f>
        <v>473.42</v>
      </c>
      <c r="E2050" s="1">
        <f>IFERROR(__xludf.DUMMYFUNCTION("""COMPUTED_VALUE"""),474.98)</f>
        <v>474.98</v>
      </c>
      <c r="F2050" s="1">
        <f>IFERROR(__xludf.DUMMYFUNCTION("""COMPUTED_VALUE"""),4.8507812E7)</f>
        <v>48507812</v>
      </c>
    </row>
    <row r="2051">
      <c r="A2051" s="2">
        <f>IFERROR(__xludf.DUMMYFUNCTION("""COMPUTED_VALUE"""),34355.666666666664)</f>
        <v>34355.66667</v>
      </c>
      <c r="B2051" s="1">
        <f>IFERROR(__xludf.DUMMYFUNCTION("""COMPUTED_VALUE"""),474.98)</f>
        <v>474.98</v>
      </c>
      <c r="C2051" s="1">
        <f>IFERROR(__xludf.DUMMYFUNCTION("""COMPUTED_VALUE"""),475.56)</f>
        <v>475.56</v>
      </c>
      <c r="D2051" s="1">
        <f>IFERROR(__xludf.DUMMYFUNCTION("""COMPUTED_VALUE"""),473.72)</f>
        <v>473.72</v>
      </c>
      <c r="E2051" s="1">
        <f>IFERROR(__xludf.DUMMYFUNCTION("""COMPUTED_VALUE"""),474.72)</f>
        <v>474.72</v>
      </c>
      <c r="F2051" s="1">
        <f>IFERROR(__xludf.DUMMYFUNCTION("""COMPUTED_VALUE"""),5.4117188E7)</f>
        <v>54117188</v>
      </c>
    </row>
    <row r="2052">
      <c r="A2052" s="2">
        <f>IFERROR(__xludf.DUMMYFUNCTION("""COMPUTED_VALUE"""),34358.666666666664)</f>
        <v>34358.66667</v>
      </c>
      <c r="B2052" s="1">
        <f>IFERROR(__xludf.DUMMYFUNCTION("""COMPUTED_VALUE"""),474.72)</f>
        <v>474.72</v>
      </c>
      <c r="C2052" s="1">
        <f>IFERROR(__xludf.DUMMYFUNCTION("""COMPUTED_VALUE"""),475.2)</f>
        <v>475.2</v>
      </c>
      <c r="D2052" s="1">
        <f>IFERROR(__xludf.DUMMYFUNCTION("""COMPUTED_VALUE"""),471.49)</f>
        <v>471.49</v>
      </c>
      <c r="E2052" s="1">
        <f>IFERROR(__xludf.DUMMYFUNCTION("""COMPUTED_VALUE"""),471.97)</f>
        <v>471.97</v>
      </c>
      <c r="F2052" s="1">
        <f>IFERROR(__xludf.DUMMYFUNCTION("""COMPUTED_VALUE"""),4.6390624E7)</f>
        <v>46390624</v>
      </c>
    </row>
    <row r="2053">
      <c r="A2053" s="2">
        <f>IFERROR(__xludf.DUMMYFUNCTION("""COMPUTED_VALUE"""),34359.666666666664)</f>
        <v>34359.66667</v>
      </c>
      <c r="B2053" s="1">
        <f>IFERROR(__xludf.DUMMYFUNCTION("""COMPUTED_VALUE"""),471.97)</f>
        <v>471.97</v>
      </c>
      <c r="C2053" s="1">
        <f>IFERROR(__xludf.DUMMYFUNCTION("""COMPUTED_VALUE"""),472.56)</f>
        <v>472.56</v>
      </c>
      <c r="D2053" s="1">
        <f>IFERROR(__xludf.DUMMYFUNCTION("""COMPUTED_VALUE"""),470.27)</f>
        <v>470.27</v>
      </c>
      <c r="E2053" s="1">
        <f>IFERROR(__xludf.DUMMYFUNCTION("""COMPUTED_VALUE"""),470.92)</f>
        <v>470.92</v>
      </c>
      <c r="F2053" s="1">
        <f>IFERROR(__xludf.DUMMYFUNCTION("""COMPUTED_VALUE"""),5.0956248E7)</f>
        <v>50956248</v>
      </c>
    </row>
    <row r="2054">
      <c r="A2054" s="2">
        <f>IFERROR(__xludf.DUMMYFUNCTION("""COMPUTED_VALUE"""),34360.666666666664)</f>
        <v>34360.66667</v>
      </c>
      <c r="B2054" s="1">
        <f>IFERROR(__xludf.DUMMYFUNCTION("""COMPUTED_VALUE"""),470.92)</f>
        <v>470.92</v>
      </c>
      <c r="C2054" s="1">
        <f>IFERROR(__xludf.DUMMYFUNCTION("""COMPUTED_VALUE"""),473.44)</f>
        <v>473.44</v>
      </c>
      <c r="D2054" s="1">
        <f>IFERROR(__xludf.DUMMYFUNCTION("""COMPUTED_VALUE"""),470.72)</f>
        <v>470.72</v>
      </c>
      <c r="E2054" s="1">
        <f>IFERROR(__xludf.DUMMYFUNCTION("""COMPUTED_VALUE"""),473.2)</f>
        <v>473.2</v>
      </c>
      <c r="F2054" s="1">
        <f>IFERROR(__xludf.DUMMYFUNCTION("""COMPUTED_VALUE"""),4.7603124E7)</f>
        <v>47603124</v>
      </c>
    </row>
    <row r="2055">
      <c r="A2055" s="2">
        <f>IFERROR(__xludf.DUMMYFUNCTION("""COMPUTED_VALUE"""),34361.666666666664)</f>
        <v>34361.66667</v>
      </c>
      <c r="B2055" s="1">
        <f>IFERROR(__xludf.DUMMYFUNCTION("""COMPUTED_VALUE"""),473.2)</f>
        <v>473.2</v>
      </c>
      <c r="C2055" s="1">
        <f>IFERROR(__xludf.DUMMYFUNCTION("""COMPUTED_VALUE"""),477.52)</f>
        <v>477.52</v>
      </c>
      <c r="D2055" s="1">
        <f>IFERROR(__xludf.DUMMYFUNCTION("""COMPUTED_VALUE"""),473.2)</f>
        <v>473.2</v>
      </c>
      <c r="E2055" s="1">
        <f>IFERROR(__xludf.DUMMYFUNCTION("""COMPUTED_VALUE"""),477.05)</f>
        <v>477.05</v>
      </c>
      <c r="F2055" s="1">
        <f>IFERROR(__xludf.DUMMYFUNCTION("""COMPUTED_VALUE"""),5.4140624E7)</f>
        <v>54140624</v>
      </c>
    </row>
    <row r="2056">
      <c r="A2056" s="2">
        <f>IFERROR(__xludf.DUMMYFUNCTION("""COMPUTED_VALUE"""),34362.666666666664)</f>
        <v>34362.66667</v>
      </c>
      <c r="B2056" s="1">
        <f>IFERROR(__xludf.DUMMYFUNCTION("""COMPUTED_VALUE"""),477.05)</f>
        <v>477.05</v>
      </c>
      <c r="C2056" s="1">
        <f>IFERROR(__xludf.DUMMYFUNCTION("""COMPUTED_VALUE"""),479.75)</f>
        <v>479.75</v>
      </c>
      <c r="D2056" s="1">
        <f>IFERROR(__xludf.DUMMYFUNCTION("""COMPUTED_VALUE"""),477.05)</f>
        <v>477.05</v>
      </c>
      <c r="E2056" s="1">
        <f>IFERROR(__xludf.DUMMYFUNCTION("""COMPUTED_VALUE"""),478.7)</f>
        <v>478.7</v>
      </c>
      <c r="F2056" s="1">
        <f>IFERROR(__xludf.DUMMYFUNCTION("""COMPUTED_VALUE"""),4.8928124E7)</f>
        <v>48928124</v>
      </c>
    </row>
    <row r="2057">
      <c r="A2057" s="2">
        <f>IFERROR(__xludf.DUMMYFUNCTION("""COMPUTED_VALUE"""),34365.666666666664)</f>
        <v>34365.66667</v>
      </c>
      <c r="B2057" s="1">
        <f>IFERROR(__xludf.DUMMYFUNCTION("""COMPUTED_VALUE"""),478.7)</f>
        <v>478.7</v>
      </c>
      <c r="C2057" s="1">
        <f>IFERROR(__xludf.DUMMYFUNCTION("""COMPUTED_VALUE"""),482.85)</f>
        <v>482.85</v>
      </c>
      <c r="D2057" s="1">
        <f>IFERROR(__xludf.DUMMYFUNCTION("""COMPUTED_VALUE"""),478.7)</f>
        <v>478.7</v>
      </c>
      <c r="E2057" s="1">
        <f>IFERROR(__xludf.DUMMYFUNCTION("""COMPUTED_VALUE"""),481.61)</f>
        <v>481.61</v>
      </c>
      <c r="F2057" s="1">
        <f>IFERROR(__xludf.DUMMYFUNCTION("""COMPUTED_VALUE"""),5.0448436E7)</f>
        <v>50448436</v>
      </c>
    </row>
    <row r="2058">
      <c r="A2058" s="2">
        <f>IFERROR(__xludf.DUMMYFUNCTION("""COMPUTED_VALUE"""),34366.666666666664)</f>
        <v>34366.66667</v>
      </c>
      <c r="B2058" s="1">
        <f>IFERROR(__xludf.DUMMYFUNCTION("""COMPUTED_VALUE"""),481.6)</f>
        <v>481.6</v>
      </c>
      <c r="C2058" s="1">
        <f>IFERROR(__xludf.DUMMYFUNCTION("""COMPUTED_VALUE"""),481.64)</f>
        <v>481.64</v>
      </c>
      <c r="D2058" s="1">
        <f>IFERROR(__xludf.DUMMYFUNCTION("""COMPUTED_VALUE"""),479.18)</f>
        <v>479.18</v>
      </c>
      <c r="E2058" s="1">
        <f>IFERROR(__xludf.DUMMYFUNCTION("""COMPUTED_VALUE"""),479.62)</f>
        <v>479.62</v>
      </c>
      <c r="F2058" s="1">
        <f>IFERROR(__xludf.DUMMYFUNCTION("""COMPUTED_VALUE"""),5.0392188E7)</f>
        <v>50392188</v>
      </c>
    </row>
    <row r="2059">
      <c r="A2059" s="2">
        <f>IFERROR(__xludf.DUMMYFUNCTION("""COMPUTED_VALUE"""),34367.666666666664)</f>
        <v>34367.66667</v>
      </c>
      <c r="B2059" s="1">
        <f>IFERROR(__xludf.DUMMYFUNCTION("""COMPUTED_VALUE"""),479.62)</f>
        <v>479.62</v>
      </c>
      <c r="C2059" s="1">
        <f>IFERROR(__xludf.DUMMYFUNCTION("""COMPUTED_VALUE"""),482.23)</f>
        <v>482.23</v>
      </c>
      <c r="D2059" s="1">
        <f>IFERROR(__xludf.DUMMYFUNCTION("""COMPUTED_VALUE"""),479.57)</f>
        <v>479.57</v>
      </c>
      <c r="E2059" s="1">
        <f>IFERROR(__xludf.DUMMYFUNCTION("""COMPUTED_VALUE"""),482.0)</f>
        <v>482</v>
      </c>
      <c r="F2059" s="1">
        <f>IFERROR(__xludf.DUMMYFUNCTION("""COMPUTED_VALUE"""),5.14E7)</f>
        <v>51400000</v>
      </c>
    </row>
    <row r="2060">
      <c r="A2060" s="2">
        <f>IFERROR(__xludf.DUMMYFUNCTION("""COMPUTED_VALUE"""),34368.666666666664)</f>
        <v>34368.66667</v>
      </c>
      <c r="B2060" s="1">
        <f>IFERROR(__xludf.DUMMYFUNCTION("""COMPUTED_VALUE"""),481.96)</f>
        <v>481.96</v>
      </c>
      <c r="C2060" s="1">
        <f>IFERROR(__xludf.DUMMYFUNCTION("""COMPUTED_VALUE"""),481.96)</f>
        <v>481.96</v>
      </c>
      <c r="D2060" s="1">
        <f>IFERROR(__xludf.DUMMYFUNCTION("""COMPUTED_VALUE"""),478.71)</f>
        <v>478.71</v>
      </c>
      <c r="E2060" s="1">
        <f>IFERROR(__xludf.DUMMYFUNCTION("""COMPUTED_VALUE"""),480.71)</f>
        <v>480.71</v>
      </c>
      <c r="F2060" s="1">
        <f>IFERROR(__xludf.DUMMYFUNCTION("""COMPUTED_VALUE"""),4.9742188E7)</f>
        <v>49742188</v>
      </c>
    </row>
    <row r="2061">
      <c r="A2061" s="2">
        <f>IFERROR(__xludf.DUMMYFUNCTION("""COMPUTED_VALUE"""),34369.666666666664)</f>
        <v>34369.66667</v>
      </c>
      <c r="B2061" s="1">
        <f>IFERROR(__xludf.DUMMYFUNCTION("""COMPUTED_VALUE"""),480.68)</f>
        <v>480.68</v>
      </c>
      <c r="C2061" s="1">
        <f>IFERROR(__xludf.DUMMYFUNCTION("""COMPUTED_VALUE"""),481.02)</f>
        <v>481.02</v>
      </c>
      <c r="D2061" s="1">
        <f>IFERROR(__xludf.DUMMYFUNCTION("""COMPUTED_VALUE"""),469.28)</f>
        <v>469.28</v>
      </c>
      <c r="E2061" s="1">
        <f>IFERROR(__xludf.DUMMYFUNCTION("""COMPUTED_VALUE"""),469.81)</f>
        <v>469.81</v>
      </c>
      <c r="F2061" s="1">
        <f>IFERROR(__xludf.DUMMYFUNCTION("""COMPUTED_VALUE"""),5.9121876E7)</f>
        <v>59121876</v>
      </c>
    </row>
    <row r="2062">
      <c r="A2062" s="2">
        <f>IFERROR(__xludf.DUMMYFUNCTION("""COMPUTED_VALUE"""),34372.666666666664)</f>
        <v>34372.66667</v>
      </c>
      <c r="B2062" s="1">
        <f>IFERROR(__xludf.DUMMYFUNCTION("""COMPUTED_VALUE"""),469.81)</f>
        <v>469.81</v>
      </c>
      <c r="C2062" s="1">
        <f>IFERROR(__xludf.DUMMYFUNCTION("""COMPUTED_VALUE"""),472.09)</f>
        <v>472.09</v>
      </c>
      <c r="D2062" s="1">
        <f>IFERROR(__xludf.DUMMYFUNCTION("""COMPUTED_VALUE"""),467.57)</f>
        <v>467.57</v>
      </c>
      <c r="E2062" s="1">
        <f>IFERROR(__xludf.DUMMYFUNCTION("""COMPUTED_VALUE"""),471.76)</f>
        <v>471.76</v>
      </c>
      <c r="F2062" s="1">
        <f>IFERROR(__xludf.DUMMYFUNCTION("""COMPUTED_VALUE"""),5.4417188E7)</f>
        <v>54417188</v>
      </c>
    </row>
    <row r="2063">
      <c r="A2063" s="2">
        <f>IFERROR(__xludf.DUMMYFUNCTION("""COMPUTED_VALUE"""),34373.666666666664)</f>
        <v>34373.66667</v>
      </c>
      <c r="B2063" s="1">
        <f>IFERROR(__xludf.DUMMYFUNCTION("""COMPUTED_VALUE"""),471.76)</f>
        <v>471.76</v>
      </c>
      <c r="C2063" s="1">
        <f>IFERROR(__xludf.DUMMYFUNCTION("""COMPUTED_VALUE"""),472.33)</f>
        <v>472.33</v>
      </c>
      <c r="D2063" s="1">
        <f>IFERROR(__xludf.DUMMYFUNCTION("""COMPUTED_VALUE"""),469.5)</f>
        <v>469.5</v>
      </c>
      <c r="E2063" s="1">
        <f>IFERROR(__xludf.DUMMYFUNCTION("""COMPUTED_VALUE"""),471.05)</f>
        <v>471.05</v>
      </c>
      <c r="F2063" s="1">
        <f>IFERROR(__xludf.DUMMYFUNCTION("""COMPUTED_VALUE"""),4.9715624E7)</f>
        <v>49715624</v>
      </c>
    </row>
    <row r="2064">
      <c r="A2064" s="2">
        <f>IFERROR(__xludf.DUMMYFUNCTION("""COMPUTED_VALUE"""),34374.666666666664)</f>
        <v>34374.66667</v>
      </c>
      <c r="B2064" s="1">
        <f>IFERROR(__xludf.DUMMYFUNCTION("""COMPUTED_VALUE"""),471.05)</f>
        <v>471.05</v>
      </c>
      <c r="C2064" s="1">
        <f>IFERROR(__xludf.DUMMYFUNCTION("""COMPUTED_VALUE"""),473.41)</f>
        <v>473.41</v>
      </c>
      <c r="D2064" s="1">
        <f>IFERROR(__xludf.DUMMYFUNCTION("""COMPUTED_VALUE"""),471.05)</f>
        <v>471.05</v>
      </c>
      <c r="E2064" s="1">
        <f>IFERROR(__xludf.DUMMYFUNCTION("""COMPUTED_VALUE"""),472.77)</f>
        <v>472.77</v>
      </c>
      <c r="F2064" s="1">
        <f>IFERROR(__xludf.DUMMYFUNCTION("""COMPUTED_VALUE"""),5.1979688E7)</f>
        <v>51979688</v>
      </c>
    </row>
    <row r="2065">
      <c r="A2065" s="2">
        <f>IFERROR(__xludf.DUMMYFUNCTION("""COMPUTED_VALUE"""),34375.666666666664)</f>
        <v>34375.66667</v>
      </c>
      <c r="B2065" s="1">
        <f>IFERROR(__xludf.DUMMYFUNCTION("""COMPUTED_VALUE"""),472.81)</f>
        <v>472.81</v>
      </c>
      <c r="C2065" s="1">
        <f>IFERROR(__xludf.DUMMYFUNCTION("""COMPUTED_VALUE"""),473.13)</f>
        <v>473.13</v>
      </c>
      <c r="D2065" s="1">
        <f>IFERROR(__xludf.DUMMYFUNCTION("""COMPUTED_VALUE"""),468.91)</f>
        <v>468.91</v>
      </c>
      <c r="E2065" s="1">
        <f>IFERROR(__xludf.DUMMYFUNCTION("""COMPUTED_VALUE"""),468.93)</f>
        <v>468.93</v>
      </c>
      <c r="F2065" s="1">
        <f>IFERROR(__xludf.DUMMYFUNCTION("""COMPUTED_VALUE"""),5.1132812E7)</f>
        <v>51132812</v>
      </c>
    </row>
    <row r="2066">
      <c r="A2066" s="2">
        <f>IFERROR(__xludf.DUMMYFUNCTION("""COMPUTED_VALUE"""),34376.666666666664)</f>
        <v>34376.66667</v>
      </c>
      <c r="B2066" s="1">
        <f>IFERROR(__xludf.DUMMYFUNCTION("""COMPUTED_VALUE"""),468.93)</f>
        <v>468.93</v>
      </c>
      <c r="C2066" s="1">
        <f>IFERROR(__xludf.DUMMYFUNCTION("""COMPUTED_VALUE"""),471.13)</f>
        <v>471.13</v>
      </c>
      <c r="D2066" s="1">
        <f>IFERROR(__xludf.DUMMYFUNCTION("""COMPUTED_VALUE"""),466.89)</f>
        <v>466.89</v>
      </c>
      <c r="E2066" s="1">
        <f>IFERROR(__xludf.DUMMYFUNCTION("""COMPUTED_VALUE"""),470.18)</f>
        <v>470.18</v>
      </c>
      <c r="F2066" s="1">
        <f>IFERROR(__xludf.DUMMYFUNCTION("""COMPUTED_VALUE"""),3.3396876E7)</f>
        <v>33396876</v>
      </c>
    </row>
    <row r="2067">
      <c r="A2067" s="2">
        <f>IFERROR(__xludf.DUMMYFUNCTION("""COMPUTED_VALUE"""),34379.666666666664)</f>
        <v>34379.66667</v>
      </c>
      <c r="B2067" s="1">
        <f>IFERROR(__xludf.DUMMYFUNCTION("""COMPUTED_VALUE"""),470.18)</f>
        <v>470.18</v>
      </c>
      <c r="C2067" s="1">
        <f>IFERROR(__xludf.DUMMYFUNCTION("""COMPUTED_VALUE"""),471.99)</f>
        <v>471.99</v>
      </c>
      <c r="D2067" s="1">
        <f>IFERROR(__xludf.DUMMYFUNCTION("""COMPUTED_VALUE"""),469.05)</f>
        <v>469.05</v>
      </c>
      <c r="E2067" s="1">
        <f>IFERROR(__xludf.DUMMYFUNCTION("""COMPUTED_VALUE"""),470.23)</f>
        <v>470.23</v>
      </c>
      <c r="F2067" s="1">
        <f>IFERROR(__xludf.DUMMYFUNCTION("""COMPUTED_VALUE"""),4.1123436E7)</f>
        <v>41123436</v>
      </c>
    </row>
    <row r="2068">
      <c r="A2068" s="2">
        <f>IFERROR(__xludf.DUMMYFUNCTION("""COMPUTED_VALUE"""),34380.666666666664)</f>
        <v>34380.66667</v>
      </c>
      <c r="B2068" s="1">
        <f>IFERROR(__xludf.DUMMYFUNCTION("""COMPUTED_VALUE"""),470.23)</f>
        <v>470.23</v>
      </c>
      <c r="C2068" s="1">
        <f>IFERROR(__xludf.DUMMYFUNCTION("""COMPUTED_VALUE"""),473.41)</f>
        <v>473.41</v>
      </c>
      <c r="D2068" s="1">
        <f>IFERROR(__xludf.DUMMYFUNCTION("""COMPUTED_VALUE"""),470.23)</f>
        <v>470.23</v>
      </c>
      <c r="E2068" s="1">
        <f>IFERROR(__xludf.DUMMYFUNCTION("""COMPUTED_VALUE"""),472.52)</f>
        <v>472.52</v>
      </c>
      <c r="F2068" s="1">
        <f>IFERROR(__xludf.DUMMYFUNCTION("""COMPUTED_VALUE"""),4.7935936E7)</f>
        <v>47935936</v>
      </c>
    </row>
    <row r="2069">
      <c r="A2069" s="2">
        <f>IFERROR(__xludf.DUMMYFUNCTION("""COMPUTED_VALUE"""),34381.666666666664)</f>
        <v>34381.66667</v>
      </c>
      <c r="B2069" s="1">
        <f>IFERROR(__xludf.DUMMYFUNCTION("""COMPUTED_VALUE"""),472.53)</f>
        <v>472.53</v>
      </c>
      <c r="C2069" s="1">
        <f>IFERROR(__xludf.DUMMYFUNCTION("""COMPUTED_VALUE"""),474.16)</f>
        <v>474.16</v>
      </c>
      <c r="D2069" s="1">
        <f>IFERROR(__xludf.DUMMYFUNCTION("""COMPUTED_VALUE"""),471.94)</f>
        <v>471.94</v>
      </c>
      <c r="E2069" s="1">
        <f>IFERROR(__xludf.DUMMYFUNCTION("""COMPUTED_VALUE"""),472.79)</f>
        <v>472.79</v>
      </c>
      <c r="F2069" s="1">
        <f>IFERROR(__xludf.DUMMYFUNCTION("""COMPUTED_VALUE"""),4.6164064E7)</f>
        <v>46164064</v>
      </c>
    </row>
    <row r="2070">
      <c r="A2070" s="2">
        <f>IFERROR(__xludf.DUMMYFUNCTION("""COMPUTED_VALUE"""),34382.666666666664)</f>
        <v>34382.66667</v>
      </c>
      <c r="B2070" s="1">
        <f>IFERROR(__xludf.DUMMYFUNCTION("""COMPUTED_VALUE"""),472.79)</f>
        <v>472.79</v>
      </c>
      <c r="C2070" s="1">
        <f>IFERROR(__xludf.DUMMYFUNCTION("""COMPUTED_VALUE"""),475.12)</f>
        <v>475.12</v>
      </c>
      <c r="D2070" s="1">
        <f>IFERROR(__xludf.DUMMYFUNCTION("""COMPUTED_VALUE"""),468.44)</f>
        <v>468.44</v>
      </c>
      <c r="E2070" s="1">
        <f>IFERROR(__xludf.DUMMYFUNCTION("""COMPUTED_VALUE"""),470.34)</f>
        <v>470.34</v>
      </c>
      <c r="F2070" s="1">
        <f>IFERROR(__xludf.DUMMYFUNCTION("""COMPUTED_VALUE"""),5.3129688E7)</f>
        <v>53129688</v>
      </c>
    </row>
    <row r="2071">
      <c r="A2071" s="2">
        <f>IFERROR(__xludf.DUMMYFUNCTION("""COMPUTED_VALUE"""),34383.666666666664)</f>
        <v>34383.66667</v>
      </c>
      <c r="B2071" s="1">
        <f>IFERROR(__xludf.DUMMYFUNCTION("""COMPUTED_VALUE"""),470.29)</f>
        <v>470.29</v>
      </c>
      <c r="C2071" s="1">
        <f>IFERROR(__xludf.DUMMYFUNCTION("""COMPUTED_VALUE"""),471.09)</f>
        <v>471.09</v>
      </c>
      <c r="D2071" s="1">
        <f>IFERROR(__xludf.DUMMYFUNCTION("""COMPUTED_VALUE"""),466.07)</f>
        <v>466.07</v>
      </c>
      <c r="E2071" s="1">
        <f>IFERROR(__xludf.DUMMYFUNCTION("""COMPUTED_VALUE"""),467.69)</f>
        <v>467.69</v>
      </c>
      <c r="F2071" s="1">
        <f>IFERROR(__xludf.DUMMYFUNCTION("""COMPUTED_VALUE"""),4.5814064E7)</f>
        <v>45814064</v>
      </c>
    </row>
    <row r="2072">
      <c r="A2072" s="2">
        <f>IFERROR(__xludf.DUMMYFUNCTION("""COMPUTED_VALUE"""),34386.666666666664)</f>
        <v>34386.66667</v>
      </c>
      <c r="B2072" s="1">
        <f>IFERROR(__xludf.DUMMYFUNCTION("""COMPUTED_VALUE"""),467.69)</f>
        <v>467.69</v>
      </c>
      <c r="C2072" s="1">
        <f>IFERROR(__xludf.DUMMYFUNCTION("""COMPUTED_VALUE"""),467.69)</f>
        <v>467.69</v>
      </c>
      <c r="D2072" s="1">
        <f>IFERROR(__xludf.DUMMYFUNCTION("""COMPUTED_VALUE"""),467.69)</f>
        <v>467.69</v>
      </c>
      <c r="E2072" s="1">
        <f>IFERROR(__xludf.DUMMYFUNCTION("""COMPUTED_VALUE"""),467.69)</f>
        <v>467.69</v>
      </c>
      <c r="F2072" s="1">
        <f>IFERROR(__xludf.DUMMYFUNCTION("""COMPUTED_VALUE"""),0.0)</f>
        <v>0</v>
      </c>
    </row>
    <row r="2073">
      <c r="A2073" s="2">
        <f>IFERROR(__xludf.DUMMYFUNCTION("""COMPUTED_VALUE"""),34387.666666666664)</f>
        <v>34387.66667</v>
      </c>
      <c r="B2073" s="1">
        <f>IFERROR(__xludf.DUMMYFUNCTION("""COMPUTED_VALUE"""),467.69)</f>
        <v>467.69</v>
      </c>
      <c r="C2073" s="1">
        <f>IFERROR(__xludf.DUMMYFUNCTION("""COMPUTED_VALUE"""),471.65)</f>
        <v>471.65</v>
      </c>
      <c r="D2073" s="1">
        <f>IFERROR(__xludf.DUMMYFUNCTION("""COMPUTED_VALUE"""),467.58)</f>
        <v>467.58</v>
      </c>
      <c r="E2073" s="1">
        <f>IFERROR(__xludf.DUMMYFUNCTION("""COMPUTED_VALUE"""),471.46)</f>
        <v>471.46</v>
      </c>
      <c r="F2073" s="1">
        <f>IFERROR(__xludf.DUMMYFUNCTION("""COMPUTED_VALUE"""),4.2328124E7)</f>
        <v>42328124</v>
      </c>
    </row>
    <row r="2074">
      <c r="A2074" s="2">
        <f>IFERROR(__xludf.DUMMYFUNCTION("""COMPUTED_VALUE"""),34388.666666666664)</f>
        <v>34388.66667</v>
      </c>
      <c r="B2074" s="1">
        <f>IFERROR(__xludf.DUMMYFUNCTION("""COMPUTED_VALUE"""),471.48)</f>
        <v>471.48</v>
      </c>
      <c r="C2074" s="1">
        <f>IFERROR(__xludf.DUMMYFUNCTION("""COMPUTED_VALUE"""),472.41)</f>
        <v>472.41</v>
      </c>
      <c r="D2074" s="1">
        <f>IFERROR(__xludf.DUMMYFUNCTION("""COMPUTED_VALUE"""),469.47)</f>
        <v>469.47</v>
      </c>
      <c r="E2074" s="1">
        <f>IFERROR(__xludf.DUMMYFUNCTION("""COMPUTED_VALUE"""),470.69)</f>
        <v>470.69</v>
      </c>
      <c r="F2074" s="1">
        <f>IFERROR(__xludf.DUMMYFUNCTION("""COMPUTED_VALUE"""),4.8423436E7)</f>
        <v>48423436</v>
      </c>
    </row>
    <row r="2075">
      <c r="A2075" s="2">
        <f>IFERROR(__xludf.DUMMYFUNCTION("""COMPUTED_VALUE"""),34389.666666666664)</f>
        <v>34389.66667</v>
      </c>
      <c r="B2075" s="1">
        <f>IFERROR(__xludf.DUMMYFUNCTION("""COMPUTED_VALUE"""),470.65)</f>
        <v>470.65</v>
      </c>
      <c r="C2075" s="1">
        <f>IFERROR(__xludf.DUMMYFUNCTION("""COMPUTED_VALUE"""),470.65)</f>
        <v>470.65</v>
      </c>
      <c r="D2075" s="1">
        <f>IFERROR(__xludf.DUMMYFUNCTION("""COMPUTED_VALUE"""),464.26)</f>
        <v>464.26</v>
      </c>
      <c r="E2075" s="1">
        <f>IFERROR(__xludf.DUMMYFUNCTION("""COMPUTED_VALUE"""),464.26)</f>
        <v>464.26</v>
      </c>
      <c r="F2075" s="1">
        <f>IFERROR(__xludf.DUMMYFUNCTION("""COMPUTED_VALUE"""),5.3584376E7)</f>
        <v>53584376</v>
      </c>
    </row>
    <row r="2076">
      <c r="A2076" s="2">
        <f>IFERROR(__xludf.DUMMYFUNCTION("""COMPUTED_VALUE"""),34390.666666666664)</f>
        <v>34390.66667</v>
      </c>
      <c r="B2076" s="1">
        <f>IFERROR(__xludf.DUMMYFUNCTION("""COMPUTED_VALUE"""),464.33)</f>
        <v>464.33</v>
      </c>
      <c r="C2076" s="1">
        <f>IFERROR(__xludf.DUMMYFUNCTION("""COMPUTED_VALUE"""),466.48)</f>
        <v>466.48</v>
      </c>
      <c r="D2076" s="1">
        <f>IFERROR(__xludf.DUMMYFUNCTION("""COMPUTED_VALUE"""),464.33)</f>
        <v>464.33</v>
      </c>
      <c r="E2076" s="1">
        <f>IFERROR(__xludf.DUMMYFUNCTION("""COMPUTED_VALUE"""),466.07)</f>
        <v>466.07</v>
      </c>
      <c r="F2076" s="1">
        <f>IFERROR(__xludf.DUMMYFUNCTION("""COMPUTED_VALUE"""),4.27625E7)</f>
        <v>42762500</v>
      </c>
    </row>
    <row r="2077">
      <c r="A2077" s="2">
        <f>IFERROR(__xludf.DUMMYFUNCTION("""COMPUTED_VALUE"""),34393.666666666664)</f>
        <v>34393.66667</v>
      </c>
      <c r="B2077" s="1">
        <f>IFERROR(__xludf.DUMMYFUNCTION("""COMPUTED_VALUE"""),466.07)</f>
        <v>466.07</v>
      </c>
      <c r="C2077" s="1">
        <f>IFERROR(__xludf.DUMMYFUNCTION("""COMPUTED_VALUE"""),469.16)</f>
        <v>469.16</v>
      </c>
      <c r="D2077" s="1">
        <f>IFERROR(__xludf.DUMMYFUNCTION("""COMPUTED_VALUE"""),466.07)</f>
        <v>466.07</v>
      </c>
      <c r="E2077" s="1">
        <f>IFERROR(__xludf.DUMMYFUNCTION("""COMPUTED_VALUE"""),467.14)</f>
        <v>467.14</v>
      </c>
      <c r="F2077" s="1">
        <f>IFERROR(__xludf.DUMMYFUNCTION("""COMPUTED_VALUE"""),4.1982812E7)</f>
        <v>41982812</v>
      </c>
    </row>
    <row r="2078">
      <c r="A2078" s="2">
        <f>IFERROR(__xludf.DUMMYFUNCTION("""COMPUTED_VALUE"""),34394.666666666664)</f>
        <v>34394.66667</v>
      </c>
      <c r="B2078" s="1">
        <f>IFERROR(__xludf.DUMMYFUNCTION("""COMPUTED_VALUE"""),467.19)</f>
        <v>467.19</v>
      </c>
      <c r="C2078" s="1">
        <f>IFERROR(__xludf.DUMMYFUNCTION("""COMPUTED_VALUE"""),467.43)</f>
        <v>467.43</v>
      </c>
      <c r="D2078" s="1">
        <f>IFERROR(__xludf.DUMMYFUNCTION("""COMPUTED_VALUE"""),462.02)</f>
        <v>462.02</v>
      </c>
      <c r="E2078" s="1">
        <f>IFERROR(__xludf.DUMMYFUNCTION("""COMPUTED_VALUE"""),464.44)</f>
        <v>464.44</v>
      </c>
      <c r="F2078" s="1">
        <f>IFERROR(__xludf.DUMMYFUNCTION("""COMPUTED_VALUE"""),4.7570312E7)</f>
        <v>47570312</v>
      </c>
    </row>
    <row r="2079">
      <c r="A2079" s="2">
        <f>IFERROR(__xludf.DUMMYFUNCTION("""COMPUTED_VALUE"""),34395.666666666664)</f>
        <v>34395.66667</v>
      </c>
      <c r="B2079" s="1">
        <f>IFERROR(__xludf.DUMMYFUNCTION("""COMPUTED_VALUE"""),464.4)</f>
        <v>464.4</v>
      </c>
      <c r="C2079" s="1">
        <f>IFERROR(__xludf.DUMMYFUNCTION("""COMPUTED_VALUE"""),464.87)</f>
        <v>464.87</v>
      </c>
      <c r="D2079" s="1">
        <f>IFERROR(__xludf.DUMMYFUNCTION("""COMPUTED_VALUE"""),457.49)</f>
        <v>457.49</v>
      </c>
      <c r="E2079" s="1">
        <f>IFERROR(__xludf.DUMMYFUNCTION("""COMPUTED_VALUE"""),464.81)</f>
        <v>464.81</v>
      </c>
      <c r="F2079" s="1">
        <f>IFERROR(__xludf.DUMMYFUNCTION("""COMPUTED_VALUE"""),5.6426564E7)</f>
        <v>56426564</v>
      </c>
    </row>
    <row r="2080">
      <c r="A2080" s="2">
        <f>IFERROR(__xludf.DUMMYFUNCTION("""COMPUTED_VALUE"""),34396.666666666664)</f>
        <v>34396.66667</v>
      </c>
      <c r="B2080" s="1">
        <f>IFERROR(__xludf.DUMMYFUNCTION("""COMPUTED_VALUE"""),464.81)</f>
        <v>464.81</v>
      </c>
      <c r="C2080" s="1">
        <f>IFERROR(__xludf.DUMMYFUNCTION("""COMPUTED_VALUE"""),464.83)</f>
        <v>464.83</v>
      </c>
      <c r="D2080" s="1">
        <f>IFERROR(__xludf.DUMMYFUNCTION("""COMPUTED_VALUE"""),462.5)</f>
        <v>462.5</v>
      </c>
      <c r="E2080" s="1">
        <f>IFERROR(__xludf.DUMMYFUNCTION("""COMPUTED_VALUE"""),463.01)</f>
        <v>463.01</v>
      </c>
      <c r="F2080" s="1">
        <f>IFERROR(__xludf.DUMMYFUNCTION("""COMPUTED_VALUE"""),4.5592188E7)</f>
        <v>45592188</v>
      </c>
    </row>
    <row r="2081">
      <c r="A2081" s="2">
        <f>IFERROR(__xludf.DUMMYFUNCTION("""COMPUTED_VALUE"""),34397.666666666664)</f>
        <v>34397.66667</v>
      </c>
      <c r="B2081" s="1">
        <f>IFERROR(__xludf.DUMMYFUNCTION("""COMPUTED_VALUE"""),463.03)</f>
        <v>463.03</v>
      </c>
      <c r="C2081" s="1">
        <f>IFERROR(__xludf.DUMMYFUNCTION("""COMPUTED_VALUE"""),466.16)</f>
        <v>466.16</v>
      </c>
      <c r="D2081" s="1">
        <f>IFERROR(__xludf.DUMMYFUNCTION("""COMPUTED_VALUE"""),462.41)</f>
        <v>462.41</v>
      </c>
      <c r="E2081" s="1">
        <f>IFERROR(__xludf.DUMMYFUNCTION("""COMPUTED_VALUE"""),464.74)</f>
        <v>464.74</v>
      </c>
      <c r="F2081" s="1">
        <f>IFERROR(__xludf.DUMMYFUNCTION("""COMPUTED_VALUE"""),4.8726564E7)</f>
        <v>48726564</v>
      </c>
    </row>
    <row r="2082">
      <c r="A2082" s="2">
        <f>IFERROR(__xludf.DUMMYFUNCTION("""COMPUTED_VALUE"""),34400.666666666664)</f>
        <v>34400.66667</v>
      </c>
      <c r="B2082" s="1">
        <f>IFERROR(__xludf.DUMMYFUNCTION("""COMPUTED_VALUE"""),464.74)</f>
        <v>464.74</v>
      </c>
      <c r="C2082" s="1">
        <f>IFERROR(__xludf.DUMMYFUNCTION("""COMPUTED_VALUE"""),468.07)</f>
        <v>468.07</v>
      </c>
      <c r="D2082" s="1">
        <f>IFERROR(__xludf.DUMMYFUNCTION("""COMPUTED_VALUE"""),464.74)</f>
        <v>464.74</v>
      </c>
      <c r="E2082" s="1">
        <f>IFERROR(__xludf.DUMMYFUNCTION("""COMPUTED_VALUE"""),466.91)</f>
        <v>466.91</v>
      </c>
      <c r="F2082" s="1">
        <f>IFERROR(__xludf.DUMMYFUNCTION("""COMPUTED_VALUE"""),4.4623436E7)</f>
        <v>44623436</v>
      </c>
    </row>
    <row r="2083">
      <c r="A2083" s="2">
        <f>IFERROR(__xludf.DUMMYFUNCTION("""COMPUTED_VALUE"""),34401.666666666664)</f>
        <v>34401.66667</v>
      </c>
      <c r="B2083" s="1">
        <f>IFERROR(__xludf.DUMMYFUNCTION("""COMPUTED_VALUE"""),466.92)</f>
        <v>466.92</v>
      </c>
      <c r="C2083" s="1">
        <f>IFERROR(__xludf.DUMMYFUNCTION("""COMPUTED_VALUE"""),467.79)</f>
        <v>467.79</v>
      </c>
      <c r="D2083" s="1">
        <f>IFERROR(__xludf.DUMMYFUNCTION("""COMPUTED_VALUE"""),465.02)</f>
        <v>465.02</v>
      </c>
      <c r="E2083" s="1">
        <f>IFERROR(__xludf.DUMMYFUNCTION("""COMPUTED_VALUE"""),465.88)</f>
        <v>465.88</v>
      </c>
      <c r="F2083" s="1">
        <f>IFERROR(__xludf.DUMMYFUNCTION("""COMPUTED_VALUE"""),4.6579688E7)</f>
        <v>46579688</v>
      </c>
    </row>
    <row r="2084">
      <c r="A2084" s="2">
        <f>IFERROR(__xludf.DUMMYFUNCTION("""COMPUTED_VALUE"""),34402.666666666664)</f>
        <v>34402.66667</v>
      </c>
      <c r="B2084" s="1">
        <f>IFERROR(__xludf.DUMMYFUNCTION("""COMPUTED_VALUE"""),465.94)</f>
        <v>465.94</v>
      </c>
      <c r="C2084" s="1">
        <f>IFERROR(__xludf.DUMMYFUNCTION("""COMPUTED_VALUE"""),467.42)</f>
        <v>467.42</v>
      </c>
      <c r="D2084" s="1">
        <f>IFERROR(__xludf.DUMMYFUNCTION("""COMPUTED_VALUE"""),463.4)</f>
        <v>463.4</v>
      </c>
      <c r="E2084" s="1">
        <f>IFERROR(__xludf.DUMMYFUNCTION("""COMPUTED_VALUE"""),467.06)</f>
        <v>467.06</v>
      </c>
      <c r="F2084" s="1">
        <f>IFERROR(__xludf.DUMMYFUNCTION("""COMPUTED_VALUE"""),4.8407812E7)</f>
        <v>48407812</v>
      </c>
    </row>
    <row r="2085">
      <c r="A2085" s="2">
        <f>IFERROR(__xludf.DUMMYFUNCTION("""COMPUTED_VALUE"""),34403.666666666664)</f>
        <v>34403.66667</v>
      </c>
      <c r="B2085" s="1">
        <f>IFERROR(__xludf.DUMMYFUNCTION("""COMPUTED_VALUE"""),467.08)</f>
        <v>467.08</v>
      </c>
      <c r="C2085" s="1">
        <f>IFERROR(__xludf.DUMMYFUNCTION("""COMPUTED_VALUE"""),467.29)</f>
        <v>467.29</v>
      </c>
      <c r="D2085" s="1">
        <f>IFERROR(__xludf.DUMMYFUNCTION("""COMPUTED_VALUE"""),462.46)</f>
        <v>462.46</v>
      </c>
      <c r="E2085" s="1">
        <f>IFERROR(__xludf.DUMMYFUNCTION("""COMPUTED_VALUE"""),463.9)</f>
        <v>463.9</v>
      </c>
      <c r="F2085" s="1">
        <f>IFERROR(__xludf.DUMMYFUNCTION("""COMPUTED_VALUE"""),5.7714064E7)</f>
        <v>57714064</v>
      </c>
    </row>
    <row r="2086">
      <c r="A2086" s="2">
        <f>IFERROR(__xludf.DUMMYFUNCTION("""COMPUTED_VALUE"""),34404.666666666664)</f>
        <v>34404.66667</v>
      </c>
      <c r="B2086" s="1">
        <f>IFERROR(__xludf.DUMMYFUNCTION("""COMPUTED_VALUE"""),463.86)</f>
        <v>463.86</v>
      </c>
      <c r="C2086" s="1">
        <f>IFERROR(__xludf.DUMMYFUNCTION("""COMPUTED_VALUE"""),466.61)</f>
        <v>466.61</v>
      </c>
      <c r="D2086" s="1">
        <f>IFERROR(__xludf.DUMMYFUNCTION("""COMPUTED_VALUE"""),462.54)</f>
        <v>462.54</v>
      </c>
      <c r="E2086" s="1">
        <f>IFERROR(__xludf.DUMMYFUNCTION("""COMPUTED_VALUE"""),466.44)</f>
        <v>466.44</v>
      </c>
      <c r="F2086" s="1">
        <f>IFERROR(__xludf.DUMMYFUNCTION("""COMPUTED_VALUE"""),4.7482812E7)</f>
        <v>47482812</v>
      </c>
    </row>
    <row r="2087">
      <c r="A2087" s="2">
        <f>IFERROR(__xludf.DUMMYFUNCTION("""COMPUTED_VALUE"""),34407.666666666664)</f>
        <v>34407.66667</v>
      </c>
      <c r="B2087" s="1">
        <f>IFERROR(__xludf.DUMMYFUNCTION("""COMPUTED_VALUE"""),466.44)</f>
        <v>466.44</v>
      </c>
      <c r="C2087" s="1">
        <f>IFERROR(__xludf.DUMMYFUNCTION("""COMPUTED_VALUE"""),467.6)</f>
        <v>467.6</v>
      </c>
      <c r="D2087" s="1">
        <f>IFERROR(__xludf.DUMMYFUNCTION("""COMPUTED_VALUE"""),466.08)</f>
        <v>466.08</v>
      </c>
      <c r="E2087" s="1">
        <f>IFERROR(__xludf.DUMMYFUNCTION("""COMPUTED_VALUE"""),467.39)</f>
        <v>467.39</v>
      </c>
      <c r="F2087" s="1">
        <f>IFERROR(__xludf.DUMMYFUNCTION("""COMPUTED_VALUE"""),4.0648436E7)</f>
        <v>40648436</v>
      </c>
    </row>
    <row r="2088">
      <c r="A2088" s="2">
        <f>IFERROR(__xludf.DUMMYFUNCTION("""COMPUTED_VALUE"""),34408.666666666664)</f>
        <v>34408.66667</v>
      </c>
      <c r="B2088" s="1">
        <f>IFERROR(__xludf.DUMMYFUNCTION("""COMPUTED_VALUE"""),467.39)</f>
        <v>467.39</v>
      </c>
      <c r="C2088" s="1">
        <f>IFERROR(__xludf.DUMMYFUNCTION("""COMPUTED_VALUE"""),468.99)</f>
        <v>468.99</v>
      </c>
      <c r="D2088" s="1">
        <f>IFERROR(__xludf.DUMMYFUNCTION("""COMPUTED_VALUE"""),466.04)</f>
        <v>466.04</v>
      </c>
      <c r="E2088" s="1">
        <f>IFERROR(__xludf.DUMMYFUNCTION("""COMPUTED_VALUE"""),467.01)</f>
        <v>467.01</v>
      </c>
      <c r="F2088" s="1">
        <f>IFERROR(__xludf.DUMMYFUNCTION("""COMPUTED_VALUE"""),4.7460936E7)</f>
        <v>47460936</v>
      </c>
    </row>
    <row r="2089">
      <c r="A2089" s="2">
        <f>IFERROR(__xludf.DUMMYFUNCTION("""COMPUTED_VALUE"""),34409.666666666664)</f>
        <v>34409.66667</v>
      </c>
      <c r="B2089" s="1">
        <f>IFERROR(__xludf.DUMMYFUNCTION("""COMPUTED_VALUE"""),467.04)</f>
        <v>467.04</v>
      </c>
      <c r="C2089" s="1">
        <f>IFERROR(__xludf.DUMMYFUNCTION("""COMPUTED_VALUE"""),469.85)</f>
        <v>469.85</v>
      </c>
      <c r="D2089" s="1">
        <f>IFERROR(__xludf.DUMMYFUNCTION("""COMPUTED_VALUE"""),465.48)</f>
        <v>465.48</v>
      </c>
      <c r="E2089" s="1">
        <f>IFERROR(__xludf.DUMMYFUNCTION("""COMPUTED_VALUE"""),469.42)</f>
        <v>469.42</v>
      </c>
      <c r="F2089" s="1">
        <f>IFERROR(__xludf.DUMMYFUNCTION("""COMPUTED_VALUE"""),4.8068752E7)</f>
        <v>48068752</v>
      </c>
    </row>
    <row r="2090">
      <c r="A2090" s="2">
        <f>IFERROR(__xludf.DUMMYFUNCTION("""COMPUTED_VALUE"""),34410.666666666664)</f>
        <v>34410.66667</v>
      </c>
      <c r="B2090" s="1">
        <f>IFERROR(__xludf.DUMMYFUNCTION("""COMPUTED_VALUE"""),469.42)</f>
        <v>469.42</v>
      </c>
      <c r="C2090" s="1">
        <f>IFERROR(__xludf.DUMMYFUNCTION("""COMPUTED_VALUE"""),471.05)</f>
        <v>471.05</v>
      </c>
      <c r="D2090" s="1">
        <f>IFERROR(__xludf.DUMMYFUNCTION("""COMPUTED_VALUE"""),468.62)</f>
        <v>468.62</v>
      </c>
      <c r="E2090" s="1">
        <f>IFERROR(__xludf.DUMMYFUNCTION("""COMPUTED_VALUE"""),470.9)</f>
        <v>470.9</v>
      </c>
      <c r="F2090" s="1">
        <f>IFERROR(__xludf.DUMMYFUNCTION("""COMPUTED_VALUE"""),4.7489064E7)</f>
        <v>47489064</v>
      </c>
    </row>
    <row r="2091">
      <c r="A2091" s="2">
        <f>IFERROR(__xludf.DUMMYFUNCTION("""COMPUTED_VALUE"""),34411.666666666664)</f>
        <v>34411.66667</v>
      </c>
      <c r="B2091" s="1">
        <f>IFERROR(__xludf.DUMMYFUNCTION("""COMPUTED_VALUE"""),470.89)</f>
        <v>470.89</v>
      </c>
      <c r="C2091" s="1">
        <f>IFERROR(__xludf.DUMMYFUNCTION("""COMPUTED_VALUE"""),471.09)</f>
        <v>471.09</v>
      </c>
      <c r="D2091" s="1">
        <f>IFERROR(__xludf.DUMMYFUNCTION("""COMPUTED_VALUE"""),467.83)</f>
        <v>467.83</v>
      </c>
      <c r="E2091" s="1">
        <f>IFERROR(__xludf.DUMMYFUNCTION("""COMPUTED_VALUE"""),471.06)</f>
        <v>471.06</v>
      </c>
      <c r="F2091" s="1">
        <f>IFERROR(__xludf.DUMMYFUNCTION("""COMPUTED_VALUE"""),7.2225E7)</f>
        <v>72225000</v>
      </c>
    </row>
    <row r="2092">
      <c r="A2092" s="2">
        <f>IFERROR(__xludf.DUMMYFUNCTION("""COMPUTED_VALUE"""),34414.666666666664)</f>
        <v>34414.66667</v>
      </c>
      <c r="B2092" s="1">
        <f>IFERROR(__xludf.DUMMYFUNCTION("""COMPUTED_VALUE"""),471.06)</f>
        <v>471.06</v>
      </c>
      <c r="C2092" s="1">
        <f>IFERROR(__xludf.DUMMYFUNCTION("""COMPUTED_VALUE"""),471.06)</f>
        <v>471.06</v>
      </c>
      <c r="D2092" s="1">
        <f>IFERROR(__xludf.DUMMYFUNCTION("""COMPUTED_VALUE"""),467.23)</f>
        <v>467.23</v>
      </c>
      <c r="E2092" s="1">
        <f>IFERROR(__xludf.DUMMYFUNCTION("""COMPUTED_VALUE"""),468.54)</f>
        <v>468.54</v>
      </c>
      <c r="F2092" s="1">
        <f>IFERROR(__xludf.DUMMYFUNCTION("""COMPUTED_VALUE"""),3.8653124E7)</f>
        <v>38653124</v>
      </c>
    </row>
    <row r="2093">
      <c r="A2093" s="2">
        <f>IFERROR(__xludf.DUMMYFUNCTION("""COMPUTED_VALUE"""),34415.666666666664)</f>
        <v>34415.66667</v>
      </c>
      <c r="B2093" s="1">
        <f>IFERROR(__xludf.DUMMYFUNCTION("""COMPUTED_VALUE"""),468.4)</f>
        <v>468.4</v>
      </c>
      <c r="C2093" s="1">
        <f>IFERROR(__xludf.DUMMYFUNCTION("""COMPUTED_VALUE"""),470.47)</f>
        <v>470.47</v>
      </c>
      <c r="D2093" s="1">
        <f>IFERROR(__xludf.DUMMYFUNCTION("""COMPUTED_VALUE"""),467.88)</f>
        <v>467.88</v>
      </c>
      <c r="E2093" s="1">
        <f>IFERROR(__xludf.DUMMYFUNCTION("""COMPUTED_VALUE"""),468.8)</f>
        <v>468.8</v>
      </c>
      <c r="F2093" s="1">
        <f>IFERROR(__xludf.DUMMYFUNCTION("""COMPUTED_VALUE"""),4.41E7)</f>
        <v>44100000</v>
      </c>
    </row>
    <row r="2094">
      <c r="A2094" s="2">
        <f>IFERROR(__xludf.DUMMYFUNCTION("""COMPUTED_VALUE"""),34416.666666666664)</f>
        <v>34416.66667</v>
      </c>
      <c r="B2094" s="1">
        <f>IFERROR(__xludf.DUMMYFUNCTION("""COMPUTED_VALUE"""),468.89)</f>
        <v>468.89</v>
      </c>
      <c r="C2094" s="1">
        <f>IFERROR(__xludf.DUMMYFUNCTION("""COMPUTED_VALUE"""),470.38)</f>
        <v>470.38</v>
      </c>
      <c r="D2094" s="1">
        <f>IFERROR(__xludf.DUMMYFUNCTION("""COMPUTED_VALUE"""),468.52)</f>
        <v>468.52</v>
      </c>
      <c r="E2094" s="1">
        <f>IFERROR(__xludf.DUMMYFUNCTION("""COMPUTED_VALUE"""),468.54)</f>
        <v>468.54</v>
      </c>
      <c r="F2094" s="1">
        <f>IFERROR(__xludf.DUMMYFUNCTION("""COMPUTED_VALUE"""),4.3984376E7)</f>
        <v>43984376</v>
      </c>
    </row>
    <row r="2095">
      <c r="A2095" s="2">
        <f>IFERROR(__xludf.DUMMYFUNCTION("""COMPUTED_VALUE"""),34417.666666666664)</f>
        <v>34417.66667</v>
      </c>
      <c r="B2095" s="1">
        <f>IFERROR(__xludf.DUMMYFUNCTION("""COMPUTED_VALUE"""),468.57)</f>
        <v>468.57</v>
      </c>
      <c r="C2095" s="1">
        <f>IFERROR(__xludf.DUMMYFUNCTION("""COMPUTED_VALUE"""),468.57)</f>
        <v>468.57</v>
      </c>
      <c r="D2095" s="1">
        <f>IFERROR(__xludf.DUMMYFUNCTION("""COMPUTED_VALUE"""),462.41)</f>
        <v>462.41</v>
      </c>
      <c r="E2095" s="1">
        <f>IFERROR(__xludf.DUMMYFUNCTION("""COMPUTED_VALUE"""),464.35)</f>
        <v>464.35</v>
      </c>
      <c r="F2095" s="1">
        <f>IFERROR(__xludf.DUMMYFUNCTION("""COMPUTED_VALUE"""),4.7459376E7)</f>
        <v>47459376</v>
      </c>
    </row>
    <row r="2096">
      <c r="A2096" s="2">
        <f>IFERROR(__xludf.DUMMYFUNCTION("""COMPUTED_VALUE"""),34418.666666666664)</f>
        <v>34418.66667</v>
      </c>
      <c r="B2096" s="1">
        <f>IFERROR(__xludf.DUMMYFUNCTION("""COMPUTED_VALUE"""),464.35)</f>
        <v>464.35</v>
      </c>
      <c r="C2096" s="1">
        <f>IFERROR(__xludf.DUMMYFUNCTION("""COMPUTED_VALUE"""),465.29)</f>
        <v>465.29</v>
      </c>
      <c r="D2096" s="1">
        <f>IFERROR(__xludf.DUMMYFUNCTION("""COMPUTED_VALUE"""),460.58)</f>
        <v>460.58</v>
      </c>
      <c r="E2096" s="1">
        <f>IFERROR(__xludf.DUMMYFUNCTION("""COMPUTED_VALUE"""),460.58)</f>
        <v>460.58</v>
      </c>
      <c r="F2096" s="1">
        <f>IFERROR(__xludf.DUMMYFUNCTION("""COMPUTED_VALUE"""),3.9006248E7)</f>
        <v>39006248</v>
      </c>
    </row>
    <row r="2097">
      <c r="A2097" s="2">
        <f>IFERROR(__xludf.DUMMYFUNCTION("""COMPUTED_VALUE"""),34421.666666666664)</f>
        <v>34421.66667</v>
      </c>
      <c r="B2097" s="1">
        <f>IFERROR(__xludf.DUMMYFUNCTION("""COMPUTED_VALUE"""),460.58)</f>
        <v>460.58</v>
      </c>
      <c r="C2097" s="1">
        <f>IFERROR(__xludf.DUMMYFUNCTION("""COMPUTED_VALUE"""),461.12)</f>
        <v>461.12</v>
      </c>
      <c r="D2097" s="1">
        <f>IFERROR(__xludf.DUMMYFUNCTION("""COMPUTED_VALUE"""),456.1)</f>
        <v>456.1</v>
      </c>
      <c r="E2097" s="1">
        <f>IFERROR(__xludf.DUMMYFUNCTION("""COMPUTED_VALUE"""),460.0)</f>
        <v>460</v>
      </c>
      <c r="F2097" s="1">
        <f>IFERROR(__xludf.DUMMYFUNCTION("""COMPUTED_VALUE"""),4.4898436E7)</f>
        <v>44898436</v>
      </c>
    </row>
    <row r="2098">
      <c r="A2098" s="2">
        <f>IFERROR(__xludf.DUMMYFUNCTION("""COMPUTED_VALUE"""),34422.666666666664)</f>
        <v>34422.66667</v>
      </c>
      <c r="B2098" s="1">
        <f>IFERROR(__xludf.DUMMYFUNCTION("""COMPUTED_VALUE"""),460.0)</f>
        <v>460</v>
      </c>
      <c r="C2098" s="1">
        <f>IFERROR(__xludf.DUMMYFUNCTION("""COMPUTED_VALUE"""),460.32)</f>
        <v>460.32</v>
      </c>
      <c r="D2098" s="1">
        <f>IFERROR(__xludf.DUMMYFUNCTION("""COMPUTED_VALUE"""),452.43)</f>
        <v>452.43</v>
      </c>
      <c r="E2098" s="1">
        <f>IFERROR(__xludf.DUMMYFUNCTION("""COMPUTED_VALUE"""),452.48)</f>
        <v>452.48</v>
      </c>
      <c r="F2098" s="1">
        <f>IFERROR(__xludf.DUMMYFUNCTION("""COMPUTED_VALUE"""),4.77125E7)</f>
        <v>47712500</v>
      </c>
    </row>
    <row r="2099">
      <c r="A2099" s="2">
        <f>IFERROR(__xludf.DUMMYFUNCTION("""COMPUTED_VALUE"""),34423.666666666664)</f>
        <v>34423.66667</v>
      </c>
      <c r="B2099" s="1">
        <f>IFERROR(__xludf.DUMMYFUNCTION("""COMPUTED_VALUE"""),452.48)</f>
        <v>452.48</v>
      </c>
      <c r="C2099" s="1">
        <f>IFERROR(__xludf.DUMMYFUNCTION("""COMPUTED_VALUE"""),452.49)</f>
        <v>452.49</v>
      </c>
      <c r="D2099" s="1">
        <f>IFERROR(__xludf.DUMMYFUNCTION("""COMPUTED_VALUE"""),445.55)</f>
        <v>445.55</v>
      </c>
      <c r="E2099" s="1">
        <f>IFERROR(__xludf.DUMMYFUNCTION("""COMPUTED_VALUE"""),445.55)</f>
        <v>445.55</v>
      </c>
      <c r="F2099" s="1">
        <f>IFERROR(__xludf.DUMMYFUNCTION("""COMPUTED_VALUE"""),6.1018752E7)</f>
        <v>61018752</v>
      </c>
    </row>
    <row r="2100">
      <c r="A2100" s="2">
        <f>IFERROR(__xludf.DUMMYFUNCTION("""COMPUTED_VALUE"""),34424.666666666664)</f>
        <v>34424.66667</v>
      </c>
      <c r="B2100" s="1">
        <f>IFERROR(__xludf.DUMMYFUNCTION("""COMPUTED_VALUE"""),445.55)</f>
        <v>445.55</v>
      </c>
      <c r="C2100" s="1">
        <f>IFERROR(__xludf.DUMMYFUNCTION("""COMPUTED_VALUE"""),447.16)</f>
        <v>447.16</v>
      </c>
      <c r="D2100" s="1">
        <f>IFERROR(__xludf.DUMMYFUNCTION("""COMPUTED_VALUE"""),436.16)</f>
        <v>436.16</v>
      </c>
      <c r="E2100" s="1">
        <f>IFERROR(__xludf.DUMMYFUNCTION("""COMPUTED_VALUE"""),445.77)</f>
        <v>445.77</v>
      </c>
      <c r="F2100" s="1">
        <f>IFERROR(__xludf.DUMMYFUNCTION("""COMPUTED_VALUE"""),6.3059376E7)</f>
        <v>63059376</v>
      </c>
    </row>
    <row r="2101">
      <c r="A2101" s="2">
        <f>IFERROR(__xludf.DUMMYFUNCTION("""COMPUTED_VALUE"""),34428.666666666664)</f>
        <v>34428.66667</v>
      </c>
      <c r="B2101" s="1">
        <f>IFERROR(__xludf.DUMMYFUNCTION("""COMPUTED_VALUE"""),445.66)</f>
        <v>445.66</v>
      </c>
      <c r="C2101" s="1">
        <f>IFERROR(__xludf.DUMMYFUNCTION("""COMPUTED_VALUE"""),445.66)</f>
        <v>445.66</v>
      </c>
      <c r="D2101" s="1">
        <f>IFERROR(__xludf.DUMMYFUNCTION("""COMPUTED_VALUE"""),435.86)</f>
        <v>435.86</v>
      </c>
      <c r="E2101" s="1">
        <f>IFERROR(__xludf.DUMMYFUNCTION("""COMPUTED_VALUE"""),438.92)</f>
        <v>438.92</v>
      </c>
      <c r="F2101" s="1">
        <f>IFERROR(__xludf.DUMMYFUNCTION("""COMPUTED_VALUE"""),5.3810936E7)</f>
        <v>53810936</v>
      </c>
    </row>
    <row r="2102">
      <c r="A2102" s="2">
        <f>IFERROR(__xludf.DUMMYFUNCTION("""COMPUTED_VALUE"""),34429.666666666664)</f>
        <v>34429.66667</v>
      </c>
      <c r="B2102" s="1">
        <f>IFERROR(__xludf.DUMMYFUNCTION("""COMPUTED_VALUE"""),439.14)</f>
        <v>439.14</v>
      </c>
      <c r="C2102" s="1">
        <f>IFERROR(__xludf.DUMMYFUNCTION("""COMPUTED_VALUE"""),448.29)</f>
        <v>448.29</v>
      </c>
      <c r="D2102" s="1">
        <f>IFERROR(__xludf.DUMMYFUNCTION("""COMPUTED_VALUE"""),439.14)</f>
        <v>439.14</v>
      </c>
      <c r="E2102" s="1">
        <f>IFERROR(__xludf.DUMMYFUNCTION("""COMPUTED_VALUE"""),448.29)</f>
        <v>448.29</v>
      </c>
      <c r="F2102" s="1">
        <f>IFERROR(__xludf.DUMMYFUNCTION("""COMPUTED_VALUE"""),5.7185936E7)</f>
        <v>57185936</v>
      </c>
    </row>
    <row r="2103">
      <c r="A2103" s="2">
        <f>IFERROR(__xludf.DUMMYFUNCTION("""COMPUTED_VALUE"""),34430.666666666664)</f>
        <v>34430.66667</v>
      </c>
      <c r="B2103" s="1">
        <f>IFERROR(__xludf.DUMMYFUNCTION("""COMPUTED_VALUE"""),448.29)</f>
        <v>448.29</v>
      </c>
      <c r="C2103" s="1">
        <f>IFERROR(__xludf.DUMMYFUNCTION("""COMPUTED_VALUE"""),449.63)</f>
        <v>449.63</v>
      </c>
      <c r="D2103" s="1">
        <f>IFERROR(__xludf.DUMMYFUNCTION("""COMPUTED_VALUE"""),444.98)</f>
        <v>444.98</v>
      </c>
      <c r="E2103" s="1">
        <f>IFERROR(__xludf.DUMMYFUNCTION("""COMPUTED_VALUE"""),448.05)</f>
        <v>448.05</v>
      </c>
      <c r="F2103" s="1">
        <f>IFERROR(__xludf.DUMMYFUNCTION("""COMPUTED_VALUE"""),4.71875E7)</f>
        <v>47187500</v>
      </c>
    </row>
    <row r="2104">
      <c r="A2104" s="2">
        <f>IFERROR(__xludf.DUMMYFUNCTION("""COMPUTED_VALUE"""),34431.666666666664)</f>
        <v>34431.66667</v>
      </c>
      <c r="B2104" s="1">
        <f>IFERROR(__xludf.DUMMYFUNCTION("""COMPUTED_VALUE"""),448.11)</f>
        <v>448.11</v>
      </c>
      <c r="C2104" s="1">
        <f>IFERROR(__xludf.DUMMYFUNCTION("""COMPUTED_VALUE"""),451.1)</f>
        <v>451.1</v>
      </c>
      <c r="D2104" s="1">
        <f>IFERROR(__xludf.DUMMYFUNCTION("""COMPUTED_VALUE"""),446.38)</f>
        <v>446.38</v>
      </c>
      <c r="E2104" s="1">
        <f>IFERROR(__xludf.DUMMYFUNCTION("""COMPUTED_VALUE"""),450.88)</f>
        <v>450.88</v>
      </c>
      <c r="F2104" s="1">
        <f>IFERROR(__xludf.DUMMYFUNCTION("""COMPUTED_VALUE"""),4.52E7)</f>
        <v>45200000</v>
      </c>
    </row>
    <row r="2105">
      <c r="A2105" s="2">
        <f>IFERROR(__xludf.DUMMYFUNCTION("""COMPUTED_VALUE"""),34432.666666666664)</f>
        <v>34432.66667</v>
      </c>
      <c r="B2105" s="1">
        <f>IFERROR(__xludf.DUMMYFUNCTION("""COMPUTED_VALUE"""),450.89)</f>
        <v>450.89</v>
      </c>
      <c r="C2105" s="1">
        <f>IFERROR(__xludf.DUMMYFUNCTION("""COMPUTED_VALUE"""),450.89)</f>
        <v>450.89</v>
      </c>
      <c r="D2105" s="1">
        <f>IFERROR(__xludf.DUMMYFUNCTION("""COMPUTED_VALUE"""),445.51)</f>
        <v>445.51</v>
      </c>
      <c r="E2105" s="1">
        <f>IFERROR(__xludf.DUMMYFUNCTION("""COMPUTED_VALUE"""),447.1)</f>
        <v>447.1</v>
      </c>
      <c r="F2105" s="1">
        <f>IFERROR(__xludf.DUMMYFUNCTION("""COMPUTED_VALUE"""),4.1264064E7)</f>
        <v>41264064</v>
      </c>
    </row>
    <row r="2106">
      <c r="A2106" s="2">
        <f>IFERROR(__xludf.DUMMYFUNCTION("""COMPUTED_VALUE"""),34435.666666666664)</f>
        <v>34435.66667</v>
      </c>
      <c r="B2106" s="1">
        <f>IFERROR(__xludf.DUMMYFUNCTION("""COMPUTED_VALUE"""),447.12)</f>
        <v>447.12</v>
      </c>
      <c r="C2106" s="1">
        <f>IFERROR(__xludf.DUMMYFUNCTION("""COMPUTED_VALUE"""),450.34)</f>
        <v>450.34</v>
      </c>
      <c r="D2106" s="1">
        <f>IFERROR(__xludf.DUMMYFUNCTION("""COMPUTED_VALUE"""),447.1)</f>
        <v>447.1</v>
      </c>
      <c r="E2106" s="1">
        <f>IFERROR(__xludf.DUMMYFUNCTION("""COMPUTED_VALUE"""),449.87)</f>
        <v>449.87</v>
      </c>
      <c r="F2106" s="1">
        <f>IFERROR(__xludf.DUMMYFUNCTION("""COMPUTED_VALUE"""),3.7996876E7)</f>
        <v>37996876</v>
      </c>
    </row>
    <row r="2107">
      <c r="A2107" s="2">
        <f>IFERROR(__xludf.DUMMYFUNCTION("""COMPUTED_VALUE"""),34436.666666666664)</f>
        <v>34436.66667</v>
      </c>
      <c r="B2107" s="1">
        <f>IFERROR(__xludf.DUMMYFUNCTION("""COMPUTED_VALUE"""),449.83)</f>
        <v>449.83</v>
      </c>
      <c r="C2107" s="1">
        <f>IFERROR(__xludf.DUMMYFUNCTION("""COMPUTED_VALUE"""),450.8)</f>
        <v>450.8</v>
      </c>
      <c r="D2107" s="1">
        <f>IFERROR(__xludf.DUMMYFUNCTION("""COMPUTED_VALUE"""),447.33)</f>
        <v>447.33</v>
      </c>
      <c r="E2107" s="1">
        <f>IFERROR(__xludf.DUMMYFUNCTION("""COMPUTED_VALUE"""),447.57)</f>
        <v>447.57</v>
      </c>
      <c r="F2107" s="1">
        <f>IFERROR(__xludf.DUMMYFUNCTION("""COMPUTED_VALUE"""),4.0310936E7)</f>
        <v>40310936</v>
      </c>
    </row>
    <row r="2108">
      <c r="A2108" s="2">
        <f>IFERROR(__xludf.DUMMYFUNCTION("""COMPUTED_VALUE"""),34437.666666666664)</f>
        <v>34437.66667</v>
      </c>
      <c r="B2108" s="1">
        <f>IFERROR(__xludf.DUMMYFUNCTION("""COMPUTED_VALUE"""),447.63)</f>
        <v>447.63</v>
      </c>
      <c r="C2108" s="1">
        <f>IFERROR(__xludf.DUMMYFUNCTION("""COMPUTED_VALUE"""),448.57)</f>
        <v>448.57</v>
      </c>
      <c r="D2108" s="1">
        <f>IFERROR(__xludf.DUMMYFUNCTION("""COMPUTED_VALUE"""),442.62)</f>
        <v>442.62</v>
      </c>
      <c r="E2108" s="1">
        <f>IFERROR(__xludf.DUMMYFUNCTION("""COMPUTED_VALUE"""),446.26)</f>
        <v>446.26</v>
      </c>
      <c r="F2108" s="1">
        <f>IFERROR(__xludf.DUMMYFUNCTION("""COMPUTED_VALUE"""),4.3442188E7)</f>
        <v>43442188</v>
      </c>
    </row>
    <row r="2109">
      <c r="A2109" s="2">
        <f>IFERROR(__xludf.DUMMYFUNCTION("""COMPUTED_VALUE"""),34438.666666666664)</f>
        <v>34438.66667</v>
      </c>
      <c r="B2109" s="1">
        <f>IFERROR(__xludf.DUMMYFUNCTION("""COMPUTED_VALUE"""),446.26)</f>
        <v>446.26</v>
      </c>
      <c r="C2109" s="1">
        <f>IFERROR(__xludf.DUMMYFUNCTION("""COMPUTED_VALUE"""),447.55)</f>
        <v>447.55</v>
      </c>
      <c r="D2109" s="1">
        <f>IFERROR(__xludf.DUMMYFUNCTION("""COMPUTED_VALUE"""),443.57)</f>
        <v>443.57</v>
      </c>
      <c r="E2109" s="1">
        <f>IFERROR(__xludf.DUMMYFUNCTION("""COMPUTED_VALUE"""),446.38)</f>
        <v>446.38</v>
      </c>
      <c r="F2109" s="1">
        <f>IFERROR(__xludf.DUMMYFUNCTION("""COMPUTED_VALUE"""),4.2989064E7)</f>
        <v>42989064</v>
      </c>
    </row>
    <row r="2110">
      <c r="A2110" s="2">
        <f>IFERROR(__xludf.DUMMYFUNCTION("""COMPUTED_VALUE"""),34439.666666666664)</f>
        <v>34439.66667</v>
      </c>
      <c r="B2110" s="1">
        <f>IFERROR(__xludf.DUMMYFUNCTION("""COMPUTED_VALUE"""),446.38)</f>
        <v>446.38</v>
      </c>
      <c r="C2110" s="1">
        <f>IFERROR(__xludf.DUMMYFUNCTION("""COMPUTED_VALUE"""),447.85)</f>
        <v>447.85</v>
      </c>
      <c r="D2110" s="1">
        <f>IFERROR(__xludf.DUMMYFUNCTION("""COMPUTED_VALUE"""),445.81)</f>
        <v>445.81</v>
      </c>
      <c r="E2110" s="1">
        <f>IFERROR(__xludf.DUMMYFUNCTION("""COMPUTED_VALUE"""),446.18)</f>
        <v>446.18</v>
      </c>
      <c r="F2110" s="1">
        <f>IFERROR(__xludf.DUMMYFUNCTION("""COMPUTED_VALUE"""),4.8367188E7)</f>
        <v>48367188</v>
      </c>
    </row>
    <row r="2111">
      <c r="A2111" s="2">
        <f>IFERROR(__xludf.DUMMYFUNCTION("""COMPUTED_VALUE"""),34442.666666666664)</f>
        <v>34442.66667</v>
      </c>
      <c r="B2111" s="1">
        <f>IFERROR(__xludf.DUMMYFUNCTION("""COMPUTED_VALUE"""),446.27)</f>
        <v>446.27</v>
      </c>
      <c r="C2111" s="1">
        <f>IFERROR(__xludf.DUMMYFUNCTION("""COMPUTED_VALUE"""),447.87)</f>
        <v>447.87</v>
      </c>
      <c r="D2111" s="1">
        <f>IFERROR(__xludf.DUMMYFUNCTION("""COMPUTED_VALUE"""),441.48)</f>
        <v>441.48</v>
      </c>
      <c r="E2111" s="1">
        <f>IFERROR(__xludf.DUMMYFUNCTION("""COMPUTED_VALUE"""),442.46)</f>
        <v>442.46</v>
      </c>
      <c r="F2111" s="1">
        <f>IFERROR(__xludf.DUMMYFUNCTION("""COMPUTED_VALUE"""),4.2417188E7)</f>
        <v>42417188</v>
      </c>
    </row>
    <row r="2112">
      <c r="A2112" s="2">
        <f>IFERROR(__xludf.DUMMYFUNCTION("""COMPUTED_VALUE"""),34443.666666666664)</f>
        <v>34443.66667</v>
      </c>
      <c r="B2112" s="1">
        <f>IFERROR(__xludf.DUMMYFUNCTION("""COMPUTED_VALUE"""),442.54)</f>
        <v>442.54</v>
      </c>
      <c r="C2112" s="1">
        <f>IFERROR(__xludf.DUMMYFUNCTION("""COMPUTED_VALUE"""),444.82)</f>
        <v>444.82</v>
      </c>
      <c r="D2112" s="1">
        <f>IFERROR(__xludf.DUMMYFUNCTION("""COMPUTED_VALUE"""),438.83)</f>
        <v>438.83</v>
      </c>
      <c r="E2112" s="1">
        <f>IFERROR(__xludf.DUMMYFUNCTION("""COMPUTED_VALUE"""),442.54)</f>
        <v>442.54</v>
      </c>
      <c r="F2112" s="1">
        <f>IFERROR(__xludf.DUMMYFUNCTION("""COMPUTED_VALUE"""),5.05125E7)</f>
        <v>50512500</v>
      </c>
    </row>
    <row r="2113">
      <c r="A2113" s="2">
        <f>IFERROR(__xludf.DUMMYFUNCTION("""COMPUTED_VALUE"""),34444.666666666664)</f>
        <v>34444.66667</v>
      </c>
      <c r="B2113" s="1">
        <f>IFERROR(__xludf.DUMMYFUNCTION("""COMPUTED_VALUE"""),442.54)</f>
        <v>442.54</v>
      </c>
      <c r="C2113" s="1">
        <f>IFERROR(__xludf.DUMMYFUNCTION("""COMPUTED_VALUE"""),445.01)</f>
        <v>445.01</v>
      </c>
      <c r="D2113" s="1">
        <f>IFERROR(__xludf.DUMMYFUNCTION("""COMPUTED_VALUE"""),439.4)</f>
        <v>439.4</v>
      </c>
      <c r="E2113" s="1">
        <f>IFERROR(__xludf.DUMMYFUNCTION("""COMPUTED_VALUE"""),441.96)</f>
        <v>441.96</v>
      </c>
      <c r="F2113" s="1">
        <f>IFERROR(__xludf.DUMMYFUNCTION("""COMPUTED_VALUE"""),5.7271876E7)</f>
        <v>57271876</v>
      </c>
    </row>
    <row r="2114">
      <c r="A2114" s="2">
        <f>IFERROR(__xludf.DUMMYFUNCTION("""COMPUTED_VALUE"""),34445.666666666664)</f>
        <v>34445.66667</v>
      </c>
      <c r="B2114" s="1">
        <f>IFERROR(__xludf.DUMMYFUNCTION("""COMPUTED_VALUE"""),441.96)</f>
        <v>441.96</v>
      </c>
      <c r="C2114" s="1">
        <f>IFERROR(__xludf.DUMMYFUNCTION("""COMPUTED_VALUE"""),449.14)</f>
        <v>449.14</v>
      </c>
      <c r="D2114" s="1">
        <f>IFERROR(__xludf.DUMMYFUNCTION("""COMPUTED_VALUE"""),441.96)</f>
        <v>441.96</v>
      </c>
      <c r="E2114" s="1">
        <f>IFERROR(__xludf.DUMMYFUNCTION("""COMPUTED_VALUE"""),448.73)</f>
        <v>448.73</v>
      </c>
      <c r="F2114" s="1">
        <f>IFERROR(__xludf.DUMMYFUNCTION("""COMPUTED_VALUE"""),5.9182812E7)</f>
        <v>59182812</v>
      </c>
    </row>
    <row r="2115">
      <c r="A2115" s="2">
        <f>IFERROR(__xludf.DUMMYFUNCTION("""COMPUTED_VALUE"""),34446.666666666664)</f>
        <v>34446.66667</v>
      </c>
      <c r="B2115" s="1">
        <f>IFERROR(__xludf.DUMMYFUNCTION("""COMPUTED_VALUE"""),448.73)</f>
        <v>448.73</v>
      </c>
      <c r="C2115" s="1">
        <f>IFERROR(__xludf.DUMMYFUNCTION("""COMPUTED_VALUE"""),449.96)</f>
        <v>449.96</v>
      </c>
      <c r="D2115" s="1">
        <f>IFERROR(__xludf.DUMMYFUNCTION("""COMPUTED_VALUE"""),447.16)</f>
        <v>447.16</v>
      </c>
      <c r="E2115" s="1">
        <f>IFERROR(__xludf.DUMMYFUNCTION("""COMPUTED_VALUE"""),447.63)</f>
        <v>447.63</v>
      </c>
      <c r="F2115" s="1">
        <f>IFERROR(__xludf.DUMMYFUNCTION("""COMPUTED_VALUE"""),4.6204688E7)</f>
        <v>46204688</v>
      </c>
    </row>
    <row r="2116">
      <c r="A2116" s="2">
        <f>IFERROR(__xludf.DUMMYFUNCTION("""COMPUTED_VALUE"""),34449.666666666664)</f>
        <v>34449.66667</v>
      </c>
      <c r="B2116" s="1">
        <f>IFERROR(__xludf.DUMMYFUNCTION("""COMPUTED_VALUE"""),447.64)</f>
        <v>447.64</v>
      </c>
      <c r="C2116" s="1">
        <f>IFERROR(__xludf.DUMMYFUNCTION("""COMPUTED_VALUE"""),452.71)</f>
        <v>452.71</v>
      </c>
      <c r="D2116" s="1">
        <f>IFERROR(__xludf.DUMMYFUNCTION("""COMPUTED_VALUE"""),447.58)</f>
        <v>447.58</v>
      </c>
      <c r="E2116" s="1">
        <f>IFERROR(__xludf.DUMMYFUNCTION("""COMPUTED_VALUE"""),452.71)</f>
        <v>452.71</v>
      </c>
      <c r="F2116" s="1">
        <f>IFERROR(__xludf.DUMMYFUNCTION("""COMPUTED_VALUE"""),4.09875E7)</f>
        <v>40987500</v>
      </c>
    </row>
    <row r="2117">
      <c r="A2117" s="2">
        <f>IFERROR(__xludf.DUMMYFUNCTION("""COMPUTED_VALUE"""),34450.666666666664)</f>
        <v>34450.66667</v>
      </c>
      <c r="B2117" s="1">
        <f>IFERROR(__xludf.DUMMYFUNCTION("""COMPUTED_VALUE"""),452.71)</f>
        <v>452.71</v>
      </c>
      <c r="C2117" s="1">
        <f>IFERROR(__xludf.DUMMYFUNCTION("""COMPUTED_VALUE"""),452.79)</f>
        <v>452.79</v>
      </c>
      <c r="D2117" s="1">
        <f>IFERROR(__xludf.DUMMYFUNCTION("""COMPUTED_VALUE"""),450.66)</f>
        <v>450.66</v>
      </c>
      <c r="E2117" s="1">
        <f>IFERROR(__xludf.DUMMYFUNCTION("""COMPUTED_VALUE"""),451.87)</f>
        <v>451.87</v>
      </c>
      <c r="F2117" s="1">
        <f>IFERROR(__xludf.DUMMYFUNCTION("""COMPUTED_VALUE"""),4.5018752E7)</f>
        <v>45018752</v>
      </c>
    </row>
    <row r="2118">
      <c r="A2118" s="2">
        <f>IFERROR(__xludf.DUMMYFUNCTION("""COMPUTED_VALUE"""),34451.666666666664)</f>
        <v>34451.66667</v>
      </c>
      <c r="B2118" s="1">
        <f>IFERROR(__xludf.DUMMYFUNCTION("""COMPUTED_VALUE"""),451.87)</f>
        <v>451.87</v>
      </c>
      <c r="C2118" s="1">
        <f>IFERROR(__xludf.DUMMYFUNCTION("""COMPUTED_VALUE"""),451.87)</f>
        <v>451.87</v>
      </c>
      <c r="D2118" s="1">
        <f>IFERROR(__xludf.DUMMYFUNCTION("""COMPUTED_VALUE"""),451.87)</f>
        <v>451.87</v>
      </c>
      <c r="E2118" s="1">
        <f>IFERROR(__xludf.DUMMYFUNCTION("""COMPUTED_VALUE"""),451.87)</f>
        <v>451.87</v>
      </c>
      <c r="F2118" s="1">
        <f>IFERROR(__xludf.DUMMYFUNCTION("""COMPUTED_VALUE"""),0.0)</f>
        <v>0</v>
      </c>
    </row>
    <row r="2119">
      <c r="A2119" s="2">
        <f>IFERROR(__xludf.DUMMYFUNCTION("""COMPUTED_VALUE"""),34452.666666666664)</f>
        <v>34452.66667</v>
      </c>
      <c r="B2119" s="1">
        <f>IFERROR(__xludf.DUMMYFUNCTION("""COMPUTED_VALUE"""),451.84)</f>
        <v>451.84</v>
      </c>
      <c r="C2119" s="1">
        <f>IFERROR(__xludf.DUMMYFUNCTION("""COMPUTED_VALUE"""),452.23)</f>
        <v>452.23</v>
      </c>
      <c r="D2119" s="1">
        <f>IFERROR(__xludf.DUMMYFUNCTION("""COMPUTED_VALUE"""),447.97)</f>
        <v>447.97</v>
      </c>
      <c r="E2119" s="1">
        <f>IFERROR(__xludf.DUMMYFUNCTION("""COMPUTED_VALUE"""),449.1)</f>
        <v>449.1</v>
      </c>
      <c r="F2119" s="1">
        <f>IFERROR(__xludf.DUMMYFUNCTION("""COMPUTED_VALUE"""),5.08125E7)</f>
        <v>50812500</v>
      </c>
    </row>
    <row r="2120">
      <c r="A2120" s="2">
        <f>IFERROR(__xludf.DUMMYFUNCTION("""COMPUTED_VALUE"""),34453.666666666664)</f>
        <v>34453.66667</v>
      </c>
      <c r="B2120" s="1">
        <f>IFERROR(__xludf.DUMMYFUNCTION("""COMPUTED_VALUE"""),449.07)</f>
        <v>449.07</v>
      </c>
      <c r="C2120" s="1">
        <f>IFERROR(__xludf.DUMMYFUNCTION("""COMPUTED_VALUE"""),451.35)</f>
        <v>451.35</v>
      </c>
      <c r="D2120" s="1">
        <f>IFERROR(__xludf.DUMMYFUNCTION("""COMPUTED_VALUE"""),447.91)</f>
        <v>447.91</v>
      </c>
      <c r="E2120" s="1">
        <f>IFERROR(__xludf.DUMMYFUNCTION("""COMPUTED_VALUE"""),450.91)</f>
        <v>450.91</v>
      </c>
      <c r="F2120" s="1">
        <f>IFERROR(__xludf.DUMMYFUNCTION("""COMPUTED_VALUE"""),4.5932812E7)</f>
        <v>45932812</v>
      </c>
    </row>
    <row r="2121">
      <c r="A2121" s="2">
        <f>IFERROR(__xludf.DUMMYFUNCTION("""COMPUTED_VALUE"""),34456.666666666664)</f>
        <v>34456.66667</v>
      </c>
      <c r="B2121" s="1">
        <f>IFERROR(__xludf.DUMMYFUNCTION("""COMPUTED_VALUE"""),450.91)</f>
        <v>450.91</v>
      </c>
      <c r="C2121" s="1">
        <f>IFERROR(__xludf.DUMMYFUNCTION("""COMPUTED_VALUE"""),453.57)</f>
        <v>453.57</v>
      </c>
      <c r="D2121" s="1">
        <f>IFERROR(__xludf.DUMMYFUNCTION("""COMPUTED_VALUE"""),449.05)</f>
        <v>449.05</v>
      </c>
      <c r="E2121" s="1">
        <f>IFERROR(__xludf.DUMMYFUNCTION("""COMPUTED_VALUE"""),453.02)</f>
        <v>453.02</v>
      </c>
      <c r="F2121" s="1">
        <f>IFERROR(__xludf.DUMMYFUNCTION("""COMPUTED_VALUE"""),4.6270312E7)</f>
        <v>46270312</v>
      </c>
    </row>
    <row r="2122">
      <c r="A2122" s="2">
        <f>IFERROR(__xludf.DUMMYFUNCTION("""COMPUTED_VALUE"""),34457.666666666664)</f>
        <v>34457.66667</v>
      </c>
      <c r="B2122" s="1">
        <f>IFERROR(__xludf.DUMMYFUNCTION("""COMPUTED_VALUE"""),453.06)</f>
        <v>453.06</v>
      </c>
      <c r="C2122" s="1">
        <f>IFERROR(__xludf.DUMMYFUNCTION("""COMPUTED_VALUE"""),453.98)</f>
        <v>453.98</v>
      </c>
      <c r="D2122" s="1">
        <f>IFERROR(__xludf.DUMMYFUNCTION("""COMPUTED_VALUE"""),450.51)</f>
        <v>450.51</v>
      </c>
      <c r="E2122" s="1">
        <f>IFERROR(__xludf.DUMMYFUNCTION("""COMPUTED_VALUE"""),453.03)</f>
        <v>453.03</v>
      </c>
      <c r="F2122" s="1">
        <f>IFERROR(__xludf.DUMMYFUNCTION("""COMPUTED_VALUE"""),4.5042188E7)</f>
        <v>45042188</v>
      </c>
    </row>
    <row r="2123">
      <c r="A2123" s="2">
        <f>IFERROR(__xludf.DUMMYFUNCTION("""COMPUTED_VALUE"""),34458.666666666664)</f>
        <v>34458.66667</v>
      </c>
      <c r="B2123" s="1">
        <f>IFERROR(__xludf.DUMMYFUNCTION("""COMPUTED_VALUE"""),453.04)</f>
        <v>453.04</v>
      </c>
      <c r="C2123" s="1">
        <f>IFERROR(__xludf.DUMMYFUNCTION("""COMPUTED_VALUE"""),453.11)</f>
        <v>453.11</v>
      </c>
      <c r="D2123" s="1">
        <f>IFERROR(__xludf.DUMMYFUNCTION("""COMPUTED_VALUE"""),449.87)</f>
        <v>449.87</v>
      </c>
      <c r="E2123" s="1">
        <f>IFERROR(__xludf.DUMMYFUNCTION("""COMPUTED_VALUE"""),451.72)</f>
        <v>451.72</v>
      </c>
      <c r="F2123" s="1">
        <f>IFERROR(__xludf.DUMMYFUNCTION("""COMPUTED_VALUE"""),4.1865624E7)</f>
        <v>41865624</v>
      </c>
    </row>
    <row r="2124">
      <c r="A2124" s="2">
        <f>IFERROR(__xludf.DUMMYFUNCTION("""COMPUTED_VALUE"""),34459.666666666664)</f>
        <v>34459.66667</v>
      </c>
      <c r="B2124" s="1">
        <f>IFERROR(__xludf.DUMMYFUNCTION("""COMPUTED_VALUE"""),451.72)</f>
        <v>451.72</v>
      </c>
      <c r="C2124" s="1">
        <f>IFERROR(__xludf.DUMMYFUNCTION("""COMPUTED_VALUE"""),452.82)</f>
        <v>452.82</v>
      </c>
      <c r="D2124" s="1">
        <f>IFERROR(__xludf.DUMMYFUNCTION("""COMPUTED_VALUE"""),450.72)</f>
        <v>450.72</v>
      </c>
      <c r="E2124" s="1">
        <f>IFERROR(__xludf.DUMMYFUNCTION("""COMPUTED_VALUE"""),451.38)</f>
        <v>451.38</v>
      </c>
      <c r="F2124" s="1">
        <f>IFERROR(__xludf.DUMMYFUNCTION("""COMPUTED_VALUE"""),3.9951564E7)</f>
        <v>39951564</v>
      </c>
    </row>
    <row r="2125">
      <c r="A2125" s="2">
        <f>IFERROR(__xludf.DUMMYFUNCTION("""COMPUTED_VALUE"""),34460.666666666664)</f>
        <v>34460.66667</v>
      </c>
      <c r="B2125" s="1">
        <f>IFERROR(__xludf.DUMMYFUNCTION("""COMPUTED_VALUE"""),451.37)</f>
        <v>451.37</v>
      </c>
      <c r="C2125" s="1">
        <f>IFERROR(__xludf.DUMMYFUNCTION("""COMPUTED_VALUE"""),451.37)</f>
        <v>451.37</v>
      </c>
      <c r="D2125" s="1">
        <f>IFERROR(__xludf.DUMMYFUNCTION("""COMPUTED_VALUE"""),445.64)</f>
        <v>445.64</v>
      </c>
      <c r="E2125" s="1">
        <f>IFERROR(__xludf.DUMMYFUNCTION("""COMPUTED_VALUE"""),447.82)</f>
        <v>447.82</v>
      </c>
      <c r="F2125" s="1">
        <f>IFERROR(__xludf.DUMMYFUNCTION("""COMPUTED_VALUE"""),4.5610936E7)</f>
        <v>45610936</v>
      </c>
    </row>
    <row r="2126">
      <c r="A2126" s="2">
        <f>IFERROR(__xludf.DUMMYFUNCTION("""COMPUTED_VALUE"""),34463.666666666664)</f>
        <v>34463.66667</v>
      </c>
      <c r="B2126" s="1">
        <f>IFERROR(__xludf.DUMMYFUNCTION("""COMPUTED_VALUE"""),447.82)</f>
        <v>447.82</v>
      </c>
      <c r="C2126" s="1">
        <f>IFERROR(__xludf.DUMMYFUNCTION("""COMPUTED_VALUE"""),447.82)</f>
        <v>447.82</v>
      </c>
      <c r="D2126" s="1">
        <f>IFERROR(__xludf.DUMMYFUNCTION("""COMPUTED_VALUE"""),441.84)</f>
        <v>441.84</v>
      </c>
      <c r="E2126" s="1">
        <f>IFERROR(__xludf.DUMMYFUNCTION("""COMPUTED_VALUE"""),442.32)</f>
        <v>442.32</v>
      </c>
      <c r="F2126" s="1">
        <f>IFERROR(__xludf.DUMMYFUNCTION("""COMPUTED_VALUE"""),3.9198436E7)</f>
        <v>39198436</v>
      </c>
    </row>
    <row r="2127">
      <c r="A2127" s="2">
        <f>IFERROR(__xludf.DUMMYFUNCTION("""COMPUTED_VALUE"""),34464.666666666664)</f>
        <v>34464.66667</v>
      </c>
      <c r="B2127" s="1">
        <f>IFERROR(__xludf.DUMMYFUNCTION("""COMPUTED_VALUE"""),442.37)</f>
        <v>442.37</v>
      </c>
      <c r="C2127" s="1">
        <f>IFERROR(__xludf.DUMMYFUNCTION("""COMPUTED_VALUE"""),446.84)</f>
        <v>446.84</v>
      </c>
      <c r="D2127" s="1">
        <f>IFERROR(__xludf.DUMMYFUNCTION("""COMPUTED_VALUE"""),442.37)</f>
        <v>442.37</v>
      </c>
      <c r="E2127" s="1">
        <f>IFERROR(__xludf.DUMMYFUNCTION("""COMPUTED_VALUE"""),446.01)</f>
        <v>446.01</v>
      </c>
      <c r="F2127" s="1">
        <f>IFERROR(__xludf.DUMMYFUNCTION("""COMPUTED_VALUE"""),4.6509376E7)</f>
        <v>46509376</v>
      </c>
    </row>
    <row r="2128">
      <c r="A2128" s="2">
        <f>IFERROR(__xludf.DUMMYFUNCTION("""COMPUTED_VALUE"""),34465.666666666664)</f>
        <v>34465.66667</v>
      </c>
      <c r="B2128" s="1">
        <f>IFERROR(__xludf.DUMMYFUNCTION("""COMPUTED_VALUE"""),446.03)</f>
        <v>446.03</v>
      </c>
      <c r="C2128" s="1">
        <f>IFERROR(__xludf.DUMMYFUNCTION("""COMPUTED_VALUE"""),446.03)</f>
        <v>446.03</v>
      </c>
      <c r="D2128" s="1">
        <f>IFERROR(__xludf.DUMMYFUNCTION("""COMPUTED_VALUE"""),440.78)</f>
        <v>440.78</v>
      </c>
      <c r="E2128" s="1">
        <f>IFERROR(__xludf.DUMMYFUNCTION("""COMPUTED_VALUE"""),441.49)</f>
        <v>441.49</v>
      </c>
      <c r="F2128" s="1">
        <f>IFERROR(__xludf.DUMMYFUNCTION("""COMPUTED_VALUE"""),4.3343752E7)</f>
        <v>43343752</v>
      </c>
    </row>
    <row r="2129">
      <c r="A2129" s="2">
        <f>IFERROR(__xludf.DUMMYFUNCTION("""COMPUTED_VALUE"""),34466.666666666664)</f>
        <v>34466.66667</v>
      </c>
      <c r="B2129" s="1">
        <f>IFERROR(__xludf.DUMMYFUNCTION("""COMPUTED_VALUE"""),441.5)</f>
        <v>441.5</v>
      </c>
      <c r="C2129" s="1">
        <f>IFERROR(__xludf.DUMMYFUNCTION("""COMPUTED_VALUE"""),444.8)</f>
        <v>444.8</v>
      </c>
      <c r="D2129" s="1">
        <f>IFERROR(__xludf.DUMMYFUNCTION("""COMPUTED_VALUE"""),441.5)</f>
        <v>441.5</v>
      </c>
      <c r="E2129" s="1">
        <f>IFERROR(__xludf.DUMMYFUNCTION("""COMPUTED_VALUE"""),443.75)</f>
        <v>443.75</v>
      </c>
      <c r="F2129" s="1">
        <f>IFERROR(__xludf.DUMMYFUNCTION("""COMPUTED_VALUE"""),4.2620312E7)</f>
        <v>42620312</v>
      </c>
    </row>
    <row r="2130">
      <c r="A2130" s="2">
        <f>IFERROR(__xludf.DUMMYFUNCTION("""COMPUTED_VALUE"""),34467.666666666664)</f>
        <v>34467.66667</v>
      </c>
      <c r="B2130" s="1">
        <f>IFERROR(__xludf.DUMMYFUNCTION("""COMPUTED_VALUE"""),443.62)</f>
        <v>443.62</v>
      </c>
      <c r="C2130" s="1">
        <f>IFERROR(__xludf.DUMMYFUNCTION("""COMPUTED_VALUE"""),444.72)</f>
        <v>444.72</v>
      </c>
      <c r="D2130" s="1">
        <f>IFERROR(__xludf.DUMMYFUNCTION("""COMPUTED_VALUE"""),441.21)</f>
        <v>441.21</v>
      </c>
      <c r="E2130" s="1">
        <f>IFERROR(__xludf.DUMMYFUNCTION("""COMPUTED_VALUE"""),444.14)</f>
        <v>444.14</v>
      </c>
      <c r="F2130" s="1">
        <f>IFERROR(__xludf.DUMMYFUNCTION("""COMPUTED_VALUE"""),3.9385936E7)</f>
        <v>39385936</v>
      </c>
    </row>
    <row r="2131">
      <c r="A2131" s="2">
        <f>IFERROR(__xludf.DUMMYFUNCTION("""COMPUTED_VALUE"""),34470.666666666664)</f>
        <v>34470.66667</v>
      </c>
      <c r="B2131" s="1">
        <f>IFERROR(__xludf.DUMMYFUNCTION("""COMPUTED_VALUE"""),444.15)</f>
        <v>444.15</v>
      </c>
      <c r="C2131" s="1">
        <f>IFERROR(__xludf.DUMMYFUNCTION("""COMPUTED_VALUE"""),445.82)</f>
        <v>445.82</v>
      </c>
      <c r="D2131" s="1">
        <f>IFERROR(__xludf.DUMMYFUNCTION("""COMPUTED_VALUE"""),443.62)</f>
        <v>443.62</v>
      </c>
      <c r="E2131" s="1">
        <f>IFERROR(__xludf.DUMMYFUNCTION("""COMPUTED_VALUE"""),444.49)</f>
        <v>444.49</v>
      </c>
      <c r="F2131" s="1">
        <f>IFERROR(__xludf.DUMMYFUNCTION("""COMPUTED_VALUE"""),3.6671876E7)</f>
        <v>36671876</v>
      </c>
    </row>
    <row r="2132">
      <c r="A2132" s="2">
        <f>IFERROR(__xludf.DUMMYFUNCTION("""COMPUTED_VALUE"""),34471.666666666664)</f>
        <v>34471.66667</v>
      </c>
      <c r="B2132" s="1">
        <f>IFERROR(__xludf.DUMMYFUNCTION("""COMPUTED_VALUE"""),444.49)</f>
        <v>444.49</v>
      </c>
      <c r="C2132" s="1">
        <f>IFERROR(__xludf.DUMMYFUNCTION("""COMPUTED_VALUE"""),449.37)</f>
        <v>449.37</v>
      </c>
      <c r="D2132" s="1">
        <f>IFERROR(__xludf.DUMMYFUNCTION("""COMPUTED_VALUE"""),443.7)</f>
        <v>443.7</v>
      </c>
      <c r="E2132" s="1">
        <f>IFERROR(__xludf.DUMMYFUNCTION("""COMPUTED_VALUE"""),449.37)</f>
        <v>449.37</v>
      </c>
      <c r="F2132" s="1">
        <f>IFERROR(__xludf.DUMMYFUNCTION("""COMPUTED_VALUE"""),4.86375E7)</f>
        <v>48637500</v>
      </c>
    </row>
    <row r="2133">
      <c r="A2133" s="2">
        <f>IFERROR(__xludf.DUMMYFUNCTION("""COMPUTED_VALUE"""),34472.666666666664)</f>
        <v>34472.66667</v>
      </c>
      <c r="B2133" s="1">
        <f>IFERROR(__xludf.DUMMYFUNCTION("""COMPUTED_VALUE"""),449.39)</f>
        <v>449.39</v>
      </c>
      <c r="C2133" s="1">
        <f>IFERROR(__xludf.DUMMYFUNCTION("""COMPUTED_VALUE"""),454.45)</f>
        <v>454.45</v>
      </c>
      <c r="D2133" s="1">
        <f>IFERROR(__xludf.DUMMYFUNCTION("""COMPUTED_VALUE"""),448.87)</f>
        <v>448.87</v>
      </c>
      <c r="E2133" s="1">
        <f>IFERROR(__xludf.DUMMYFUNCTION("""COMPUTED_VALUE"""),453.69)</f>
        <v>453.69</v>
      </c>
      <c r="F2133" s="1">
        <f>IFERROR(__xludf.DUMMYFUNCTION("""COMPUTED_VALUE"""),5.2760936E7)</f>
        <v>52760936</v>
      </c>
    </row>
    <row r="2134">
      <c r="A2134" s="2">
        <f>IFERROR(__xludf.DUMMYFUNCTION("""COMPUTED_VALUE"""),34473.666666666664)</f>
        <v>34473.66667</v>
      </c>
      <c r="B2134" s="1">
        <f>IFERROR(__xludf.DUMMYFUNCTION("""COMPUTED_VALUE"""),453.69)</f>
        <v>453.69</v>
      </c>
      <c r="C2134" s="1">
        <f>IFERROR(__xludf.DUMMYFUNCTION("""COMPUTED_VALUE"""),456.88)</f>
        <v>456.88</v>
      </c>
      <c r="D2134" s="1">
        <f>IFERROR(__xludf.DUMMYFUNCTION("""COMPUTED_VALUE"""),453.0)</f>
        <v>453</v>
      </c>
      <c r="E2134" s="1">
        <f>IFERROR(__xludf.DUMMYFUNCTION("""COMPUTED_VALUE"""),456.48)</f>
        <v>456.48</v>
      </c>
      <c r="F2134" s="1">
        <f>IFERROR(__xludf.DUMMYFUNCTION("""COMPUTED_VALUE"""),4.745E7)</f>
        <v>47450000</v>
      </c>
    </row>
    <row r="2135">
      <c r="A2135" s="2">
        <f>IFERROR(__xludf.DUMMYFUNCTION("""COMPUTED_VALUE"""),34474.666666666664)</f>
        <v>34474.66667</v>
      </c>
      <c r="B2135" s="1">
        <f>IFERROR(__xludf.DUMMYFUNCTION("""COMPUTED_VALUE"""),456.48)</f>
        <v>456.48</v>
      </c>
      <c r="C2135" s="1">
        <f>IFERROR(__xludf.DUMMYFUNCTION("""COMPUTED_VALUE"""),456.48)</f>
        <v>456.48</v>
      </c>
      <c r="D2135" s="1">
        <f>IFERROR(__xludf.DUMMYFUNCTION("""COMPUTED_VALUE"""),454.22)</f>
        <v>454.22</v>
      </c>
      <c r="E2135" s="1">
        <f>IFERROR(__xludf.DUMMYFUNCTION("""COMPUTED_VALUE"""),454.92)</f>
        <v>454.92</v>
      </c>
      <c r="F2135" s="1">
        <f>IFERROR(__xludf.DUMMYFUNCTION("""COMPUTED_VALUE"""),4.6121876E7)</f>
        <v>46121876</v>
      </c>
    </row>
    <row r="2136">
      <c r="A2136" s="2">
        <f>IFERROR(__xludf.DUMMYFUNCTION("""COMPUTED_VALUE"""),34477.666666666664)</f>
        <v>34477.66667</v>
      </c>
      <c r="B2136" s="1">
        <f>IFERROR(__xludf.DUMMYFUNCTION("""COMPUTED_VALUE"""),454.92)</f>
        <v>454.92</v>
      </c>
      <c r="C2136" s="1">
        <f>IFERROR(__xludf.DUMMYFUNCTION("""COMPUTED_VALUE"""),454.92)</f>
        <v>454.92</v>
      </c>
      <c r="D2136" s="1">
        <f>IFERROR(__xludf.DUMMYFUNCTION("""COMPUTED_VALUE"""),451.79)</f>
        <v>451.79</v>
      </c>
      <c r="E2136" s="1">
        <f>IFERROR(__xludf.DUMMYFUNCTION("""COMPUTED_VALUE"""),453.2)</f>
        <v>453.2</v>
      </c>
      <c r="F2136" s="1">
        <f>IFERROR(__xludf.DUMMYFUNCTION("""COMPUTED_VALUE"""),3.8971876E7)</f>
        <v>38971876</v>
      </c>
    </row>
    <row r="2137">
      <c r="A2137" s="2">
        <f>IFERROR(__xludf.DUMMYFUNCTION("""COMPUTED_VALUE"""),34478.666666666664)</f>
        <v>34478.66667</v>
      </c>
      <c r="B2137" s="1">
        <f>IFERROR(__xludf.DUMMYFUNCTION("""COMPUTED_VALUE"""),453.21)</f>
        <v>453.21</v>
      </c>
      <c r="C2137" s="1">
        <f>IFERROR(__xludf.DUMMYFUNCTION("""COMPUTED_VALUE"""),456.77)</f>
        <v>456.77</v>
      </c>
      <c r="D2137" s="1">
        <f>IFERROR(__xludf.DUMMYFUNCTION("""COMPUTED_VALUE"""),453.21)</f>
        <v>453.21</v>
      </c>
      <c r="E2137" s="1">
        <f>IFERROR(__xludf.DUMMYFUNCTION("""COMPUTED_VALUE"""),454.81)</f>
        <v>454.81</v>
      </c>
      <c r="F2137" s="1">
        <f>IFERROR(__xludf.DUMMYFUNCTION("""COMPUTED_VALUE"""),4.3756248E7)</f>
        <v>43756248</v>
      </c>
    </row>
    <row r="2138">
      <c r="A2138" s="2">
        <f>IFERROR(__xludf.DUMMYFUNCTION("""COMPUTED_VALUE"""),34479.666666666664)</f>
        <v>34479.66667</v>
      </c>
      <c r="B2138" s="1">
        <f>IFERROR(__xludf.DUMMYFUNCTION("""COMPUTED_VALUE"""),454.84)</f>
        <v>454.84</v>
      </c>
      <c r="C2138" s="1">
        <f>IFERROR(__xludf.DUMMYFUNCTION("""COMPUTED_VALUE"""),456.34)</f>
        <v>456.34</v>
      </c>
      <c r="D2138" s="1">
        <f>IFERROR(__xludf.DUMMYFUNCTION("""COMPUTED_VALUE"""),452.2)</f>
        <v>452.2</v>
      </c>
      <c r="E2138" s="1">
        <f>IFERROR(__xludf.DUMMYFUNCTION("""COMPUTED_VALUE"""),456.34)</f>
        <v>456.34</v>
      </c>
      <c r="F2138" s="1">
        <f>IFERROR(__xludf.DUMMYFUNCTION("""COMPUTED_VALUE"""),3.9753124E7)</f>
        <v>39753124</v>
      </c>
    </row>
    <row r="2139">
      <c r="A2139" s="2">
        <f>IFERROR(__xludf.DUMMYFUNCTION("""COMPUTED_VALUE"""),34480.666666666664)</f>
        <v>34480.66667</v>
      </c>
      <c r="B2139" s="1">
        <f>IFERROR(__xludf.DUMMYFUNCTION("""COMPUTED_VALUE"""),456.33)</f>
        <v>456.33</v>
      </c>
      <c r="C2139" s="1">
        <f>IFERROR(__xludf.DUMMYFUNCTION("""COMPUTED_VALUE"""),457.77)</f>
        <v>457.77</v>
      </c>
      <c r="D2139" s="1">
        <f>IFERROR(__xludf.DUMMYFUNCTION("""COMPUTED_VALUE"""),455.79)</f>
        <v>455.79</v>
      </c>
      <c r="E2139" s="1">
        <f>IFERROR(__xludf.DUMMYFUNCTION("""COMPUTED_VALUE"""),457.06)</f>
        <v>457.06</v>
      </c>
      <c r="F2139" s="1">
        <f>IFERROR(__xludf.DUMMYFUNCTION("""COMPUTED_VALUE"""),3.9959376E7)</f>
        <v>39959376</v>
      </c>
    </row>
    <row r="2140">
      <c r="A2140" s="2">
        <f>IFERROR(__xludf.DUMMYFUNCTION("""COMPUTED_VALUE"""),34481.666666666664)</f>
        <v>34481.66667</v>
      </c>
      <c r="B2140" s="1">
        <f>IFERROR(__xludf.DUMMYFUNCTION("""COMPUTED_VALUE"""),457.03)</f>
        <v>457.03</v>
      </c>
      <c r="C2140" s="1">
        <f>IFERROR(__xludf.DUMMYFUNCTION("""COMPUTED_VALUE"""),457.33)</f>
        <v>457.33</v>
      </c>
      <c r="D2140" s="1">
        <f>IFERROR(__xludf.DUMMYFUNCTION("""COMPUTED_VALUE"""),454.67)</f>
        <v>454.67</v>
      </c>
      <c r="E2140" s="1">
        <f>IFERROR(__xludf.DUMMYFUNCTION("""COMPUTED_VALUE"""),457.33)</f>
        <v>457.33</v>
      </c>
      <c r="F2140" s="1">
        <f>IFERROR(__xludf.DUMMYFUNCTION("""COMPUTED_VALUE"""),2.9129688E7)</f>
        <v>29129688</v>
      </c>
    </row>
    <row r="2141">
      <c r="A2141" s="2">
        <f>IFERROR(__xludf.DUMMYFUNCTION("""COMPUTED_VALUE"""),34485.666666666664)</f>
        <v>34485.66667</v>
      </c>
      <c r="B2141" s="1">
        <f>IFERROR(__xludf.DUMMYFUNCTION("""COMPUTED_VALUE"""),457.32)</f>
        <v>457.32</v>
      </c>
      <c r="C2141" s="1">
        <f>IFERROR(__xludf.DUMMYFUNCTION("""COMPUTED_VALUE"""),457.61)</f>
        <v>457.61</v>
      </c>
      <c r="D2141" s="1">
        <f>IFERROR(__xludf.DUMMYFUNCTION("""COMPUTED_VALUE"""),455.16)</f>
        <v>455.16</v>
      </c>
      <c r="E2141" s="1">
        <f>IFERROR(__xludf.DUMMYFUNCTION("""COMPUTED_VALUE"""),456.5)</f>
        <v>456.5</v>
      </c>
      <c r="F2141" s="1">
        <f>IFERROR(__xludf.DUMMYFUNCTION("""COMPUTED_VALUE"""),3.3859376E7)</f>
        <v>33859376</v>
      </c>
    </row>
    <row r="2142">
      <c r="A2142" s="2">
        <f>IFERROR(__xludf.DUMMYFUNCTION("""COMPUTED_VALUE"""),34486.666666666664)</f>
        <v>34486.66667</v>
      </c>
      <c r="B2142" s="1">
        <f>IFERROR(__xludf.DUMMYFUNCTION("""COMPUTED_VALUE"""),456.5)</f>
        <v>456.5</v>
      </c>
      <c r="C2142" s="1">
        <f>IFERROR(__xludf.DUMMYFUNCTION("""COMPUTED_VALUE"""),458.29)</f>
        <v>458.29</v>
      </c>
      <c r="D2142" s="1">
        <f>IFERROR(__xludf.DUMMYFUNCTION("""COMPUTED_VALUE"""),453.99)</f>
        <v>453.99</v>
      </c>
      <c r="E2142" s="1">
        <f>IFERROR(__xludf.DUMMYFUNCTION("""COMPUTED_VALUE"""),457.63)</f>
        <v>457.63</v>
      </c>
      <c r="F2142" s="1">
        <f>IFERROR(__xludf.DUMMYFUNCTION("""COMPUTED_VALUE"""),4.3735936E7)</f>
        <v>43735936</v>
      </c>
    </row>
    <row r="2143">
      <c r="A2143" s="2">
        <f>IFERROR(__xludf.DUMMYFUNCTION("""COMPUTED_VALUE"""),34487.666666666664)</f>
        <v>34487.66667</v>
      </c>
      <c r="B2143" s="1">
        <f>IFERROR(__xludf.DUMMYFUNCTION("""COMPUTED_VALUE"""),457.62)</f>
        <v>457.62</v>
      </c>
      <c r="C2143" s="1">
        <f>IFERROR(__xludf.DUMMYFUNCTION("""COMPUTED_VALUE"""),458.5)</f>
        <v>458.5</v>
      </c>
      <c r="D2143" s="1">
        <f>IFERROR(__xludf.DUMMYFUNCTION("""COMPUTED_VALUE"""),457.26)</f>
        <v>457.26</v>
      </c>
      <c r="E2143" s="1">
        <f>IFERROR(__xludf.DUMMYFUNCTION("""COMPUTED_VALUE"""),457.65)</f>
        <v>457.65</v>
      </c>
      <c r="F2143" s="1">
        <f>IFERROR(__xludf.DUMMYFUNCTION("""COMPUTED_VALUE"""),4.2442188E7)</f>
        <v>42442188</v>
      </c>
    </row>
    <row r="2144">
      <c r="A2144" s="2">
        <f>IFERROR(__xludf.DUMMYFUNCTION("""COMPUTED_VALUE"""),34488.666666666664)</f>
        <v>34488.66667</v>
      </c>
      <c r="B2144" s="1">
        <f>IFERROR(__xludf.DUMMYFUNCTION("""COMPUTED_VALUE"""),457.65)</f>
        <v>457.65</v>
      </c>
      <c r="C2144" s="1">
        <f>IFERROR(__xludf.DUMMYFUNCTION("""COMPUTED_VALUE"""),460.86)</f>
        <v>460.86</v>
      </c>
      <c r="D2144" s="1">
        <f>IFERROR(__xludf.DUMMYFUNCTION("""COMPUTED_VALUE"""),456.27)</f>
        <v>456.27</v>
      </c>
      <c r="E2144" s="1">
        <f>IFERROR(__xludf.DUMMYFUNCTION("""COMPUTED_VALUE"""),460.13)</f>
        <v>460.13</v>
      </c>
      <c r="F2144" s="1">
        <f>IFERROR(__xludf.DUMMYFUNCTION("""COMPUTED_VALUE"""),4.2420312E7)</f>
        <v>42420312</v>
      </c>
    </row>
    <row r="2145">
      <c r="A2145" s="2">
        <f>IFERROR(__xludf.DUMMYFUNCTION("""COMPUTED_VALUE"""),34491.666666666664)</f>
        <v>34491.66667</v>
      </c>
      <c r="B2145" s="1">
        <f>IFERROR(__xludf.DUMMYFUNCTION("""COMPUTED_VALUE"""),460.13)</f>
        <v>460.13</v>
      </c>
      <c r="C2145" s="1">
        <f>IFERROR(__xludf.DUMMYFUNCTION("""COMPUTED_VALUE"""),461.87)</f>
        <v>461.87</v>
      </c>
      <c r="D2145" s="1">
        <f>IFERROR(__xludf.DUMMYFUNCTION("""COMPUTED_VALUE"""),458.85)</f>
        <v>458.85</v>
      </c>
      <c r="E2145" s="1">
        <f>IFERROR(__xludf.DUMMYFUNCTION("""COMPUTED_VALUE"""),458.88)</f>
        <v>458.88</v>
      </c>
      <c r="F2145" s="1">
        <f>IFERROR(__xludf.DUMMYFUNCTION("""COMPUTED_VALUE"""),4.0481248E7)</f>
        <v>40481248</v>
      </c>
    </row>
    <row r="2146">
      <c r="A2146" s="2">
        <f>IFERROR(__xludf.DUMMYFUNCTION("""COMPUTED_VALUE"""),34492.666666666664)</f>
        <v>34492.66667</v>
      </c>
      <c r="B2146" s="1">
        <f>IFERROR(__xludf.DUMMYFUNCTION("""COMPUTED_VALUE"""),458.88)</f>
        <v>458.88</v>
      </c>
      <c r="C2146" s="1">
        <f>IFERROR(__xludf.DUMMYFUNCTION("""COMPUTED_VALUE"""),459.46)</f>
        <v>459.46</v>
      </c>
      <c r="D2146" s="1">
        <f>IFERROR(__xludf.DUMMYFUNCTION("""COMPUTED_VALUE"""),457.65)</f>
        <v>457.65</v>
      </c>
      <c r="E2146" s="1">
        <f>IFERROR(__xludf.DUMMYFUNCTION("""COMPUTED_VALUE"""),458.21)</f>
        <v>458.21</v>
      </c>
      <c r="F2146" s="1">
        <f>IFERROR(__xludf.DUMMYFUNCTION("""COMPUTED_VALUE"""),3.6668752E7)</f>
        <v>36668752</v>
      </c>
    </row>
    <row r="2147">
      <c r="A2147" s="2">
        <f>IFERROR(__xludf.DUMMYFUNCTION("""COMPUTED_VALUE"""),34493.666666666664)</f>
        <v>34493.66667</v>
      </c>
      <c r="B2147" s="1">
        <f>IFERROR(__xludf.DUMMYFUNCTION("""COMPUTED_VALUE"""),458.21)</f>
        <v>458.21</v>
      </c>
      <c r="C2147" s="1">
        <f>IFERROR(__xludf.DUMMYFUNCTION("""COMPUTED_VALUE"""),459.74)</f>
        <v>459.74</v>
      </c>
      <c r="D2147" s="1">
        <f>IFERROR(__xludf.DUMMYFUNCTION("""COMPUTED_VALUE"""),455.43)</f>
        <v>455.43</v>
      </c>
      <c r="E2147" s="1">
        <f>IFERROR(__xludf.DUMMYFUNCTION("""COMPUTED_VALUE"""),457.06)</f>
        <v>457.06</v>
      </c>
      <c r="F2147" s="1">
        <f>IFERROR(__xludf.DUMMYFUNCTION("""COMPUTED_VALUE"""),4.0E7)</f>
        <v>40000000</v>
      </c>
    </row>
    <row r="2148">
      <c r="A2148" s="2">
        <f>IFERROR(__xludf.DUMMYFUNCTION("""COMPUTED_VALUE"""),34494.666666666664)</f>
        <v>34494.66667</v>
      </c>
      <c r="B2148" s="1">
        <f>IFERROR(__xludf.DUMMYFUNCTION("""COMPUTED_VALUE"""),457.06)</f>
        <v>457.06</v>
      </c>
      <c r="C2148" s="1">
        <f>IFERROR(__xludf.DUMMYFUNCTION("""COMPUTED_VALUE"""),457.87)</f>
        <v>457.87</v>
      </c>
      <c r="D2148" s="1">
        <f>IFERROR(__xludf.DUMMYFUNCTION("""COMPUTED_VALUE"""),455.86)</f>
        <v>455.86</v>
      </c>
      <c r="E2148" s="1">
        <f>IFERROR(__xludf.DUMMYFUNCTION("""COMPUTED_VALUE"""),457.86)</f>
        <v>457.86</v>
      </c>
      <c r="F2148" s="1">
        <f>IFERROR(__xludf.DUMMYFUNCTION("""COMPUTED_VALUE"""),3.9510936E7)</f>
        <v>39510936</v>
      </c>
    </row>
    <row r="2149">
      <c r="A2149" s="2">
        <f>IFERROR(__xludf.DUMMYFUNCTION("""COMPUTED_VALUE"""),34495.666666666664)</f>
        <v>34495.66667</v>
      </c>
      <c r="B2149" s="1">
        <f>IFERROR(__xludf.DUMMYFUNCTION("""COMPUTED_VALUE"""),457.86)</f>
        <v>457.86</v>
      </c>
      <c r="C2149" s="1">
        <f>IFERROR(__xludf.DUMMYFUNCTION("""COMPUTED_VALUE"""),459.48)</f>
        <v>459.48</v>
      </c>
      <c r="D2149" s="1">
        <f>IFERROR(__xludf.DUMMYFUNCTION("""COMPUTED_VALUE"""),457.36)</f>
        <v>457.36</v>
      </c>
      <c r="E2149" s="1">
        <f>IFERROR(__xludf.DUMMYFUNCTION("""COMPUTED_VALUE"""),458.67)</f>
        <v>458.67</v>
      </c>
      <c r="F2149" s="1">
        <f>IFERROR(__xludf.DUMMYFUNCTION("""COMPUTED_VALUE"""),3.47625E7)</f>
        <v>34762500</v>
      </c>
    </row>
    <row r="2150">
      <c r="A2150" s="2">
        <f>IFERROR(__xludf.DUMMYFUNCTION("""COMPUTED_VALUE"""),34498.666666666664)</f>
        <v>34498.66667</v>
      </c>
      <c r="B2150" s="1">
        <f>IFERROR(__xludf.DUMMYFUNCTION("""COMPUTED_VALUE"""),458.67)</f>
        <v>458.67</v>
      </c>
      <c r="C2150" s="1">
        <f>IFERROR(__xludf.DUMMYFUNCTION("""COMPUTED_VALUE"""),459.36)</f>
        <v>459.36</v>
      </c>
      <c r="D2150" s="1">
        <f>IFERROR(__xludf.DUMMYFUNCTION("""COMPUTED_VALUE"""),457.18)</f>
        <v>457.18</v>
      </c>
      <c r="E2150" s="1">
        <f>IFERROR(__xludf.DUMMYFUNCTION("""COMPUTED_VALUE"""),459.1)</f>
        <v>459.1</v>
      </c>
      <c r="F2150" s="1">
        <f>IFERROR(__xludf.DUMMYFUNCTION("""COMPUTED_VALUE"""),3.8068752E7)</f>
        <v>38068752</v>
      </c>
    </row>
    <row r="2151">
      <c r="A2151" s="2">
        <f>IFERROR(__xludf.DUMMYFUNCTION("""COMPUTED_VALUE"""),34499.666666666664)</f>
        <v>34499.66667</v>
      </c>
      <c r="B2151" s="1">
        <f>IFERROR(__xludf.DUMMYFUNCTION("""COMPUTED_VALUE"""),459.1)</f>
        <v>459.1</v>
      </c>
      <c r="C2151" s="1">
        <f>IFERROR(__xludf.DUMMYFUNCTION("""COMPUTED_VALUE"""),462.52)</f>
        <v>462.52</v>
      </c>
      <c r="D2151" s="1">
        <f>IFERROR(__xludf.DUMMYFUNCTION("""COMPUTED_VALUE"""),459.1)</f>
        <v>459.1</v>
      </c>
      <c r="E2151" s="1">
        <f>IFERROR(__xludf.DUMMYFUNCTION("""COMPUTED_VALUE"""),462.37)</f>
        <v>462.37</v>
      </c>
      <c r="F2151" s="1">
        <f>IFERROR(__xludf.DUMMYFUNCTION("""COMPUTED_VALUE"""),4.5085936E7)</f>
        <v>45085936</v>
      </c>
    </row>
    <row r="2152">
      <c r="A2152" s="2">
        <f>IFERROR(__xludf.DUMMYFUNCTION("""COMPUTED_VALUE"""),34500.666666666664)</f>
        <v>34500.66667</v>
      </c>
      <c r="B2152" s="1">
        <f>IFERROR(__xludf.DUMMYFUNCTION("""COMPUTED_VALUE"""),462.38)</f>
        <v>462.38</v>
      </c>
      <c r="C2152" s="1">
        <f>IFERROR(__xludf.DUMMYFUNCTION("""COMPUTED_VALUE"""),463.23)</f>
        <v>463.23</v>
      </c>
      <c r="D2152" s="1">
        <f>IFERROR(__xludf.DUMMYFUNCTION("""COMPUTED_VALUE"""),459.95)</f>
        <v>459.95</v>
      </c>
      <c r="E2152" s="1">
        <f>IFERROR(__xludf.DUMMYFUNCTION("""COMPUTED_VALUE"""),460.61)</f>
        <v>460.61</v>
      </c>
      <c r="F2152" s="1">
        <f>IFERROR(__xludf.DUMMYFUNCTION("""COMPUTED_VALUE"""),4.2146876E7)</f>
        <v>42146876</v>
      </c>
    </row>
    <row r="2153">
      <c r="A2153" s="2">
        <f>IFERROR(__xludf.DUMMYFUNCTION("""COMPUTED_VALUE"""),34501.666666666664)</f>
        <v>34501.66667</v>
      </c>
      <c r="B2153" s="1">
        <f>IFERROR(__xludf.DUMMYFUNCTION("""COMPUTED_VALUE"""),460.61)</f>
        <v>460.61</v>
      </c>
      <c r="C2153" s="1">
        <f>IFERROR(__xludf.DUMMYFUNCTION("""COMPUTED_VALUE"""),461.93)</f>
        <v>461.93</v>
      </c>
      <c r="D2153" s="1">
        <f>IFERROR(__xludf.DUMMYFUNCTION("""COMPUTED_VALUE"""),459.8)</f>
        <v>459.8</v>
      </c>
      <c r="E2153" s="1">
        <f>IFERROR(__xludf.DUMMYFUNCTION("""COMPUTED_VALUE"""),461.93)</f>
        <v>461.93</v>
      </c>
      <c r="F2153" s="1">
        <f>IFERROR(__xludf.DUMMYFUNCTION("""COMPUTED_VALUE"""),4.0060936E7)</f>
        <v>40060936</v>
      </c>
    </row>
    <row r="2154">
      <c r="A2154" s="2">
        <f>IFERROR(__xludf.DUMMYFUNCTION("""COMPUTED_VALUE"""),34502.666666666664)</f>
        <v>34502.66667</v>
      </c>
      <c r="B2154" s="1">
        <f>IFERROR(__xludf.DUMMYFUNCTION("""COMPUTED_VALUE"""),461.93)</f>
        <v>461.93</v>
      </c>
      <c r="C2154" s="1">
        <f>IFERROR(__xludf.DUMMYFUNCTION("""COMPUTED_VALUE"""),462.16)</f>
        <v>462.16</v>
      </c>
      <c r="D2154" s="1">
        <f>IFERROR(__xludf.DUMMYFUNCTION("""COMPUTED_VALUE"""),458.44)</f>
        <v>458.44</v>
      </c>
      <c r="E2154" s="1">
        <f>IFERROR(__xludf.DUMMYFUNCTION("""COMPUTED_VALUE"""),458.45)</f>
        <v>458.45</v>
      </c>
      <c r="F2154" s="1">
        <f>IFERROR(__xludf.DUMMYFUNCTION("""COMPUTED_VALUE"""),5.8351564E7)</f>
        <v>58351564</v>
      </c>
    </row>
    <row r="2155">
      <c r="A2155" s="2">
        <f>IFERROR(__xludf.DUMMYFUNCTION("""COMPUTED_VALUE"""),34505.666666666664)</f>
        <v>34505.66667</v>
      </c>
      <c r="B2155" s="1">
        <f>IFERROR(__xludf.DUMMYFUNCTION("""COMPUTED_VALUE"""),458.45)</f>
        <v>458.45</v>
      </c>
      <c r="C2155" s="1">
        <f>IFERROR(__xludf.DUMMYFUNCTION("""COMPUTED_VALUE"""),458.45)</f>
        <v>458.45</v>
      </c>
      <c r="D2155" s="1">
        <f>IFERROR(__xludf.DUMMYFUNCTION("""COMPUTED_VALUE"""),454.46)</f>
        <v>454.46</v>
      </c>
      <c r="E2155" s="1">
        <f>IFERROR(__xludf.DUMMYFUNCTION("""COMPUTED_VALUE"""),455.48)</f>
        <v>455.48</v>
      </c>
      <c r="F2155" s="1">
        <f>IFERROR(__xludf.DUMMYFUNCTION("""COMPUTED_VALUE"""),3.58625E7)</f>
        <v>35862500</v>
      </c>
    </row>
    <row r="2156">
      <c r="A2156" s="2">
        <f>IFERROR(__xludf.DUMMYFUNCTION("""COMPUTED_VALUE"""),34506.666666666664)</f>
        <v>34506.66667</v>
      </c>
      <c r="B2156" s="1">
        <f>IFERROR(__xludf.DUMMYFUNCTION("""COMPUTED_VALUE"""),455.48)</f>
        <v>455.48</v>
      </c>
      <c r="C2156" s="1">
        <f>IFERROR(__xludf.DUMMYFUNCTION("""COMPUTED_VALUE"""),455.48)</f>
        <v>455.48</v>
      </c>
      <c r="D2156" s="1">
        <f>IFERROR(__xludf.DUMMYFUNCTION("""COMPUTED_VALUE"""),449.45)</f>
        <v>449.45</v>
      </c>
      <c r="E2156" s="1">
        <f>IFERROR(__xludf.DUMMYFUNCTION("""COMPUTED_VALUE"""),451.34)</f>
        <v>451.34</v>
      </c>
      <c r="F2156" s="1">
        <f>IFERROR(__xludf.DUMMYFUNCTION("""COMPUTED_VALUE"""),4.6676564E7)</f>
        <v>46676564</v>
      </c>
    </row>
    <row r="2157">
      <c r="A2157" s="2">
        <f>IFERROR(__xludf.DUMMYFUNCTION("""COMPUTED_VALUE"""),34507.666666666664)</f>
        <v>34507.66667</v>
      </c>
      <c r="B2157" s="1">
        <f>IFERROR(__xludf.DUMMYFUNCTION("""COMPUTED_VALUE"""),451.4)</f>
        <v>451.4</v>
      </c>
      <c r="C2157" s="1">
        <f>IFERROR(__xludf.DUMMYFUNCTION("""COMPUTED_VALUE"""),453.91)</f>
        <v>453.91</v>
      </c>
      <c r="D2157" s="1">
        <f>IFERROR(__xludf.DUMMYFUNCTION("""COMPUTED_VALUE"""),451.4)</f>
        <v>451.4</v>
      </c>
      <c r="E2157" s="1">
        <f>IFERROR(__xludf.DUMMYFUNCTION("""COMPUTED_VALUE"""),453.09)</f>
        <v>453.09</v>
      </c>
      <c r="F2157" s="1">
        <f>IFERROR(__xludf.DUMMYFUNCTION("""COMPUTED_VALUE"""),3.9235936E7)</f>
        <v>39235936</v>
      </c>
    </row>
    <row r="2158">
      <c r="A2158" s="2">
        <f>IFERROR(__xludf.DUMMYFUNCTION("""COMPUTED_VALUE"""),34508.666666666664)</f>
        <v>34508.66667</v>
      </c>
      <c r="B2158" s="1">
        <f>IFERROR(__xludf.DUMMYFUNCTION("""COMPUTED_VALUE"""),453.09)</f>
        <v>453.09</v>
      </c>
      <c r="C2158" s="1">
        <f>IFERROR(__xludf.DUMMYFUNCTION("""COMPUTED_VALUE"""),454.16)</f>
        <v>454.16</v>
      </c>
      <c r="D2158" s="1">
        <f>IFERROR(__xludf.DUMMYFUNCTION("""COMPUTED_VALUE"""),449.43)</f>
        <v>449.43</v>
      </c>
      <c r="E2158" s="1">
        <f>IFERROR(__xludf.DUMMYFUNCTION("""COMPUTED_VALUE"""),449.63)</f>
        <v>449.63</v>
      </c>
      <c r="F2158" s="1">
        <f>IFERROR(__xludf.DUMMYFUNCTION("""COMPUTED_VALUE"""),4.0075E7)</f>
        <v>40075000</v>
      </c>
    </row>
    <row r="2159">
      <c r="A2159" s="2">
        <f>IFERROR(__xludf.DUMMYFUNCTION("""COMPUTED_VALUE"""),34509.666666666664)</f>
        <v>34509.66667</v>
      </c>
      <c r="B2159" s="1">
        <f>IFERROR(__xludf.DUMMYFUNCTION("""COMPUTED_VALUE"""),449.63)</f>
        <v>449.63</v>
      </c>
      <c r="C2159" s="1">
        <f>IFERROR(__xludf.DUMMYFUNCTION("""COMPUTED_VALUE"""),449.63)</f>
        <v>449.63</v>
      </c>
      <c r="D2159" s="1">
        <f>IFERROR(__xludf.DUMMYFUNCTION("""COMPUTED_VALUE"""),442.51)</f>
        <v>442.51</v>
      </c>
      <c r="E2159" s="1">
        <f>IFERROR(__xludf.DUMMYFUNCTION("""COMPUTED_VALUE"""),442.8)</f>
        <v>442.8</v>
      </c>
      <c r="F2159" s="1">
        <f>IFERROR(__xludf.DUMMYFUNCTION("""COMPUTED_VALUE"""),4.0821876E7)</f>
        <v>40821876</v>
      </c>
    </row>
    <row r="2160">
      <c r="A2160" s="2">
        <f>IFERROR(__xludf.DUMMYFUNCTION("""COMPUTED_VALUE"""),34512.666666666664)</f>
        <v>34512.66667</v>
      </c>
      <c r="B2160" s="1">
        <f>IFERROR(__xludf.DUMMYFUNCTION("""COMPUTED_VALUE"""),442.78)</f>
        <v>442.78</v>
      </c>
      <c r="C2160" s="1">
        <f>IFERROR(__xludf.DUMMYFUNCTION("""COMPUTED_VALUE"""),447.76)</f>
        <v>447.76</v>
      </c>
      <c r="D2160" s="1">
        <f>IFERROR(__xludf.DUMMYFUNCTION("""COMPUTED_VALUE"""),439.83)</f>
        <v>439.83</v>
      </c>
      <c r="E2160" s="1">
        <f>IFERROR(__xludf.DUMMYFUNCTION("""COMPUTED_VALUE"""),447.31)</f>
        <v>447.31</v>
      </c>
      <c r="F2160" s="1">
        <f>IFERROR(__xludf.DUMMYFUNCTION("""COMPUTED_VALUE"""),3.9075E7)</f>
        <v>39075000</v>
      </c>
    </row>
    <row r="2161">
      <c r="A2161" s="2">
        <f>IFERROR(__xludf.DUMMYFUNCTION("""COMPUTED_VALUE"""),34513.666666666664)</f>
        <v>34513.66667</v>
      </c>
      <c r="B2161" s="1">
        <f>IFERROR(__xludf.DUMMYFUNCTION("""COMPUTED_VALUE"""),447.36)</f>
        <v>447.36</v>
      </c>
      <c r="C2161" s="1">
        <f>IFERROR(__xludf.DUMMYFUNCTION("""COMPUTED_VALUE"""),448.47)</f>
        <v>448.47</v>
      </c>
      <c r="D2161" s="1">
        <f>IFERROR(__xludf.DUMMYFUNCTION("""COMPUTED_VALUE"""),443.08)</f>
        <v>443.08</v>
      </c>
      <c r="E2161" s="1">
        <f>IFERROR(__xludf.DUMMYFUNCTION("""COMPUTED_VALUE"""),446.07)</f>
        <v>446.07</v>
      </c>
      <c r="F2161" s="1">
        <f>IFERROR(__xludf.DUMMYFUNCTION("""COMPUTED_VALUE"""),4.1834376E7)</f>
        <v>41834376</v>
      </c>
    </row>
    <row r="2162">
      <c r="A2162" s="2">
        <f>IFERROR(__xludf.DUMMYFUNCTION("""COMPUTED_VALUE"""),34514.666666666664)</f>
        <v>34514.66667</v>
      </c>
      <c r="B2162" s="1">
        <f>IFERROR(__xludf.DUMMYFUNCTION("""COMPUTED_VALUE"""),446.05)</f>
        <v>446.05</v>
      </c>
      <c r="C2162" s="1">
        <f>IFERROR(__xludf.DUMMYFUNCTION("""COMPUTED_VALUE"""),449.83)</f>
        <v>449.83</v>
      </c>
      <c r="D2162" s="1">
        <f>IFERROR(__xludf.DUMMYFUNCTION("""COMPUTED_VALUE"""),446.04)</f>
        <v>446.04</v>
      </c>
      <c r="E2162" s="1">
        <f>IFERROR(__xludf.DUMMYFUNCTION("""COMPUTED_VALUE"""),447.63)</f>
        <v>447.63</v>
      </c>
      <c r="F2162" s="1">
        <f>IFERROR(__xludf.DUMMYFUNCTION("""COMPUTED_VALUE"""),4.1317188E7)</f>
        <v>41317188</v>
      </c>
    </row>
    <row r="2163">
      <c r="A2163" s="2">
        <f>IFERROR(__xludf.DUMMYFUNCTION("""COMPUTED_VALUE"""),34515.666666666664)</f>
        <v>34515.66667</v>
      </c>
      <c r="B2163" s="1">
        <f>IFERROR(__xludf.DUMMYFUNCTION("""COMPUTED_VALUE"""),447.63)</f>
        <v>447.63</v>
      </c>
      <c r="C2163" s="1">
        <f>IFERROR(__xludf.DUMMYFUNCTION("""COMPUTED_VALUE"""),448.61)</f>
        <v>448.61</v>
      </c>
      <c r="D2163" s="1">
        <f>IFERROR(__xludf.DUMMYFUNCTION("""COMPUTED_VALUE"""),443.66)</f>
        <v>443.66</v>
      </c>
      <c r="E2163" s="1">
        <f>IFERROR(__xludf.DUMMYFUNCTION("""COMPUTED_VALUE"""),444.27)</f>
        <v>444.27</v>
      </c>
      <c r="F2163" s="1">
        <f>IFERROR(__xludf.DUMMYFUNCTION("""COMPUTED_VALUE"""),4.5845312E7)</f>
        <v>45845312</v>
      </c>
    </row>
    <row r="2164">
      <c r="A2164" s="2">
        <f>IFERROR(__xludf.DUMMYFUNCTION("""COMPUTED_VALUE"""),34516.666666666664)</f>
        <v>34516.66667</v>
      </c>
      <c r="B2164" s="1">
        <f>IFERROR(__xludf.DUMMYFUNCTION("""COMPUTED_VALUE"""),444.27)</f>
        <v>444.27</v>
      </c>
      <c r="C2164" s="1">
        <f>IFERROR(__xludf.DUMMYFUNCTION("""COMPUTED_VALUE"""),446.45)</f>
        <v>446.45</v>
      </c>
      <c r="D2164" s="1">
        <f>IFERROR(__xludf.DUMMYFUNCTION("""COMPUTED_VALUE"""),443.58)</f>
        <v>443.58</v>
      </c>
      <c r="E2164" s="1">
        <f>IFERROR(__xludf.DUMMYFUNCTION("""COMPUTED_VALUE"""),446.2)</f>
        <v>446.2</v>
      </c>
      <c r="F2164" s="1">
        <f>IFERROR(__xludf.DUMMYFUNCTION("""COMPUTED_VALUE"""),3.1098438E7)</f>
        <v>31098438</v>
      </c>
    </row>
    <row r="2165">
      <c r="A2165" s="2">
        <f>IFERROR(__xludf.DUMMYFUNCTION("""COMPUTED_VALUE"""),34519.666666666664)</f>
        <v>34519.66667</v>
      </c>
      <c r="B2165" s="1">
        <f>IFERROR(__xludf.DUMMYFUNCTION("""COMPUTED_VALUE"""),446.2)</f>
        <v>446.2</v>
      </c>
      <c r="C2165" s="1">
        <f>IFERROR(__xludf.DUMMYFUNCTION("""COMPUTED_VALUE"""),446.2)</f>
        <v>446.2</v>
      </c>
      <c r="D2165" s="1">
        <f>IFERROR(__xludf.DUMMYFUNCTION("""COMPUTED_VALUE"""),446.2)</f>
        <v>446.2</v>
      </c>
      <c r="E2165" s="1">
        <f>IFERROR(__xludf.DUMMYFUNCTION("""COMPUTED_VALUE"""),446.2)</f>
        <v>446.2</v>
      </c>
      <c r="F2165" s="1">
        <f>IFERROR(__xludf.DUMMYFUNCTION("""COMPUTED_VALUE"""),0.0)</f>
        <v>0</v>
      </c>
    </row>
    <row r="2166">
      <c r="A2166" s="2">
        <f>IFERROR(__xludf.DUMMYFUNCTION("""COMPUTED_VALUE"""),34520.666666666664)</f>
        <v>34520.66667</v>
      </c>
      <c r="B2166" s="1">
        <f>IFERROR(__xludf.DUMMYFUNCTION("""COMPUTED_VALUE"""),446.2)</f>
        <v>446.2</v>
      </c>
      <c r="C2166" s="1">
        <f>IFERROR(__xludf.DUMMYFUNCTION("""COMPUTED_VALUE"""),447.62)</f>
        <v>447.62</v>
      </c>
      <c r="D2166" s="1">
        <f>IFERROR(__xludf.DUMMYFUNCTION("""COMPUTED_VALUE"""),445.14)</f>
        <v>445.14</v>
      </c>
      <c r="E2166" s="1">
        <f>IFERROR(__xludf.DUMMYFUNCTION("""COMPUTED_VALUE"""),446.37)</f>
        <v>446.37</v>
      </c>
      <c r="F2166" s="1">
        <f>IFERROR(__xludf.DUMMYFUNCTION("""COMPUTED_VALUE"""),3.0532812E7)</f>
        <v>30532812</v>
      </c>
    </row>
    <row r="2167">
      <c r="A2167" s="2">
        <f>IFERROR(__xludf.DUMMYFUNCTION("""COMPUTED_VALUE"""),34521.666666666664)</f>
        <v>34521.66667</v>
      </c>
      <c r="B2167" s="1">
        <f>IFERROR(__xludf.DUMMYFUNCTION("""COMPUTED_VALUE"""),446.29)</f>
        <v>446.29</v>
      </c>
      <c r="C2167" s="1">
        <f>IFERROR(__xludf.DUMMYFUNCTION("""COMPUTED_VALUE"""),447.28)</f>
        <v>447.28</v>
      </c>
      <c r="D2167" s="1">
        <f>IFERROR(__xludf.DUMMYFUNCTION("""COMPUTED_VALUE"""),444.18)</f>
        <v>444.18</v>
      </c>
      <c r="E2167" s="1">
        <f>IFERROR(__xludf.DUMMYFUNCTION("""COMPUTED_VALUE"""),446.13)</f>
        <v>446.13</v>
      </c>
      <c r="F2167" s="1">
        <f>IFERROR(__xludf.DUMMYFUNCTION("""COMPUTED_VALUE"""),3.6910936E7)</f>
        <v>36910936</v>
      </c>
    </row>
    <row r="2168">
      <c r="A2168" s="2">
        <f>IFERROR(__xludf.DUMMYFUNCTION("""COMPUTED_VALUE"""),34522.666666666664)</f>
        <v>34522.66667</v>
      </c>
      <c r="B2168" s="1">
        <f>IFERROR(__xludf.DUMMYFUNCTION("""COMPUTED_VALUE"""),446.15)</f>
        <v>446.15</v>
      </c>
      <c r="C2168" s="1">
        <f>IFERROR(__xludf.DUMMYFUNCTION("""COMPUTED_VALUE"""),448.64)</f>
        <v>448.64</v>
      </c>
      <c r="D2168" s="1">
        <f>IFERROR(__xludf.DUMMYFUNCTION("""COMPUTED_VALUE"""),446.15)</f>
        <v>446.15</v>
      </c>
      <c r="E2168" s="1">
        <f>IFERROR(__xludf.DUMMYFUNCTION("""COMPUTED_VALUE"""),448.38)</f>
        <v>448.38</v>
      </c>
      <c r="F2168" s="1">
        <f>IFERROR(__xludf.DUMMYFUNCTION("""COMPUTED_VALUE"""),4.0584376E7)</f>
        <v>40584376</v>
      </c>
    </row>
    <row r="2169">
      <c r="A2169" s="2">
        <f>IFERROR(__xludf.DUMMYFUNCTION("""COMPUTED_VALUE"""),34523.666666666664)</f>
        <v>34523.66667</v>
      </c>
      <c r="B2169" s="1">
        <f>IFERROR(__xludf.DUMMYFUNCTION("""COMPUTED_VALUE"""),448.38)</f>
        <v>448.38</v>
      </c>
      <c r="C2169" s="1">
        <f>IFERROR(__xludf.DUMMYFUNCTION("""COMPUTED_VALUE"""),449.75)</f>
        <v>449.75</v>
      </c>
      <c r="D2169" s="1">
        <f>IFERROR(__xludf.DUMMYFUNCTION("""COMPUTED_VALUE"""),446.53)</f>
        <v>446.53</v>
      </c>
      <c r="E2169" s="1">
        <f>IFERROR(__xludf.DUMMYFUNCTION("""COMPUTED_VALUE"""),449.55)</f>
        <v>449.55</v>
      </c>
      <c r="F2169" s="1">
        <f>IFERROR(__xludf.DUMMYFUNCTION("""COMPUTED_VALUE"""),3.6956248E7)</f>
        <v>36956248</v>
      </c>
    </row>
    <row r="2170">
      <c r="A2170" s="2">
        <f>IFERROR(__xludf.DUMMYFUNCTION("""COMPUTED_VALUE"""),34526.666666666664)</f>
        <v>34526.66667</v>
      </c>
      <c r="B2170" s="1">
        <f>IFERROR(__xludf.DUMMYFUNCTION("""COMPUTED_VALUE"""),449.56)</f>
        <v>449.56</v>
      </c>
      <c r="C2170" s="1">
        <f>IFERROR(__xludf.DUMMYFUNCTION("""COMPUTED_VALUE"""),450.24)</f>
        <v>450.24</v>
      </c>
      <c r="D2170" s="1">
        <f>IFERROR(__xludf.DUMMYFUNCTION("""COMPUTED_VALUE"""),445.27)</f>
        <v>445.27</v>
      </c>
      <c r="E2170" s="1">
        <f>IFERROR(__xludf.DUMMYFUNCTION("""COMPUTED_VALUE"""),448.06)</f>
        <v>448.06</v>
      </c>
      <c r="F2170" s="1">
        <f>IFERROR(__xludf.DUMMYFUNCTION("""COMPUTED_VALUE"""),3.4839064E7)</f>
        <v>34839064</v>
      </c>
    </row>
    <row r="2171">
      <c r="A2171" s="2">
        <f>IFERROR(__xludf.DUMMYFUNCTION("""COMPUTED_VALUE"""),34527.666666666664)</f>
        <v>34527.66667</v>
      </c>
      <c r="B2171" s="1">
        <f>IFERROR(__xludf.DUMMYFUNCTION("""COMPUTED_VALUE"""),448.02)</f>
        <v>448.02</v>
      </c>
      <c r="C2171" s="1">
        <f>IFERROR(__xludf.DUMMYFUNCTION("""COMPUTED_VALUE"""),448.16)</f>
        <v>448.16</v>
      </c>
      <c r="D2171" s="1">
        <f>IFERROR(__xludf.DUMMYFUNCTION("""COMPUTED_VALUE"""),444.65)</f>
        <v>444.65</v>
      </c>
      <c r="E2171" s="1">
        <f>IFERROR(__xludf.DUMMYFUNCTION("""COMPUTED_VALUE"""),447.95)</f>
        <v>447.95</v>
      </c>
      <c r="F2171" s="1">
        <f>IFERROR(__xludf.DUMMYFUNCTION("""COMPUTED_VALUE"""),3.9414064E7)</f>
        <v>39414064</v>
      </c>
    </row>
    <row r="2172">
      <c r="A2172" s="2">
        <f>IFERROR(__xludf.DUMMYFUNCTION("""COMPUTED_VALUE"""),34528.666666666664)</f>
        <v>34528.66667</v>
      </c>
      <c r="B2172" s="1">
        <f>IFERROR(__xludf.DUMMYFUNCTION("""COMPUTED_VALUE"""),448.03)</f>
        <v>448.03</v>
      </c>
      <c r="C2172" s="1">
        <f>IFERROR(__xludf.DUMMYFUNCTION("""COMPUTED_VALUE"""),450.06)</f>
        <v>450.06</v>
      </c>
      <c r="D2172" s="1">
        <f>IFERROR(__xludf.DUMMYFUNCTION("""COMPUTED_VALUE"""),447.97)</f>
        <v>447.97</v>
      </c>
      <c r="E2172" s="1">
        <f>IFERROR(__xludf.DUMMYFUNCTION("""COMPUTED_VALUE"""),448.73)</f>
        <v>448.73</v>
      </c>
      <c r="F2172" s="1">
        <f>IFERROR(__xludf.DUMMYFUNCTION("""COMPUTED_VALUE"""),4.15375E7)</f>
        <v>41537500</v>
      </c>
    </row>
    <row r="2173">
      <c r="A2173" s="2">
        <f>IFERROR(__xludf.DUMMYFUNCTION("""COMPUTED_VALUE"""),34529.666666666664)</f>
        <v>34529.66667</v>
      </c>
      <c r="B2173" s="1">
        <f>IFERROR(__xludf.DUMMYFUNCTION("""COMPUTED_VALUE"""),448.73)</f>
        <v>448.73</v>
      </c>
      <c r="C2173" s="1">
        <f>IFERROR(__xludf.DUMMYFUNCTION("""COMPUTED_VALUE"""),454.33)</f>
        <v>454.33</v>
      </c>
      <c r="D2173" s="1">
        <f>IFERROR(__xludf.DUMMYFUNCTION("""COMPUTED_VALUE"""),448.73)</f>
        <v>448.73</v>
      </c>
      <c r="E2173" s="1">
        <f>IFERROR(__xludf.DUMMYFUNCTION("""COMPUTED_VALUE"""),453.41)</f>
        <v>453.41</v>
      </c>
      <c r="F2173" s="1">
        <f>IFERROR(__xludf.DUMMYFUNCTION("""COMPUTED_VALUE"""),5.0364064E7)</f>
        <v>50364064</v>
      </c>
    </row>
    <row r="2174">
      <c r="A2174" s="2">
        <f>IFERROR(__xludf.DUMMYFUNCTION("""COMPUTED_VALUE"""),34530.666666666664)</f>
        <v>34530.66667</v>
      </c>
      <c r="B2174" s="1">
        <f>IFERROR(__xludf.DUMMYFUNCTION("""COMPUTED_VALUE"""),453.28)</f>
        <v>453.28</v>
      </c>
      <c r="C2174" s="1">
        <f>IFERROR(__xludf.DUMMYFUNCTION("""COMPUTED_VALUE"""),454.33)</f>
        <v>454.33</v>
      </c>
      <c r="D2174" s="1">
        <f>IFERROR(__xludf.DUMMYFUNCTION("""COMPUTED_VALUE"""),452.8)</f>
        <v>452.8</v>
      </c>
      <c r="E2174" s="1">
        <f>IFERROR(__xludf.DUMMYFUNCTION("""COMPUTED_VALUE"""),454.16)</f>
        <v>454.16</v>
      </c>
      <c r="F2174" s="1">
        <f>IFERROR(__xludf.DUMMYFUNCTION("""COMPUTED_VALUE"""),4.3103124E7)</f>
        <v>43103124</v>
      </c>
    </row>
    <row r="2175">
      <c r="A2175" s="2">
        <f>IFERROR(__xludf.DUMMYFUNCTION("""COMPUTED_VALUE"""),34533.666666666664)</f>
        <v>34533.66667</v>
      </c>
      <c r="B2175" s="1">
        <f>IFERROR(__xludf.DUMMYFUNCTION("""COMPUTED_VALUE"""),454.41)</f>
        <v>454.41</v>
      </c>
      <c r="C2175" s="1">
        <f>IFERROR(__xludf.DUMMYFUNCTION("""COMPUTED_VALUE"""),455.71)</f>
        <v>455.71</v>
      </c>
      <c r="D2175" s="1">
        <f>IFERROR(__xludf.DUMMYFUNCTION("""COMPUTED_VALUE"""),453.26)</f>
        <v>453.26</v>
      </c>
      <c r="E2175" s="1">
        <f>IFERROR(__xludf.DUMMYFUNCTION("""COMPUTED_VALUE"""),455.22)</f>
        <v>455.22</v>
      </c>
      <c r="F2175" s="1">
        <f>IFERROR(__xludf.DUMMYFUNCTION("""COMPUTED_VALUE"""),3.5540624E7)</f>
        <v>35540624</v>
      </c>
    </row>
    <row r="2176">
      <c r="A2176" s="2">
        <f>IFERROR(__xludf.DUMMYFUNCTION("""COMPUTED_VALUE"""),34534.666666666664)</f>
        <v>34534.66667</v>
      </c>
      <c r="B2176" s="1">
        <f>IFERROR(__xludf.DUMMYFUNCTION("""COMPUTED_VALUE"""),455.22)</f>
        <v>455.22</v>
      </c>
      <c r="C2176" s="1">
        <f>IFERROR(__xludf.DUMMYFUNCTION("""COMPUTED_VALUE"""),455.3)</f>
        <v>455.3</v>
      </c>
      <c r="D2176" s="1">
        <f>IFERROR(__xludf.DUMMYFUNCTION("""COMPUTED_VALUE"""),453.86)</f>
        <v>453.86</v>
      </c>
      <c r="E2176" s="1">
        <f>IFERROR(__xludf.DUMMYFUNCTION("""COMPUTED_VALUE"""),453.86)</f>
        <v>453.86</v>
      </c>
      <c r="F2176" s="1">
        <f>IFERROR(__xludf.DUMMYFUNCTION("""COMPUTED_VALUE"""),3.9301564E7)</f>
        <v>39301564</v>
      </c>
    </row>
    <row r="2177">
      <c r="A2177" s="2">
        <f>IFERROR(__xludf.DUMMYFUNCTION("""COMPUTED_VALUE"""),34535.666666666664)</f>
        <v>34535.66667</v>
      </c>
      <c r="B2177" s="1">
        <f>IFERROR(__xludf.DUMMYFUNCTION("""COMPUTED_VALUE"""),453.89)</f>
        <v>453.89</v>
      </c>
      <c r="C2177" s="1">
        <f>IFERROR(__xludf.DUMMYFUNCTION("""COMPUTED_VALUE"""),454.16)</f>
        <v>454.16</v>
      </c>
      <c r="D2177" s="1">
        <f>IFERROR(__xludf.DUMMYFUNCTION("""COMPUTED_VALUE"""),450.69)</f>
        <v>450.69</v>
      </c>
      <c r="E2177" s="1">
        <f>IFERROR(__xludf.DUMMYFUNCTION("""COMPUTED_VALUE"""),451.6)</f>
        <v>451.6</v>
      </c>
      <c r="F2177" s="1">
        <f>IFERROR(__xludf.DUMMYFUNCTION("""COMPUTED_VALUE"""),4.185E7)</f>
        <v>41850000</v>
      </c>
    </row>
    <row r="2178">
      <c r="A2178" s="2">
        <f>IFERROR(__xludf.DUMMYFUNCTION("""COMPUTED_VALUE"""),34536.666666666664)</f>
        <v>34536.66667</v>
      </c>
      <c r="B2178" s="1">
        <f>IFERROR(__xludf.DUMMYFUNCTION("""COMPUTED_VALUE"""),451.6)</f>
        <v>451.6</v>
      </c>
      <c r="C2178" s="1">
        <f>IFERROR(__xludf.DUMMYFUNCTION("""COMPUTED_VALUE"""),453.22)</f>
        <v>453.22</v>
      </c>
      <c r="D2178" s="1">
        <f>IFERROR(__xludf.DUMMYFUNCTION("""COMPUTED_VALUE"""),451.0)</f>
        <v>451</v>
      </c>
      <c r="E2178" s="1">
        <f>IFERROR(__xludf.DUMMYFUNCTION("""COMPUTED_VALUE"""),452.61)</f>
        <v>452.61</v>
      </c>
      <c r="F2178" s="1">
        <f>IFERROR(__xludf.DUMMYFUNCTION("""COMPUTED_VALUE"""),4.5643752E7)</f>
        <v>45643752</v>
      </c>
    </row>
    <row r="2179">
      <c r="A2179" s="2">
        <f>IFERROR(__xludf.DUMMYFUNCTION("""COMPUTED_VALUE"""),34537.666666666664)</f>
        <v>34537.66667</v>
      </c>
      <c r="B2179" s="1">
        <f>IFERROR(__xludf.DUMMYFUNCTION("""COMPUTED_VALUE"""),452.61)</f>
        <v>452.61</v>
      </c>
      <c r="C2179" s="1">
        <f>IFERROR(__xludf.DUMMYFUNCTION("""COMPUTED_VALUE"""),454.03)</f>
        <v>454.03</v>
      </c>
      <c r="D2179" s="1">
        <f>IFERROR(__xludf.DUMMYFUNCTION("""COMPUTED_VALUE"""),452.33)</f>
        <v>452.33</v>
      </c>
      <c r="E2179" s="1">
        <f>IFERROR(__xludf.DUMMYFUNCTION("""COMPUTED_VALUE"""),453.11)</f>
        <v>453.11</v>
      </c>
      <c r="F2179" s="1">
        <f>IFERROR(__xludf.DUMMYFUNCTION("""COMPUTED_VALUE"""),4.0875E7)</f>
        <v>40875000</v>
      </c>
    </row>
    <row r="2180">
      <c r="A2180" s="2">
        <f>IFERROR(__xludf.DUMMYFUNCTION("""COMPUTED_VALUE"""),34540.666666666664)</f>
        <v>34540.66667</v>
      </c>
      <c r="B2180" s="1">
        <f>IFERROR(__xludf.DUMMYFUNCTION("""COMPUTED_VALUE"""),453.1)</f>
        <v>453.1</v>
      </c>
      <c r="C2180" s="1">
        <f>IFERROR(__xludf.DUMMYFUNCTION("""COMPUTED_VALUE"""),454.32)</f>
        <v>454.32</v>
      </c>
      <c r="D2180" s="1">
        <f>IFERROR(__xludf.DUMMYFUNCTION("""COMPUTED_VALUE"""),452.76)</f>
        <v>452.76</v>
      </c>
      <c r="E2180" s="1">
        <f>IFERROR(__xludf.DUMMYFUNCTION("""COMPUTED_VALUE"""),454.25)</f>
        <v>454.25</v>
      </c>
      <c r="F2180" s="1">
        <f>IFERROR(__xludf.DUMMYFUNCTION("""COMPUTED_VALUE"""),3.3354688E7)</f>
        <v>33354688</v>
      </c>
    </row>
    <row r="2181">
      <c r="A2181" s="2">
        <f>IFERROR(__xludf.DUMMYFUNCTION("""COMPUTED_VALUE"""),34541.666666666664)</f>
        <v>34541.66667</v>
      </c>
      <c r="B2181" s="1">
        <f>IFERROR(__xludf.DUMMYFUNCTION("""COMPUTED_VALUE"""),454.25)</f>
        <v>454.25</v>
      </c>
      <c r="C2181" s="1">
        <f>IFERROR(__xludf.DUMMYFUNCTION("""COMPUTED_VALUE"""),454.25)</f>
        <v>454.25</v>
      </c>
      <c r="D2181" s="1">
        <f>IFERROR(__xludf.DUMMYFUNCTION("""COMPUTED_VALUE"""),452.78)</f>
        <v>452.78</v>
      </c>
      <c r="E2181" s="1">
        <f>IFERROR(__xludf.DUMMYFUNCTION("""COMPUTED_VALUE"""),453.36)</f>
        <v>453.36</v>
      </c>
      <c r="F2181" s="1">
        <f>IFERROR(__xludf.DUMMYFUNCTION("""COMPUTED_VALUE"""),3.6354688E7)</f>
        <v>36354688</v>
      </c>
    </row>
    <row r="2182">
      <c r="A2182" s="2">
        <f>IFERROR(__xludf.DUMMYFUNCTION("""COMPUTED_VALUE"""),34542.666666666664)</f>
        <v>34542.66667</v>
      </c>
      <c r="B2182" s="1">
        <f>IFERROR(__xludf.DUMMYFUNCTION("""COMPUTED_VALUE"""),453.36)</f>
        <v>453.36</v>
      </c>
      <c r="C2182" s="1">
        <f>IFERROR(__xludf.DUMMYFUNCTION("""COMPUTED_VALUE"""),453.38)</f>
        <v>453.38</v>
      </c>
      <c r="D2182" s="1">
        <f>IFERROR(__xludf.DUMMYFUNCTION("""COMPUTED_VALUE"""),451.36)</f>
        <v>451.36</v>
      </c>
      <c r="E2182" s="1">
        <f>IFERROR(__xludf.DUMMYFUNCTION("""COMPUTED_VALUE"""),452.57)</f>
        <v>452.57</v>
      </c>
      <c r="F2182" s="1">
        <f>IFERROR(__xludf.DUMMYFUNCTION("""COMPUTED_VALUE"""),3.9325E7)</f>
        <v>39325000</v>
      </c>
    </row>
    <row r="2183">
      <c r="A2183" s="2">
        <f>IFERROR(__xludf.DUMMYFUNCTION("""COMPUTED_VALUE"""),34543.666666666664)</f>
        <v>34543.66667</v>
      </c>
      <c r="B2183" s="1">
        <f>IFERROR(__xludf.DUMMYFUNCTION("""COMPUTED_VALUE"""),452.57)</f>
        <v>452.57</v>
      </c>
      <c r="C2183" s="1">
        <f>IFERROR(__xludf.DUMMYFUNCTION("""COMPUTED_VALUE"""),454.93)</f>
        <v>454.93</v>
      </c>
      <c r="D2183" s="1">
        <f>IFERROR(__xludf.DUMMYFUNCTION("""COMPUTED_VALUE"""),452.3)</f>
        <v>452.3</v>
      </c>
      <c r="E2183" s="1">
        <f>IFERROR(__xludf.DUMMYFUNCTION("""COMPUTED_VALUE"""),454.24)</f>
        <v>454.24</v>
      </c>
      <c r="F2183" s="1">
        <f>IFERROR(__xludf.DUMMYFUNCTION("""COMPUTED_VALUE"""),3.8435936E7)</f>
        <v>38435936</v>
      </c>
    </row>
    <row r="2184">
      <c r="A2184" s="2">
        <f>IFERROR(__xludf.DUMMYFUNCTION("""COMPUTED_VALUE"""),34544.666666666664)</f>
        <v>34544.66667</v>
      </c>
      <c r="B2184" s="1">
        <f>IFERROR(__xludf.DUMMYFUNCTION("""COMPUTED_VALUE"""),454.25)</f>
        <v>454.25</v>
      </c>
      <c r="C2184" s="1">
        <f>IFERROR(__xludf.DUMMYFUNCTION("""COMPUTED_VALUE"""),459.33)</f>
        <v>459.33</v>
      </c>
      <c r="D2184" s="1">
        <f>IFERROR(__xludf.DUMMYFUNCTION("""COMPUTED_VALUE"""),454.25)</f>
        <v>454.25</v>
      </c>
      <c r="E2184" s="1">
        <f>IFERROR(__xludf.DUMMYFUNCTION("""COMPUTED_VALUE"""),458.26)</f>
        <v>458.26</v>
      </c>
      <c r="F2184" s="1">
        <f>IFERROR(__xludf.DUMMYFUNCTION("""COMPUTED_VALUE"""),4.2118752E7)</f>
        <v>42118752</v>
      </c>
    </row>
    <row r="2185">
      <c r="A2185" s="2">
        <f>IFERROR(__xludf.DUMMYFUNCTION("""COMPUTED_VALUE"""),34547.666666666664)</f>
        <v>34547.66667</v>
      </c>
      <c r="B2185" s="1">
        <f>IFERROR(__xludf.DUMMYFUNCTION("""COMPUTED_VALUE"""),458.28)</f>
        <v>458.28</v>
      </c>
      <c r="C2185" s="1">
        <f>IFERROR(__xludf.DUMMYFUNCTION("""COMPUTED_VALUE"""),461.01)</f>
        <v>461.01</v>
      </c>
      <c r="D2185" s="1">
        <f>IFERROR(__xludf.DUMMYFUNCTION("""COMPUTED_VALUE"""),458.08)</f>
        <v>458.08</v>
      </c>
      <c r="E2185" s="1">
        <f>IFERROR(__xludf.DUMMYFUNCTION("""COMPUTED_VALUE"""),461.01)</f>
        <v>461.01</v>
      </c>
      <c r="F2185" s="1">
        <f>IFERROR(__xludf.DUMMYFUNCTION("""COMPUTED_VALUE"""),4.0340624E7)</f>
        <v>40340624</v>
      </c>
    </row>
    <row r="2186">
      <c r="A2186" s="2">
        <f>IFERROR(__xludf.DUMMYFUNCTION("""COMPUTED_VALUE"""),34548.666666666664)</f>
        <v>34548.66667</v>
      </c>
      <c r="B2186" s="1">
        <f>IFERROR(__xludf.DUMMYFUNCTION("""COMPUTED_VALUE"""),461.01)</f>
        <v>461.01</v>
      </c>
      <c r="C2186" s="1">
        <f>IFERROR(__xludf.DUMMYFUNCTION("""COMPUTED_VALUE"""),462.77)</f>
        <v>462.77</v>
      </c>
      <c r="D2186" s="1">
        <f>IFERROR(__xludf.DUMMYFUNCTION("""COMPUTED_VALUE"""),459.7)</f>
        <v>459.7</v>
      </c>
      <c r="E2186" s="1">
        <f>IFERROR(__xludf.DUMMYFUNCTION("""COMPUTED_VALUE"""),460.56)</f>
        <v>460.56</v>
      </c>
      <c r="F2186" s="1">
        <f>IFERROR(__xludf.DUMMYFUNCTION("""COMPUTED_VALUE"""),4.6053124E7)</f>
        <v>46053124</v>
      </c>
    </row>
    <row r="2187">
      <c r="A2187" s="2">
        <f>IFERROR(__xludf.DUMMYFUNCTION("""COMPUTED_VALUE"""),34549.666666666664)</f>
        <v>34549.66667</v>
      </c>
      <c r="B2187" s="1">
        <f>IFERROR(__xludf.DUMMYFUNCTION("""COMPUTED_VALUE"""),460.65)</f>
        <v>460.65</v>
      </c>
      <c r="C2187" s="1">
        <f>IFERROR(__xludf.DUMMYFUNCTION("""COMPUTED_VALUE"""),461.46)</f>
        <v>461.46</v>
      </c>
      <c r="D2187" s="1">
        <f>IFERROR(__xludf.DUMMYFUNCTION("""COMPUTED_VALUE"""),459.51)</f>
        <v>459.51</v>
      </c>
      <c r="E2187" s="1">
        <f>IFERROR(__xludf.DUMMYFUNCTION("""COMPUTED_VALUE"""),461.45)</f>
        <v>461.45</v>
      </c>
      <c r="F2187" s="1">
        <f>IFERROR(__xludf.DUMMYFUNCTION("""COMPUTED_VALUE"""),4.435E7)</f>
        <v>44350000</v>
      </c>
    </row>
    <row r="2188">
      <c r="A2188" s="2">
        <f>IFERROR(__xludf.DUMMYFUNCTION("""COMPUTED_VALUE"""),34550.666666666664)</f>
        <v>34550.66667</v>
      </c>
      <c r="B2188" s="1">
        <f>IFERROR(__xludf.DUMMYFUNCTION("""COMPUTED_VALUE"""),461.45)</f>
        <v>461.45</v>
      </c>
      <c r="C2188" s="1">
        <f>IFERROR(__xludf.DUMMYFUNCTION("""COMPUTED_VALUE"""),461.49)</f>
        <v>461.49</v>
      </c>
      <c r="D2188" s="1">
        <f>IFERROR(__xludf.DUMMYFUNCTION("""COMPUTED_VALUE"""),458.4)</f>
        <v>458.4</v>
      </c>
      <c r="E2188" s="1">
        <f>IFERROR(__xludf.DUMMYFUNCTION("""COMPUTED_VALUE"""),458.4)</f>
        <v>458.4</v>
      </c>
      <c r="F2188" s="1">
        <f>IFERROR(__xludf.DUMMYFUNCTION("""COMPUTED_VALUE"""),4.5179688E7)</f>
        <v>45179688</v>
      </c>
    </row>
    <row r="2189">
      <c r="A2189" s="2">
        <f>IFERROR(__xludf.DUMMYFUNCTION("""COMPUTED_VALUE"""),34551.666666666664)</f>
        <v>34551.66667</v>
      </c>
      <c r="B2189" s="1">
        <f>IFERROR(__xludf.DUMMYFUNCTION("""COMPUTED_VALUE"""),458.34)</f>
        <v>458.34</v>
      </c>
      <c r="C2189" s="1">
        <f>IFERROR(__xludf.DUMMYFUNCTION("""COMPUTED_VALUE"""),458.34)</f>
        <v>458.34</v>
      </c>
      <c r="D2189" s="1">
        <f>IFERROR(__xludf.DUMMYFUNCTION("""COMPUTED_VALUE"""),456.08)</f>
        <v>456.08</v>
      </c>
      <c r="E2189" s="1">
        <f>IFERROR(__xludf.DUMMYFUNCTION("""COMPUTED_VALUE"""),457.09)</f>
        <v>457.09</v>
      </c>
      <c r="F2189" s="1">
        <f>IFERROR(__xludf.DUMMYFUNCTION("""COMPUTED_VALUE"""),3.5979688E7)</f>
        <v>35979688</v>
      </c>
    </row>
    <row r="2190">
      <c r="A2190" s="2">
        <f>IFERROR(__xludf.DUMMYFUNCTION("""COMPUTED_VALUE"""),34554.666666666664)</f>
        <v>34554.66667</v>
      </c>
      <c r="B2190" s="1">
        <f>IFERROR(__xludf.DUMMYFUNCTION("""COMPUTED_VALUE"""),457.08)</f>
        <v>457.08</v>
      </c>
      <c r="C2190" s="1">
        <f>IFERROR(__xludf.DUMMYFUNCTION("""COMPUTED_VALUE"""),458.3)</f>
        <v>458.3</v>
      </c>
      <c r="D2190" s="1">
        <f>IFERROR(__xludf.DUMMYFUNCTION("""COMPUTED_VALUE"""),457.01)</f>
        <v>457.01</v>
      </c>
      <c r="E2190" s="1">
        <f>IFERROR(__xludf.DUMMYFUNCTION("""COMPUTED_VALUE"""),457.89)</f>
        <v>457.89</v>
      </c>
      <c r="F2190" s="1">
        <f>IFERROR(__xludf.DUMMYFUNCTION("""COMPUTED_VALUE"""),3.40125E7)</f>
        <v>34012500</v>
      </c>
    </row>
    <row r="2191">
      <c r="A2191" s="2">
        <f>IFERROR(__xludf.DUMMYFUNCTION("""COMPUTED_VALUE"""),34555.666666666664)</f>
        <v>34555.66667</v>
      </c>
      <c r="B2191" s="1">
        <f>IFERROR(__xludf.DUMMYFUNCTION("""COMPUTED_VALUE"""),457.89)</f>
        <v>457.89</v>
      </c>
      <c r="C2191" s="1">
        <f>IFERROR(__xludf.DUMMYFUNCTION("""COMPUTED_VALUE"""),458.16)</f>
        <v>458.16</v>
      </c>
      <c r="D2191" s="1">
        <f>IFERROR(__xludf.DUMMYFUNCTION("""COMPUTED_VALUE"""),456.66)</f>
        <v>456.66</v>
      </c>
      <c r="E2191" s="1">
        <f>IFERROR(__xludf.DUMMYFUNCTION("""COMPUTED_VALUE"""),457.92)</f>
        <v>457.92</v>
      </c>
      <c r="F2191" s="1">
        <f>IFERROR(__xludf.DUMMYFUNCTION("""COMPUTED_VALUE"""),4.0490624E7)</f>
        <v>40490624</v>
      </c>
    </row>
    <row r="2192">
      <c r="A2192" s="2">
        <f>IFERROR(__xludf.DUMMYFUNCTION("""COMPUTED_VALUE"""),34556.666666666664)</f>
        <v>34556.66667</v>
      </c>
      <c r="B2192" s="1">
        <f>IFERROR(__xludf.DUMMYFUNCTION("""COMPUTED_VALUE"""),457.98)</f>
        <v>457.98</v>
      </c>
      <c r="C2192" s="1">
        <f>IFERROR(__xludf.DUMMYFUNCTION("""COMPUTED_VALUE"""),460.48)</f>
        <v>460.48</v>
      </c>
      <c r="D2192" s="1">
        <f>IFERROR(__xludf.DUMMYFUNCTION("""COMPUTED_VALUE"""),457.98)</f>
        <v>457.98</v>
      </c>
      <c r="E2192" s="1">
        <f>IFERROR(__xludf.DUMMYFUNCTION("""COMPUTED_VALUE"""),460.3)</f>
        <v>460.3</v>
      </c>
      <c r="F2192" s="1">
        <f>IFERROR(__xludf.DUMMYFUNCTION("""COMPUTED_VALUE"""),4.3671876E7)</f>
        <v>43671876</v>
      </c>
    </row>
    <row r="2193">
      <c r="A2193" s="2">
        <f>IFERROR(__xludf.DUMMYFUNCTION("""COMPUTED_VALUE"""),34557.666666666664)</f>
        <v>34557.66667</v>
      </c>
      <c r="B2193" s="1">
        <f>IFERROR(__xludf.DUMMYFUNCTION("""COMPUTED_VALUE"""),460.31)</f>
        <v>460.31</v>
      </c>
      <c r="C2193" s="1">
        <f>IFERROR(__xludf.DUMMYFUNCTION("""COMPUTED_VALUE"""),461.41)</f>
        <v>461.41</v>
      </c>
      <c r="D2193" s="1">
        <f>IFERROR(__xludf.DUMMYFUNCTION("""COMPUTED_VALUE"""),456.88)</f>
        <v>456.88</v>
      </c>
      <c r="E2193" s="1">
        <f>IFERROR(__xludf.DUMMYFUNCTION("""COMPUTED_VALUE"""),458.88)</f>
        <v>458.88</v>
      </c>
      <c r="F2193" s="1">
        <f>IFERROR(__xludf.DUMMYFUNCTION("""COMPUTED_VALUE"""),4.3076564E7)</f>
        <v>43076564</v>
      </c>
    </row>
    <row r="2194">
      <c r="A2194" s="2">
        <f>IFERROR(__xludf.DUMMYFUNCTION("""COMPUTED_VALUE"""),34558.666666666664)</f>
        <v>34558.66667</v>
      </c>
      <c r="B2194" s="1">
        <f>IFERROR(__xludf.DUMMYFUNCTION("""COMPUTED_VALUE"""),458.88)</f>
        <v>458.88</v>
      </c>
      <c r="C2194" s="1">
        <f>IFERROR(__xludf.DUMMYFUNCTION("""COMPUTED_VALUE"""),462.27)</f>
        <v>462.27</v>
      </c>
      <c r="D2194" s="1">
        <f>IFERROR(__xludf.DUMMYFUNCTION("""COMPUTED_VALUE"""),458.88)</f>
        <v>458.88</v>
      </c>
      <c r="E2194" s="1">
        <f>IFERROR(__xludf.DUMMYFUNCTION("""COMPUTED_VALUE"""),461.94)</f>
        <v>461.94</v>
      </c>
      <c r="F2194" s="1">
        <f>IFERROR(__xludf.DUMMYFUNCTION("""COMPUTED_VALUE"""),3.895E7)</f>
        <v>38950000</v>
      </c>
    </row>
    <row r="2195">
      <c r="A2195" s="2">
        <f>IFERROR(__xludf.DUMMYFUNCTION("""COMPUTED_VALUE"""),34561.666666666664)</f>
        <v>34561.66667</v>
      </c>
      <c r="B2195" s="1">
        <f>IFERROR(__xludf.DUMMYFUNCTION("""COMPUTED_VALUE"""),461.97)</f>
        <v>461.97</v>
      </c>
      <c r="C2195" s="1">
        <f>IFERROR(__xludf.DUMMYFUNCTION("""COMPUTED_VALUE"""),463.34)</f>
        <v>463.34</v>
      </c>
      <c r="D2195" s="1">
        <f>IFERROR(__xludf.DUMMYFUNCTION("""COMPUTED_VALUE"""),461.21)</f>
        <v>461.21</v>
      </c>
      <c r="E2195" s="1">
        <f>IFERROR(__xludf.DUMMYFUNCTION("""COMPUTED_VALUE"""),461.23)</f>
        <v>461.23</v>
      </c>
      <c r="F2195" s="1">
        <f>IFERROR(__xludf.DUMMYFUNCTION("""COMPUTED_VALUE"""),3.4876564E7)</f>
        <v>34876564</v>
      </c>
    </row>
    <row r="2196">
      <c r="A2196" s="2">
        <f>IFERROR(__xludf.DUMMYFUNCTION("""COMPUTED_VALUE"""),34562.666666666664)</f>
        <v>34562.66667</v>
      </c>
      <c r="B2196" s="1">
        <f>IFERROR(__xludf.DUMMYFUNCTION("""COMPUTED_VALUE"""),461.22)</f>
        <v>461.22</v>
      </c>
      <c r="C2196" s="1">
        <f>IFERROR(__xludf.DUMMYFUNCTION("""COMPUTED_VALUE"""),465.2)</f>
        <v>465.2</v>
      </c>
      <c r="D2196" s="1">
        <f>IFERROR(__xludf.DUMMYFUNCTION("""COMPUTED_VALUE"""),459.89)</f>
        <v>459.89</v>
      </c>
      <c r="E2196" s="1">
        <f>IFERROR(__xludf.DUMMYFUNCTION("""COMPUTED_VALUE"""),465.01)</f>
        <v>465.01</v>
      </c>
      <c r="F2196" s="1">
        <f>IFERROR(__xludf.DUMMYFUNCTION("""COMPUTED_VALUE"""),4.79125E7)</f>
        <v>47912500</v>
      </c>
    </row>
    <row r="2197">
      <c r="A2197" s="2">
        <f>IFERROR(__xludf.DUMMYFUNCTION("""COMPUTED_VALUE"""),34563.666666666664)</f>
        <v>34563.66667</v>
      </c>
      <c r="B2197" s="1">
        <f>IFERROR(__xludf.DUMMYFUNCTION("""COMPUTED_VALUE"""),465.11)</f>
        <v>465.11</v>
      </c>
      <c r="C2197" s="1">
        <f>IFERROR(__xludf.DUMMYFUNCTION("""COMPUTED_VALUE"""),465.91)</f>
        <v>465.91</v>
      </c>
      <c r="D2197" s="1">
        <f>IFERROR(__xludf.DUMMYFUNCTION("""COMPUTED_VALUE"""),464.57)</f>
        <v>464.57</v>
      </c>
      <c r="E2197" s="1">
        <f>IFERROR(__xludf.DUMMYFUNCTION("""COMPUTED_VALUE"""),465.17)</f>
        <v>465.17</v>
      </c>
      <c r="F2197" s="1">
        <f>IFERROR(__xludf.DUMMYFUNCTION("""COMPUTED_VALUE"""),4.8320312E7)</f>
        <v>48320312</v>
      </c>
    </row>
    <row r="2198">
      <c r="A2198" s="2">
        <f>IFERROR(__xludf.DUMMYFUNCTION("""COMPUTED_VALUE"""),34564.666666666664)</f>
        <v>34564.66667</v>
      </c>
      <c r="B2198" s="1">
        <f>IFERROR(__xludf.DUMMYFUNCTION("""COMPUTED_VALUE"""),465.1)</f>
        <v>465.1</v>
      </c>
      <c r="C2198" s="1">
        <f>IFERROR(__xludf.DUMMYFUNCTION("""COMPUTED_VALUE"""),465.1)</f>
        <v>465.1</v>
      </c>
      <c r="D2198" s="1">
        <f>IFERROR(__xludf.DUMMYFUNCTION("""COMPUTED_VALUE"""),462.3)</f>
        <v>462.3</v>
      </c>
      <c r="E2198" s="1">
        <f>IFERROR(__xludf.DUMMYFUNCTION("""COMPUTED_VALUE"""),463.17)</f>
        <v>463.17</v>
      </c>
      <c r="F2198" s="1">
        <f>IFERROR(__xludf.DUMMYFUNCTION("""COMPUTED_VALUE"""),4.4895312E7)</f>
        <v>44895312</v>
      </c>
    </row>
    <row r="2199">
      <c r="A2199" s="2">
        <f>IFERROR(__xludf.DUMMYFUNCTION("""COMPUTED_VALUE"""),34565.666666666664)</f>
        <v>34565.66667</v>
      </c>
      <c r="B2199" s="1">
        <f>IFERROR(__xludf.DUMMYFUNCTION("""COMPUTED_VALUE"""),463.25)</f>
        <v>463.25</v>
      </c>
      <c r="C2199" s="1">
        <f>IFERROR(__xludf.DUMMYFUNCTION("""COMPUTED_VALUE"""),464.37)</f>
        <v>464.37</v>
      </c>
      <c r="D2199" s="1">
        <f>IFERROR(__xludf.DUMMYFUNCTION("""COMPUTED_VALUE"""),461.81)</f>
        <v>461.81</v>
      </c>
      <c r="E2199" s="1">
        <f>IFERROR(__xludf.DUMMYFUNCTION("""COMPUTED_VALUE"""),463.68)</f>
        <v>463.68</v>
      </c>
      <c r="F2199" s="1">
        <f>IFERROR(__xludf.DUMMYFUNCTION("""COMPUTED_VALUE"""),4.3223436E7)</f>
        <v>43223436</v>
      </c>
    </row>
    <row r="2200">
      <c r="A2200" s="2">
        <f>IFERROR(__xludf.DUMMYFUNCTION("""COMPUTED_VALUE"""),34568.666666666664)</f>
        <v>34568.66667</v>
      </c>
      <c r="B2200" s="1">
        <f>IFERROR(__xludf.DUMMYFUNCTION("""COMPUTED_VALUE"""),463.61)</f>
        <v>463.61</v>
      </c>
      <c r="C2200" s="1">
        <f>IFERROR(__xludf.DUMMYFUNCTION("""COMPUTED_VALUE"""),463.61)</f>
        <v>463.61</v>
      </c>
      <c r="D2200" s="1">
        <f>IFERROR(__xludf.DUMMYFUNCTION("""COMPUTED_VALUE"""),461.46)</f>
        <v>461.46</v>
      </c>
      <c r="E2200" s="1">
        <f>IFERROR(__xludf.DUMMYFUNCTION("""COMPUTED_VALUE"""),462.32)</f>
        <v>462.32</v>
      </c>
      <c r="F2200" s="1">
        <f>IFERROR(__xludf.DUMMYFUNCTION("""COMPUTED_VALUE"""),3.6854688E7)</f>
        <v>36854688</v>
      </c>
    </row>
    <row r="2201">
      <c r="A2201" s="2">
        <f>IFERROR(__xludf.DUMMYFUNCTION("""COMPUTED_VALUE"""),34569.666666666664)</f>
        <v>34569.66667</v>
      </c>
      <c r="B2201" s="1">
        <f>IFERROR(__xludf.DUMMYFUNCTION("""COMPUTED_VALUE"""),462.39)</f>
        <v>462.39</v>
      </c>
      <c r="C2201" s="1">
        <f>IFERROR(__xludf.DUMMYFUNCTION("""COMPUTED_VALUE"""),466.58)</f>
        <v>466.58</v>
      </c>
      <c r="D2201" s="1">
        <f>IFERROR(__xludf.DUMMYFUNCTION("""COMPUTED_VALUE"""),462.39)</f>
        <v>462.39</v>
      </c>
      <c r="E2201" s="1">
        <f>IFERROR(__xludf.DUMMYFUNCTION("""COMPUTED_VALUE"""),464.51)</f>
        <v>464.51</v>
      </c>
      <c r="F2201" s="1">
        <f>IFERROR(__xludf.DUMMYFUNCTION("""COMPUTED_VALUE"""),4.8006248E7)</f>
        <v>48006248</v>
      </c>
    </row>
    <row r="2202">
      <c r="A2202" s="2">
        <f>IFERROR(__xludf.DUMMYFUNCTION("""COMPUTED_VALUE"""),34570.666666666664)</f>
        <v>34570.66667</v>
      </c>
      <c r="B2202" s="1">
        <f>IFERROR(__xludf.DUMMYFUNCTION("""COMPUTED_VALUE"""),464.51)</f>
        <v>464.51</v>
      </c>
      <c r="C2202" s="1">
        <f>IFERROR(__xludf.DUMMYFUNCTION("""COMPUTED_VALUE"""),469.05)</f>
        <v>469.05</v>
      </c>
      <c r="D2202" s="1">
        <f>IFERROR(__xludf.DUMMYFUNCTION("""COMPUTED_VALUE"""),464.51)</f>
        <v>464.51</v>
      </c>
      <c r="E2202" s="1">
        <f>IFERROR(__xludf.DUMMYFUNCTION("""COMPUTED_VALUE"""),469.03)</f>
        <v>469.03</v>
      </c>
      <c r="F2202" s="1">
        <f>IFERROR(__xludf.DUMMYFUNCTION("""COMPUTED_VALUE"""),4.8517188E7)</f>
        <v>48517188</v>
      </c>
    </row>
    <row r="2203">
      <c r="A2203" s="2">
        <f>IFERROR(__xludf.DUMMYFUNCTION("""COMPUTED_VALUE"""),34571.666666666664)</f>
        <v>34571.66667</v>
      </c>
      <c r="B2203" s="1">
        <f>IFERROR(__xludf.DUMMYFUNCTION("""COMPUTED_VALUE"""),469.07)</f>
        <v>469.07</v>
      </c>
      <c r="C2203" s="1">
        <f>IFERROR(__xludf.DUMMYFUNCTION("""COMPUTED_VALUE"""),470.12)</f>
        <v>470.12</v>
      </c>
      <c r="D2203" s="1">
        <f>IFERROR(__xludf.DUMMYFUNCTION("""COMPUTED_VALUE"""),467.64)</f>
        <v>467.64</v>
      </c>
      <c r="E2203" s="1">
        <f>IFERROR(__xludf.DUMMYFUNCTION("""COMPUTED_VALUE"""),468.08)</f>
        <v>468.08</v>
      </c>
      <c r="F2203" s="1">
        <f>IFERROR(__xludf.DUMMYFUNCTION("""COMPUTED_VALUE"""),4.4410936E7)</f>
        <v>44410936</v>
      </c>
    </row>
    <row r="2204">
      <c r="A2204" s="2">
        <f>IFERROR(__xludf.DUMMYFUNCTION("""COMPUTED_VALUE"""),34572.666666666664)</f>
        <v>34572.66667</v>
      </c>
      <c r="B2204" s="1">
        <f>IFERROR(__xludf.DUMMYFUNCTION("""COMPUTED_VALUE"""),468.08)</f>
        <v>468.08</v>
      </c>
      <c r="C2204" s="1">
        <f>IFERROR(__xludf.DUMMYFUNCTION("""COMPUTED_VALUE"""),474.65)</f>
        <v>474.65</v>
      </c>
      <c r="D2204" s="1">
        <f>IFERROR(__xludf.DUMMYFUNCTION("""COMPUTED_VALUE"""),468.08)</f>
        <v>468.08</v>
      </c>
      <c r="E2204" s="1">
        <f>IFERROR(__xludf.DUMMYFUNCTION("""COMPUTED_VALUE"""),473.8)</f>
        <v>473.8</v>
      </c>
      <c r="F2204" s="1">
        <f>IFERROR(__xludf.DUMMYFUNCTION("""COMPUTED_VALUE"""),4.7675E7)</f>
        <v>47675000</v>
      </c>
    </row>
    <row r="2205">
      <c r="A2205" s="2">
        <f>IFERROR(__xludf.DUMMYFUNCTION("""COMPUTED_VALUE"""),34575.666666666664)</f>
        <v>34575.66667</v>
      </c>
      <c r="B2205" s="1">
        <f>IFERROR(__xludf.DUMMYFUNCTION("""COMPUTED_VALUE"""),473.89)</f>
        <v>473.89</v>
      </c>
      <c r="C2205" s="1">
        <f>IFERROR(__xludf.DUMMYFUNCTION("""COMPUTED_VALUE"""),477.14)</f>
        <v>477.14</v>
      </c>
      <c r="D2205" s="1">
        <f>IFERROR(__xludf.DUMMYFUNCTION("""COMPUTED_VALUE"""),473.89)</f>
        <v>473.89</v>
      </c>
      <c r="E2205" s="1">
        <f>IFERROR(__xludf.DUMMYFUNCTION("""COMPUTED_VALUE"""),474.59)</f>
        <v>474.59</v>
      </c>
      <c r="F2205" s="1">
        <f>IFERROR(__xludf.DUMMYFUNCTION("""COMPUTED_VALUE"""),4.1575E7)</f>
        <v>41575000</v>
      </c>
    </row>
    <row r="2206">
      <c r="A2206" s="2">
        <f>IFERROR(__xludf.DUMMYFUNCTION("""COMPUTED_VALUE"""),34576.666666666664)</f>
        <v>34576.66667</v>
      </c>
      <c r="B2206" s="1">
        <f>IFERROR(__xludf.DUMMYFUNCTION("""COMPUTED_VALUE"""),474.59)</f>
        <v>474.59</v>
      </c>
      <c r="C2206" s="1">
        <f>IFERROR(__xludf.DUMMYFUNCTION("""COMPUTED_VALUE"""),476.61)</f>
        <v>476.61</v>
      </c>
      <c r="D2206" s="1">
        <f>IFERROR(__xludf.DUMMYFUNCTION("""COMPUTED_VALUE"""),473.56)</f>
        <v>473.56</v>
      </c>
      <c r="E2206" s="1">
        <f>IFERROR(__xludf.DUMMYFUNCTION("""COMPUTED_VALUE"""),476.07)</f>
        <v>476.07</v>
      </c>
      <c r="F2206" s="1">
        <f>IFERROR(__xludf.DUMMYFUNCTION("""COMPUTED_VALUE"""),4.6018752E7)</f>
        <v>46018752</v>
      </c>
    </row>
    <row r="2207">
      <c r="A2207" s="2">
        <f>IFERROR(__xludf.DUMMYFUNCTION("""COMPUTED_VALUE"""),34577.666666666664)</f>
        <v>34577.66667</v>
      </c>
      <c r="B2207" s="1">
        <f>IFERROR(__xludf.DUMMYFUNCTION("""COMPUTED_VALUE"""),476.07)</f>
        <v>476.07</v>
      </c>
      <c r="C2207" s="1">
        <f>IFERROR(__xludf.DUMMYFUNCTION("""COMPUTED_VALUE"""),477.59)</f>
        <v>477.59</v>
      </c>
      <c r="D2207" s="1">
        <f>IFERROR(__xludf.DUMMYFUNCTION("""COMPUTED_VALUE"""),474.43)</f>
        <v>474.43</v>
      </c>
      <c r="E2207" s="1">
        <f>IFERROR(__xludf.DUMMYFUNCTION("""COMPUTED_VALUE"""),475.49)</f>
        <v>475.49</v>
      </c>
      <c r="F2207" s="1">
        <f>IFERROR(__xludf.DUMMYFUNCTION("""COMPUTED_VALUE"""),5.5414064E7)</f>
        <v>55414064</v>
      </c>
    </row>
    <row r="2208">
      <c r="A2208" s="2">
        <f>IFERROR(__xludf.DUMMYFUNCTION("""COMPUTED_VALUE"""),34578.666666666664)</f>
        <v>34578.66667</v>
      </c>
      <c r="B2208" s="1">
        <f>IFERROR(__xludf.DUMMYFUNCTION("""COMPUTED_VALUE"""),475.49)</f>
        <v>475.49</v>
      </c>
      <c r="C2208" s="1">
        <f>IFERROR(__xludf.DUMMYFUNCTION("""COMPUTED_VALUE"""),475.49)</f>
        <v>475.49</v>
      </c>
      <c r="D2208" s="1">
        <f>IFERROR(__xludf.DUMMYFUNCTION("""COMPUTED_VALUE"""),471.74)</f>
        <v>471.74</v>
      </c>
      <c r="E2208" s="1">
        <f>IFERROR(__xludf.DUMMYFUNCTION("""COMPUTED_VALUE"""),473.17)</f>
        <v>473.17</v>
      </c>
      <c r="F2208" s="1">
        <f>IFERROR(__xludf.DUMMYFUNCTION("""COMPUTED_VALUE"""),4.4192188E7)</f>
        <v>44192188</v>
      </c>
    </row>
    <row r="2209">
      <c r="A2209" s="2">
        <f>IFERROR(__xludf.DUMMYFUNCTION("""COMPUTED_VALUE"""),34579.666666666664)</f>
        <v>34579.66667</v>
      </c>
      <c r="B2209" s="1">
        <f>IFERROR(__xludf.DUMMYFUNCTION("""COMPUTED_VALUE"""),473.2)</f>
        <v>473.2</v>
      </c>
      <c r="C2209" s="1">
        <f>IFERROR(__xludf.DUMMYFUNCTION("""COMPUTED_VALUE"""),474.89)</f>
        <v>474.89</v>
      </c>
      <c r="D2209" s="1">
        <f>IFERROR(__xludf.DUMMYFUNCTION("""COMPUTED_VALUE"""),470.67)</f>
        <v>470.67</v>
      </c>
      <c r="E2209" s="1">
        <f>IFERROR(__xludf.DUMMYFUNCTION("""COMPUTED_VALUE"""),470.99)</f>
        <v>470.99</v>
      </c>
      <c r="F2209" s="1">
        <f>IFERROR(__xludf.DUMMYFUNCTION("""COMPUTED_VALUE"""),3.3773436E7)</f>
        <v>33773436</v>
      </c>
    </row>
    <row r="2210">
      <c r="A2210" s="2">
        <f>IFERROR(__xludf.DUMMYFUNCTION("""COMPUTED_VALUE"""),34582.666666666664)</f>
        <v>34582.66667</v>
      </c>
      <c r="B2210" s="1">
        <f>IFERROR(__xludf.DUMMYFUNCTION("""COMPUTED_VALUE"""),470.99)</f>
        <v>470.99</v>
      </c>
      <c r="C2210" s="1">
        <f>IFERROR(__xludf.DUMMYFUNCTION("""COMPUTED_VALUE"""),470.99)</f>
        <v>470.99</v>
      </c>
      <c r="D2210" s="1">
        <f>IFERROR(__xludf.DUMMYFUNCTION("""COMPUTED_VALUE"""),470.99)</f>
        <v>470.99</v>
      </c>
      <c r="E2210" s="1">
        <f>IFERROR(__xludf.DUMMYFUNCTION("""COMPUTED_VALUE"""),470.99)</f>
        <v>470.99</v>
      </c>
      <c r="F2210" s="1">
        <f>IFERROR(__xludf.DUMMYFUNCTION("""COMPUTED_VALUE"""),0.0)</f>
        <v>0</v>
      </c>
    </row>
    <row r="2211">
      <c r="A2211" s="2">
        <f>IFERROR(__xludf.DUMMYFUNCTION("""COMPUTED_VALUE"""),34583.666666666664)</f>
        <v>34583.66667</v>
      </c>
      <c r="B2211" s="1">
        <f>IFERROR(__xludf.DUMMYFUNCTION("""COMPUTED_VALUE"""),471.0)</f>
        <v>471</v>
      </c>
      <c r="C2211" s="1">
        <f>IFERROR(__xludf.DUMMYFUNCTION("""COMPUTED_VALUE"""),471.92)</f>
        <v>471.92</v>
      </c>
      <c r="D2211" s="1">
        <f>IFERROR(__xludf.DUMMYFUNCTION("""COMPUTED_VALUE"""),469.64)</f>
        <v>469.64</v>
      </c>
      <c r="E2211" s="1">
        <f>IFERROR(__xludf.DUMMYFUNCTION("""COMPUTED_VALUE"""),471.86)</f>
        <v>471.86</v>
      </c>
      <c r="F2211" s="1">
        <f>IFERROR(__xludf.DUMMYFUNCTION("""COMPUTED_VALUE"""),3.1198438E7)</f>
        <v>31198438</v>
      </c>
    </row>
    <row r="2212">
      <c r="A2212" s="2">
        <f>IFERROR(__xludf.DUMMYFUNCTION("""COMPUTED_VALUE"""),34584.666666666664)</f>
        <v>34584.66667</v>
      </c>
      <c r="B2212" s="1">
        <f>IFERROR(__xludf.DUMMYFUNCTION("""COMPUTED_VALUE"""),471.86)</f>
        <v>471.86</v>
      </c>
      <c r="C2212" s="1">
        <f>IFERROR(__xludf.DUMMYFUNCTION("""COMPUTED_VALUE"""),472.41)</f>
        <v>472.41</v>
      </c>
      <c r="D2212" s="1">
        <f>IFERROR(__xludf.DUMMYFUNCTION("""COMPUTED_VALUE"""),470.2)</f>
        <v>470.2</v>
      </c>
      <c r="E2212" s="1">
        <f>IFERROR(__xludf.DUMMYFUNCTION("""COMPUTED_VALUE"""),470.99)</f>
        <v>470.99</v>
      </c>
      <c r="F2212" s="1">
        <f>IFERROR(__xludf.DUMMYFUNCTION("""COMPUTED_VALUE"""),4.5364064E7)</f>
        <v>45364064</v>
      </c>
    </row>
    <row r="2213">
      <c r="A2213" s="2">
        <f>IFERROR(__xludf.DUMMYFUNCTION("""COMPUTED_VALUE"""),34585.666666666664)</f>
        <v>34585.66667</v>
      </c>
      <c r="B2213" s="1">
        <f>IFERROR(__xludf.DUMMYFUNCTION("""COMPUTED_VALUE"""),470.96)</f>
        <v>470.96</v>
      </c>
      <c r="C2213" s="1">
        <f>IFERROR(__xludf.DUMMYFUNCTION("""COMPUTED_VALUE"""),473.4)</f>
        <v>473.4</v>
      </c>
      <c r="D2213" s="1">
        <f>IFERROR(__xludf.DUMMYFUNCTION("""COMPUTED_VALUE"""),470.86)</f>
        <v>470.86</v>
      </c>
      <c r="E2213" s="1">
        <f>IFERROR(__xludf.DUMMYFUNCTION("""COMPUTED_VALUE"""),473.14)</f>
        <v>473.14</v>
      </c>
      <c r="F2213" s="1">
        <f>IFERROR(__xludf.DUMMYFUNCTION("""COMPUTED_VALUE"""),4.6095312E7)</f>
        <v>46095312</v>
      </c>
    </row>
    <row r="2214">
      <c r="A2214" s="2">
        <f>IFERROR(__xludf.DUMMYFUNCTION("""COMPUTED_VALUE"""),34586.666666666664)</f>
        <v>34586.66667</v>
      </c>
      <c r="B2214" s="1">
        <f>IFERROR(__xludf.DUMMYFUNCTION("""COMPUTED_VALUE"""),473.13)</f>
        <v>473.13</v>
      </c>
      <c r="C2214" s="1">
        <f>IFERROR(__xludf.DUMMYFUNCTION("""COMPUTED_VALUE"""),473.13)</f>
        <v>473.13</v>
      </c>
      <c r="D2214" s="1">
        <f>IFERROR(__xludf.DUMMYFUNCTION("""COMPUTED_VALUE"""),466.55)</f>
        <v>466.55</v>
      </c>
      <c r="E2214" s="1">
        <f>IFERROR(__xludf.DUMMYFUNCTION("""COMPUTED_VALUE"""),468.18)</f>
        <v>468.18</v>
      </c>
      <c r="F2214" s="1">
        <f>IFERROR(__xludf.DUMMYFUNCTION("""COMPUTED_VALUE"""),4.58375E7)</f>
        <v>45837500</v>
      </c>
    </row>
    <row r="2215">
      <c r="A2215" s="2">
        <f>IFERROR(__xludf.DUMMYFUNCTION("""COMPUTED_VALUE"""),34589.666666666664)</f>
        <v>34589.66667</v>
      </c>
      <c r="B2215" s="1">
        <f>IFERROR(__xludf.DUMMYFUNCTION("""COMPUTED_VALUE"""),468.18)</f>
        <v>468.18</v>
      </c>
      <c r="C2215" s="1">
        <f>IFERROR(__xludf.DUMMYFUNCTION("""COMPUTED_VALUE"""),468.42)</f>
        <v>468.42</v>
      </c>
      <c r="D2215" s="1">
        <f>IFERROR(__xludf.DUMMYFUNCTION("""COMPUTED_VALUE"""),466.15)</f>
        <v>466.15</v>
      </c>
      <c r="E2215" s="1">
        <f>IFERROR(__xludf.DUMMYFUNCTION("""COMPUTED_VALUE"""),466.21)</f>
        <v>466.21</v>
      </c>
      <c r="F2215" s="1">
        <f>IFERROR(__xludf.DUMMYFUNCTION("""COMPUTED_VALUE"""),3.8231248E7)</f>
        <v>38231248</v>
      </c>
    </row>
    <row r="2216">
      <c r="A2216" s="2">
        <f>IFERROR(__xludf.DUMMYFUNCTION("""COMPUTED_VALUE"""),34590.666666666664)</f>
        <v>34590.66667</v>
      </c>
      <c r="B2216" s="1">
        <f>IFERROR(__xludf.DUMMYFUNCTION("""COMPUTED_VALUE"""),466.27)</f>
        <v>466.27</v>
      </c>
      <c r="C2216" s="1">
        <f>IFERROR(__xludf.DUMMYFUNCTION("""COMPUTED_VALUE"""),468.76)</f>
        <v>468.76</v>
      </c>
      <c r="D2216" s="1">
        <f>IFERROR(__xludf.DUMMYFUNCTION("""COMPUTED_VALUE"""),466.27)</f>
        <v>466.27</v>
      </c>
      <c r="E2216" s="1">
        <f>IFERROR(__xludf.DUMMYFUNCTION("""COMPUTED_VALUE"""),467.51)</f>
        <v>467.51</v>
      </c>
      <c r="F2216" s="1">
        <f>IFERROR(__xludf.DUMMYFUNCTION("""COMPUTED_VALUE"""),4.5839064E7)</f>
        <v>45839064</v>
      </c>
    </row>
    <row r="2217">
      <c r="A2217" s="2">
        <f>IFERROR(__xludf.DUMMYFUNCTION("""COMPUTED_VALUE"""),34591.666666666664)</f>
        <v>34591.66667</v>
      </c>
      <c r="B2217" s="1">
        <f>IFERROR(__xludf.DUMMYFUNCTION("""COMPUTED_VALUE"""),467.55)</f>
        <v>467.55</v>
      </c>
      <c r="C2217" s="1">
        <f>IFERROR(__xludf.DUMMYFUNCTION("""COMPUTED_VALUE"""),468.86)</f>
        <v>468.86</v>
      </c>
      <c r="D2217" s="1">
        <f>IFERROR(__xludf.DUMMYFUNCTION("""COMPUTED_VALUE"""),466.82)</f>
        <v>466.82</v>
      </c>
      <c r="E2217" s="1">
        <f>IFERROR(__xludf.DUMMYFUNCTION("""COMPUTED_VALUE"""),468.8)</f>
        <v>468.8</v>
      </c>
      <c r="F2217" s="1">
        <f>IFERROR(__xludf.DUMMYFUNCTION("""COMPUTED_VALUE"""),4.6481248E7)</f>
        <v>46481248</v>
      </c>
    </row>
    <row r="2218">
      <c r="A2218" s="2">
        <f>IFERROR(__xludf.DUMMYFUNCTION("""COMPUTED_VALUE"""),34592.666666666664)</f>
        <v>34592.66667</v>
      </c>
      <c r="B2218" s="1">
        <f>IFERROR(__xludf.DUMMYFUNCTION("""COMPUTED_VALUE"""),468.8)</f>
        <v>468.8</v>
      </c>
      <c r="C2218" s="1">
        <f>IFERROR(__xludf.DUMMYFUNCTION("""COMPUTED_VALUE"""),474.81)</f>
        <v>474.81</v>
      </c>
      <c r="D2218" s="1">
        <f>IFERROR(__xludf.DUMMYFUNCTION("""COMPUTED_VALUE"""),468.79)</f>
        <v>468.79</v>
      </c>
      <c r="E2218" s="1">
        <f>IFERROR(__xludf.DUMMYFUNCTION("""COMPUTED_VALUE"""),474.81)</f>
        <v>474.81</v>
      </c>
      <c r="F2218" s="1">
        <f>IFERROR(__xludf.DUMMYFUNCTION("""COMPUTED_VALUE"""),4.405E7)</f>
        <v>44050000</v>
      </c>
    </row>
    <row r="2219">
      <c r="A2219" s="2">
        <f>IFERROR(__xludf.DUMMYFUNCTION("""COMPUTED_VALUE"""),34593.666666666664)</f>
        <v>34593.66667</v>
      </c>
      <c r="B2219" s="1">
        <f>IFERROR(__xludf.DUMMYFUNCTION("""COMPUTED_VALUE"""),474.81)</f>
        <v>474.81</v>
      </c>
      <c r="C2219" s="1">
        <f>IFERROR(__xludf.DUMMYFUNCTION("""COMPUTED_VALUE"""),474.81)</f>
        <v>474.81</v>
      </c>
      <c r="D2219" s="1">
        <f>IFERROR(__xludf.DUMMYFUNCTION("""COMPUTED_VALUE"""),470.06)</f>
        <v>470.06</v>
      </c>
      <c r="E2219" s="1">
        <f>IFERROR(__xludf.DUMMYFUNCTION("""COMPUTED_VALUE"""),471.19)</f>
        <v>471.19</v>
      </c>
      <c r="F2219" s="1">
        <f>IFERROR(__xludf.DUMMYFUNCTION("""COMPUTED_VALUE"""),6.4179688E7)</f>
        <v>64179688</v>
      </c>
    </row>
    <row r="2220">
      <c r="A2220" s="2">
        <f>IFERROR(__xludf.DUMMYFUNCTION("""COMPUTED_VALUE"""),34596.666666666664)</f>
        <v>34596.66667</v>
      </c>
      <c r="B2220" s="1">
        <f>IFERROR(__xludf.DUMMYFUNCTION("""COMPUTED_VALUE"""),471.21)</f>
        <v>471.21</v>
      </c>
      <c r="C2220" s="1">
        <f>IFERROR(__xludf.DUMMYFUNCTION("""COMPUTED_VALUE"""),473.15)</f>
        <v>473.15</v>
      </c>
      <c r="D2220" s="1">
        <f>IFERROR(__xludf.DUMMYFUNCTION("""COMPUTED_VALUE"""),470.68)</f>
        <v>470.68</v>
      </c>
      <c r="E2220" s="1">
        <f>IFERROR(__xludf.DUMMYFUNCTION("""COMPUTED_VALUE"""),470.85)</f>
        <v>470.85</v>
      </c>
      <c r="F2220" s="1">
        <f>IFERROR(__xludf.DUMMYFUNCTION("""COMPUTED_VALUE"""),4.3298436E7)</f>
        <v>43298436</v>
      </c>
    </row>
    <row r="2221">
      <c r="A2221" s="2">
        <f>IFERROR(__xludf.DUMMYFUNCTION("""COMPUTED_VALUE"""),34597.666666666664)</f>
        <v>34597.66667</v>
      </c>
      <c r="B2221" s="1">
        <f>IFERROR(__xludf.DUMMYFUNCTION("""COMPUTED_VALUE"""),470.83)</f>
        <v>470.83</v>
      </c>
      <c r="C2221" s="1">
        <f>IFERROR(__xludf.DUMMYFUNCTION("""COMPUTED_VALUE"""),470.83)</f>
        <v>470.83</v>
      </c>
      <c r="D2221" s="1">
        <f>IFERROR(__xludf.DUMMYFUNCTION("""COMPUTED_VALUE"""),463.36)</f>
        <v>463.36</v>
      </c>
      <c r="E2221" s="1">
        <f>IFERROR(__xludf.DUMMYFUNCTION("""COMPUTED_VALUE"""),463.36)</f>
        <v>463.36</v>
      </c>
      <c r="F2221" s="1">
        <f>IFERROR(__xludf.DUMMYFUNCTION("""COMPUTED_VALUE"""),5.0945312E7)</f>
        <v>50945312</v>
      </c>
    </row>
    <row r="2222">
      <c r="A2222" s="2">
        <f>IFERROR(__xludf.DUMMYFUNCTION("""COMPUTED_VALUE"""),34598.666666666664)</f>
        <v>34598.66667</v>
      </c>
      <c r="B2222" s="1">
        <f>IFERROR(__xludf.DUMMYFUNCTION("""COMPUTED_VALUE"""),463.42)</f>
        <v>463.42</v>
      </c>
      <c r="C2222" s="1">
        <f>IFERROR(__xludf.DUMMYFUNCTION("""COMPUTED_VALUE"""),464.01)</f>
        <v>464.01</v>
      </c>
      <c r="D2222" s="1">
        <f>IFERROR(__xludf.DUMMYFUNCTION("""COMPUTED_VALUE"""),458.47)</f>
        <v>458.47</v>
      </c>
      <c r="E2222" s="1">
        <f>IFERROR(__xludf.DUMMYFUNCTION("""COMPUTED_VALUE"""),461.46)</f>
        <v>461.46</v>
      </c>
      <c r="F2222" s="1">
        <f>IFERROR(__xludf.DUMMYFUNCTION("""COMPUTED_VALUE"""),5.4973436E7)</f>
        <v>54973436</v>
      </c>
    </row>
    <row r="2223">
      <c r="A2223" s="2">
        <f>IFERROR(__xludf.DUMMYFUNCTION("""COMPUTED_VALUE"""),34599.666666666664)</f>
        <v>34599.66667</v>
      </c>
      <c r="B2223" s="1">
        <f>IFERROR(__xludf.DUMMYFUNCTION("""COMPUTED_VALUE"""),461.45)</f>
        <v>461.45</v>
      </c>
      <c r="C2223" s="1">
        <f>IFERROR(__xludf.DUMMYFUNCTION("""COMPUTED_VALUE"""),463.22)</f>
        <v>463.22</v>
      </c>
      <c r="D2223" s="1">
        <f>IFERROR(__xludf.DUMMYFUNCTION("""COMPUTED_VALUE"""),460.96)</f>
        <v>460.96</v>
      </c>
      <c r="E2223" s="1">
        <f>IFERROR(__xludf.DUMMYFUNCTION("""COMPUTED_VALUE"""),461.27)</f>
        <v>461.27</v>
      </c>
      <c r="F2223" s="1">
        <f>IFERROR(__xludf.DUMMYFUNCTION("""COMPUTED_VALUE"""),4.7689064E7)</f>
        <v>47689064</v>
      </c>
    </row>
    <row r="2224">
      <c r="A2224" s="2">
        <f>IFERROR(__xludf.DUMMYFUNCTION("""COMPUTED_VALUE"""),34600.666666666664)</f>
        <v>34600.66667</v>
      </c>
      <c r="B2224" s="1">
        <f>IFERROR(__xludf.DUMMYFUNCTION("""COMPUTED_VALUE"""),461.27)</f>
        <v>461.27</v>
      </c>
      <c r="C2224" s="1">
        <f>IFERROR(__xludf.DUMMYFUNCTION("""COMPUTED_VALUE"""),462.14)</f>
        <v>462.14</v>
      </c>
      <c r="D2224" s="1">
        <f>IFERROR(__xludf.DUMMYFUNCTION("""COMPUTED_VALUE"""),459.01)</f>
        <v>459.01</v>
      </c>
      <c r="E2224" s="1">
        <f>IFERROR(__xludf.DUMMYFUNCTION("""COMPUTED_VALUE"""),459.67)</f>
        <v>459.67</v>
      </c>
      <c r="F2224" s="1">
        <f>IFERROR(__xludf.DUMMYFUNCTION("""COMPUTED_VALUE"""),4.6884376E7)</f>
        <v>46884376</v>
      </c>
    </row>
    <row r="2225">
      <c r="A2225" s="2">
        <f>IFERROR(__xludf.DUMMYFUNCTION("""COMPUTED_VALUE"""),34603.666666666664)</f>
        <v>34603.66667</v>
      </c>
      <c r="B2225" s="1">
        <f>IFERROR(__xludf.DUMMYFUNCTION("""COMPUTED_VALUE"""),459.65)</f>
        <v>459.65</v>
      </c>
      <c r="C2225" s="1">
        <f>IFERROR(__xludf.DUMMYFUNCTION("""COMPUTED_VALUE"""),460.87)</f>
        <v>460.87</v>
      </c>
      <c r="D2225" s="1">
        <f>IFERROR(__xludf.DUMMYFUNCTION("""COMPUTED_VALUE"""),459.31)</f>
        <v>459.31</v>
      </c>
      <c r="E2225" s="1">
        <f>IFERROR(__xludf.DUMMYFUNCTION("""COMPUTED_VALUE"""),460.82)</f>
        <v>460.82</v>
      </c>
      <c r="F2225" s="1">
        <f>IFERROR(__xludf.DUMMYFUNCTION("""COMPUTED_VALUE"""),4.2582812E7)</f>
        <v>42582812</v>
      </c>
    </row>
    <row r="2226">
      <c r="A2226" s="2">
        <f>IFERROR(__xludf.DUMMYFUNCTION("""COMPUTED_VALUE"""),34604.666666666664)</f>
        <v>34604.66667</v>
      </c>
      <c r="B2226" s="1">
        <f>IFERROR(__xludf.DUMMYFUNCTION("""COMPUTED_VALUE"""),460.82)</f>
        <v>460.82</v>
      </c>
      <c r="C2226" s="1">
        <f>IFERROR(__xludf.DUMMYFUNCTION("""COMPUTED_VALUE"""),462.75)</f>
        <v>462.75</v>
      </c>
      <c r="D2226" s="1">
        <f>IFERROR(__xludf.DUMMYFUNCTION("""COMPUTED_VALUE"""),459.83)</f>
        <v>459.83</v>
      </c>
      <c r="E2226" s="1">
        <f>IFERROR(__xludf.DUMMYFUNCTION("""COMPUTED_VALUE"""),462.05)</f>
        <v>462.05</v>
      </c>
      <c r="F2226" s="1">
        <f>IFERROR(__xludf.DUMMYFUNCTION("""COMPUTED_VALUE"""),4.5364064E7)</f>
        <v>45364064</v>
      </c>
    </row>
    <row r="2227">
      <c r="A2227" s="2">
        <f>IFERROR(__xludf.DUMMYFUNCTION("""COMPUTED_VALUE"""),34605.666666666664)</f>
        <v>34605.66667</v>
      </c>
      <c r="B2227" s="1">
        <f>IFERROR(__xludf.DUMMYFUNCTION("""COMPUTED_VALUE"""),462.1)</f>
        <v>462.1</v>
      </c>
      <c r="C2227" s="1">
        <f>IFERROR(__xludf.DUMMYFUNCTION("""COMPUTED_VALUE"""),465.55)</f>
        <v>465.55</v>
      </c>
      <c r="D2227" s="1">
        <f>IFERROR(__xludf.DUMMYFUNCTION("""COMPUTED_VALUE"""),462.1)</f>
        <v>462.1</v>
      </c>
      <c r="E2227" s="1">
        <f>IFERROR(__xludf.DUMMYFUNCTION("""COMPUTED_VALUE"""),464.84)</f>
        <v>464.84</v>
      </c>
      <c r="F2227" s="1">
        <f>IFERROR(__xludf.DUMMYFUNCTION("""COMPUTED_VALUE"""),5.1565624E7)</f>
        <v>51565624</v>
      </c>
    </row>
    <row r="2228">
      <c r="A2228" s="2">
        <f>IFERROR(__xludf.DUMMYFUNCTION("""COMPUTED_VALUE"""),34606.666666666664)</f>
        <v>34606.66667</v>
      </c>
      <c r="B2228" s="1">
        <f>IFERROR(__xludf.DUMMYFUNCTION("""COMPUTED_VALUE"""),464.84)</f>
        <v>464.84</v>
      </c>
      <c r="C2228" s="1">
        <f>IFERROR(__xludf.DUMMYFUNCTION("""COMPUTED_VALUE"""),464.84)</f>
        <v>464.84</v>
      </c>
      <c r="D2228" s="1">
        <f>IFERROR(__xludf.DUMMYFUNCTION("""COMPUTED_VALUE"""),461.51)</f>
        <v>461.51</v>
      </c>
      <c r="E2228" s="1">
        <f>IFERROR(__xludf.DUMMYFUNCTION("""COMPUTED_VALUE"""),462.24)</f>
        <v>462.24</v>
      </c>
      <c r="F2228" s="1">
        <f>IFERROR(__xludf.DUMMYFUNCTION("""COMPUTED_VALUE"""),4.7231248E7)</f>
        <v>47231248</v>
      </c>
    </row>
    <row r="2229">
      <c r="A2229" s="2">
        <f>IFERROR(__xludf.DUMMYFUNCTION("""COMPUTED_VALUE"""),34607.666666666664)</f>
        <v>34607.66667</v>
      </c>
      <c r="B2229" s="1">
        <f>IFERROR(__xludf.DUMMYFUNCTION("""COMPUTED_VALUE"""),462.27)</f>
        <v>462.27</v>
      </c>
      <c r="C2229" s="1">
        <f>IFERROR(__xludf.DUMMYFUNCTION("""COMPUTED_VALUE"""),465.3)</f>
        <v>465.3</v>
      </c>
      <c r="D2229" s="1">
        <f>IFERROR(__xludf.DUMMYFUNCTION("""COMPUTED_VALUE"""),461.91)</f>
        <v>461.91</v>
      </c>
      <c r="E2229" s="1">
        <f>IFERROR(__xludf.DUMMYFUNCTION("""COMPUTED_VALUE"""),462.71)</f>
        <v>462.71</v>
      </c>
      <c r="F2229" s="1">
        <f>IFERROR(__xludf.DUMMYFUNCTION("""COMPUTED_VALUE"""),4.5609376E7)</f>
        <v>45609376</v>
      </c>
    </row>
    <row r="2230">
      <c r="A2230" s="2">
        <f>IFERROR(__xludf.DUMMYFUNCTION("""COMPUTED_VALUE"""),34610.666666666664)</f>
        <v>34610.66667</v>
      </c>
      <c r="B2230" s="1">
        <f>IFERROR(__xludf.DUMMYFUNCTION("""COMPUTED_VALUE"""),462.69)</f>
        <v>462.69</v>
      </c>
      <c r="C2230" s="1">
        <f>IFERROR(__xludf.DUMMYFUNCTION("""COMPUTED_VALUE"""),463.31)</f>
        <v>463.31</v>
      </c>
      <c r="D2230" s="1">
        <f>IFERROR(__xludf.DUMMYFUNCTION("""COMPUTED_VALUE"""),460.33)</f>
        <v>460.33</v>
      </c>
      <c r="E2230" s="1">
        <f>IFERROR(__xludf.DUMMYFUNCTION("""COMPUTED_VALUE"""),461.74)</f>
        <v>461.74</v>
      </c>
      <c r="F2230" s="1">
        <f>IFERROR(__xludf.DUMMYFUNCTION("""COMPUTED_VALUE"""),4.2051564E7)</f>
        <v>42051564</v>
      </c>
    </row>
    <row r="2231">
      <c r="A2231" s="2">
        <f>IFERROR(__xludf.DUMMYFUNCTION("""COMPUTED_VALUE"""),34611.666666666664)</f>
        <v>34611.66667</v>
      </c>
      <c r="B2231" s="1">
        <f>IFERROR(__xludf.DUMMYFUNCTION("""COMPUTED_VALUE"""),461.77)</f>
        <v>461.77</v>
      </c>
      <c r="C2231" s="1">
        <f>IFERROR(__xludf.DUMMYFUNCTION("""COMPUTED_VALUE"""),462.46)</f>
        <v>462.46</v>
      </c>
      <c r="D2231" s="1">
        <f>IFERROR(__xludf.DUMMYFUNCTION("""COMPUTED_VALUE"""),454.03)</f>
        <v>454.03</v>
      </c>
      <c r="E2231" s="1">
        <f>IFERROR(__xludf.DUMMYFUNCTION("""COMPUTED_VALUE"""),454.59)</f>
        <v>454.59</v>
      </c>
      <c r="F2231" s="1">
        <f>IFERROR(__xludf.DUMMYFUNCTION("""COMPUTED_VALUE"""),5.0878124E7)</f>
        <v>50878124</v>
      </c>
    </row>
    <row r="2232">
      <c r="A2232" s="2">
        <f>IFERROR(__xludf.DUMMYFUNCTION("""COMPUTED_VALUE"""),34612.666666666664)</f>
        <v>34612.66667</v>
      </c>
      <c r="B2232" s="1">
        <f>IFERROR(__xludf.DUMMYFUNCTION("""COMPUTED_VALUE"""),454.59)</f>
        <v>454.59</v>
      </c>
      <c r="C2232" s="1">
        <f>IFERROR(__xludf.DUMMYFUNCTION("""COMPUTED_VALUE"""),454.59)</f>
        <v>454.59</v>
      </c>
      <c r="D2232" s="1">
        <f>IFERROR(__xludf.DUMMYFUNCTION("""COMPUTED_VALUE"""),449.27)</f>
        <v>449.27</v>
      </c>
      <c r="E2232" s="1">
        <f>IFERROR(__xludf.DUMMYFUNCTION("""COMPUTED_VALUE"""),453.52)</f>
        <v>453.52</v>
      </c>
      <c r="F2232" s="1">
        <f>IFERROR(__xludf.DUMMYFUNCTION("""COMPUTED_VALUE"""),5.6198436E7)</f>
        <v>56198436</v>
      </c>
    </row>
    <row r="2233">
      <c r="A2233" s="2">
        <f>IFERROR(__xludf.DUMMYFUNCTION("""COMPUTED_VALUE"""),34613.666666666664)</f>
        <v>34613.66667</v>
      </c>
      <c r="B2233" s="1">
        <f>IFERROR(__xludf.DUMMYFUNCTION("""COMPUTED_VALUE"""),453.52)</f>
        <v>453.52</v>
      </c>
      <c r="C2233" s="1">
        <f>IFERROR(__xludf.DUMMYFUNCTION("""COMPUTED_VALUE"""),454.49)</f>
        <v>454.49</v>
      </c>
      <c r="D2233" s="1">
        <f>IFERROR(__xludf.DUMMYFUNCTION("""COMPUTED_VALUE"""),452.13)</f>
        <v>452.13</v>
      </c>
      <c r="E2233" s="1">
        <f>IFERROR(__xludf.DUMMYFUNCTION("""COMPUTED_VALUE"""),452.36)</f>
        <v>452.36</v>
      </c>
      <c r="F2233" s="1">
        <f>IFERROR(__xludf.DUMMYFUNCTION("""COMPUTED_VALUE"""),4.2596876E7)</f>
        <v>42596876</v>
      </c>
    </row>
    <row r="2234">
      <c r="A2234" s="2">
        <f>IFERROR(__xludf.DUMMYFUNCTION("""COMPUTED_VALUE"""),34614.666666666664)</f>
        <v>34614.66667</v>
      </c>
      <c r="B2234" s="1">
        <f>IFERROR(__xludf.DUMMYFUNCTION("""COMPUTED_VALUE"""),452.37)</f>
        <v>452.37</v>
      </c>
      <c r="C2234" s="1">
        <f>IFERROR(__xludf.DUMMYFUNCTION("""COMPUTED_VALUE"""),455.67)</f>
        <v>455.67</v>
      </c>
      <c r="D2234" s="1">
        <f>IFERROR(__xludf.DUMMYFUNCTION("""COMPUTED_VALUE"""),452.13)</f>
        <v>452.13</v>
      </c>
      <c r="E2234" s="1">
        <f>IFERROR(__xludf.DUMMYFUNCTION("""COMPUTED_VALUE"""),455.1)</f>
        <v>455.1</v>
      </c>
      <c r="F2234" s="1">
        <f>IFERROR(__xludf.DUMMYFUNCTION("""COMPUTED_VALUE"""),4.4410936E7)</f>
        <v>44410936</v>
      </c>
    </row>
    <row r="2235">
      <c r="A2235" s="2">
        <f>IFERROR(__xludf.DUMMYFUNCTION("""COMPUTED_VALUE"""),34617.666666666664)</f>
        <v>34617.66667</v>
      </c>
      <c r="B2235" s="1">
        <f>IFERROR(__xludf.DUMMYFUNCTION("""COMPUTED_VALUE"""),455.12)</f>
        <v>455.12</v>
      </c>
      <c r="C2235" s="1">
        <f>IFERROR(__xludf.DUMMYFUNCTION("""COMPUTED_VALUE"""),459.29)</f>
        <v>459.29</v>
      </c>
      <c r="D2235" s="1">
        <f>IFERROR(__xludf.DUMMYFUNCTION("""COMPUTED_VALUE"""),455.12)</f>
        <v>455.12</v>
      </c>
      <c r="E2235" s="1">
        <f>IFERROR(__xludf.DUMMYFUNCTION("""COMPUTED_VALUE"""),459.04)</f>
        <v>459.04</v>
      </c>
      <c r="F2235" s="1">
        <f>IFERROR(__xludf.DUMMYFUNCTION("""COMPUTED_VALUE"""),3.3298438E7)</f>
        <v>33298438</v>
      </c>
    </row>
    <row r="2236">
      <c r="A2236" s="2">
        <f>IFERROR(__xludf.DUMMYFUNCTION("""COMPUTED_VALUE"""),34618.666666666664)</f>
        <v>34618.66667</v>
      </c>
      <c r="B2236" s="1">
        <f>IFERROR(__xludf.DUMMYFUNCTION("""COMPUTED_VALUE"""),459.04)</f>
        <v>459.04</v>
      </c>
      <c r="C2236" s="1">
        <f>IFERROR(__xludf.DUMMYFUNCTION("""COMPUTED_VALUE"""),466.34)</f>
        <v>466.34</v>
      </c>
      <c r="D2236" s="1">
        <f>IFERROR(__xludf.DUMMYFUNCTION("""COMPUTED_VALUE"""),459.04)</f>
        <v>459.04</v>
      </c>
      <c r="E2236" s="1">
        <f>IFERROR(__xludf.DUMMYFUNCTION("""COMPUTED_VALUE"""),465.79)</f>
        <v>465.79</v>
      </c>
      <c r="F2236" s="1">
        <f>IFERROR(__xludf.DUMMYFUNCTION("""COMPUTED_VALUE"""),5.5553124E7)</f>
        <v>55553124</v>
      </c>
    </row>
    <row r="2237">
      <c r="A2237" s="2">
        <f>IFERROR(__xludf.DUMMYFUNCTION("""COMPUTED_VALUE"""),34619.666666666664)</f>
        <v>34619.66667</v>
      </c>
      <c r="B2237" s="1">
        <f>IFERROR(__xludf.DUMMYFUNCTION("""COMPUTED_VALUE"""),465.78)</f>
        <v>465.78</v>
      </c>
      <c r="C2237" s="1">
        <f>IFERROR(__xludf.DUMMYFUNCTION("""COMPUTED_VALUE"""),466.7)</f>
        <v>466.7</v>
      </c>
      <c r="D2237" s="1">
        <f>IFERROR(__xludf.DUMMYFUNCTION("""COMPUTED_VALUE"""),464.79)</f>
        <v>464.79</v>
      </c>
      <c r="E2237" s="1">
        <f>IFERROR(__xludf.DUMMYFUNCTION("""COMPUTED_VALUE"""),465.47)</f>
        <v>465.47</v>
      </c>
      <c r="F2237" s="1">
        <f>IFERROR(__xludf.DUMMYFUNCTION("""COMPUTED_VALUE"""),4.2117188E7)</f>
        <v>42117188</v>
      </c>
    </row>
    <row r="2238">
      <c r="A2238" s="2">
        <f>IFERROR(__xludf.DUMMYFUNCTION("""COMPUTED_VALUE"""),34620.666666666664)</f>
        <v>34620.66667</v>
      </c>
      <c r="B2238" s="1">
        <f>IFERROR(__xludf.DUMMYFUNCTION("""COMPUTED_VALUE"""),465.56)</f>
        <v>465.56</v>
      </c>
      <c r="C2238" s="1">
        <f>IFERROR(__xludf.DUMMYFUNCTION("""COMPUTED_VALUE"""),471.3)</f>
        <v>471.3</v>
      </c>
      <c r="D2238" s="1">
        <f>IFERROR(__xludf.DUMMYFUNCTION("""COMPUTED_VALUE"""),465.56)</f>
        <v>465.56</v>
      </c>
      <c r="E2238" s="1">
        <f>IFERROR(__xludf.DUMMYFUNCTION("""COMPUTED_VALUE"""),467.79)</f>
        <v>467.79</v>
      </c>
      <c r="F2238" s="1">
        <f>IFERROR(__xludf.DUMMYFUNCTION("""COMPUTED_VALUE"""),5.2796876E7)</f>
        <v>52796876</v>
      </c>
    </row>
    <row r="2239">
      <c r="A2239" s="2">
        <f>IFERROR(__xludf.DUMMYFUNCTION("""COMPUTED_VALUE"""),34621.666666666664)</f>
        <v>34621.66667</v>
      </c>
      <c r="B2239" s="1">
        <f>IFERROR(__xludf.DUMMYFUNCTION("""COMPUTED_VALUE"""),467.78)</f>
        <v>467.78</v>
      </c>
      <c r="C2239" s="1">
        <f>IFERROR(__xludf.DUMMYFUNCTION("""COMPUTED_VALUE"""),469.53)</f>
        <v>469.53</v>
      </c>
      <c r="D2239" s="1">
        <f>IFERROR(__xludf.DUMMYFUNCTION("""COMPUTED_VALUE"""),466.11)</f>
        <v>466.11</v>
      </c>
      <c r="E2239" s="1">
        <f>IFERROR(__xludf.DUMMYFUNCTION("""COMPUTED_VALUE"""),469.1)</f>
        <v>469.1</v>
      </c>
      <c r="F2239" s="1">
        <f>IFERROR(__xludf.DUMMYFUNCTION("""COMPUTED_VALUE"""),3.9339064E7)</f>
        <v>39339064</v>
      </c>
    </row>
    <row r="2240">
      <c r="A2240" s="2">
        <f>IFERROR(__xludf.DUMMYFUNCTION("""COMPUTED_VALUE"""),34624.666666666664)</f>
        <v>34624.66667</v>
      </c>
      <c r="B2240" s="1">
        <f>IFERROR(__xludf.DUMMYFUNCTION("""COMPUTED_VALUE"""),469.11)</f>
        <v>469.11</v>
      </c>
      <c r="C2240" s="1">
        <f>IFERROR(__xludf.DUMMYFUNCTION("""COMPUTED_VALUE"""),469.88)</f>
        <v>469.88</v>
      </c>
      <c r="D2240" s="1">
        <f>IFERROR(__xludf.DUMMYFUNCTION("""COMPUTED_VALUE"""),468.16)</f>
        <v>468.16</v>
      </c>
      <c r="E2240" s="1">
        <f>IFERROR(__xludf.DUMMYFUNCTION("""COMPUTED_VALUE"""),468.96)</f>
        <v>468.96</v>
      </c>
      <c r="F2240" s="1">
        <f>IFERROR(__xludf.DUMMYFUNCTION("""COMPUTED_VALUE"""),3.7264064E7)</f>
        <v>37264064</v>
      </c>
    </row>
    <row r="2241">
      <c r="A2241" s="2">
        <f>IFERROR(__xludf.DUMMYFUNCTION("""COMPUTED_VALUE"""),34625.666666666664)</f>
        <v>34625.66667</v>
      </c>
      <c r="B2241" s="1">
        <f>IFERROR(__xludf.DUMMYFUNCTION("""COMPUTED_VALUE"""),469.02)</f>
        <v>469.02</v>
      </c>
      <c r="C2241" s="1">
        <f>IFERROR(__xludf.DUMMYFUNCTION("""COMPUTED_VALUE"""),469.19)</f>
        <v>469.19</v>
      </c>
      <c r="D2241" s="1">
        <f>IFERROR(__xludf.DUMMYFUNCTION("""COMPUTED_VALUE"""),466.54)</f>
        <v>466.54</v>
      </c>
      <c r="E2241" s="1">
        <f>IFERROR(__xludf.DUMMYFUNCTION("""COMPUTED_VALUE"""),467.66)</f>
        <v>467.66</v>
      </c>
      <c r="F2241" s="1">
        <f>IFERROR(__xludf.DUMMYFUNCTION("""COMPUTED_VALUE"""),4.0582812E7)</f>
        <v>40582812</v>
      </c>
    </row>
    <row r="2242">
      <c r="A2242" s="2">
        <f>IFERROR(__xludf.DUMMYFUNCTION("""COMPUTED_VALUE"""),34626.666666666664)</f>
        <v>34626.66667</v>
      </c>
      <c r="B2242" s="1">
        <f>IFERROR(__xludf.DUMMYFUNCTION("""COMPUTED_VALUE"""),467.69)</f>
        <v>467.69</v>
      </c>
      <c r="C2242" s="1">
        <f>IFERROR(__xludf.DUMMYFUNCTION("""COMPUTED_VALUE"""),471.43)</f>
        <v>471.43</v>
      </c>
      <c r="D2242" s="1">
        <f>IFERROR(__xludf.DUMMYFUNCTION("""COMPUTED_VALUE"""),465.96)</f>
        <v>465.96</v>
      </c>
      <c r="E2242" s="1">
        <f>IFERROR(__xludf.DUMMYFUNCTION("""COMPUTED_VALUE"""),470.28)</f>
        <v>470.28</v>
      </c>
      <c r="F2242" s="1">
        <f>IFERROR(__xludf.DUMMYFUNCTION("""COMPUTED_VALUE"""),4.9535936E7)</f>
        <v>49535936</v>
      </c>
    </row>
    <row r="2243">
      <c r="A2243" s="2">
        <f>IFERROR(__xludf.DUMMYFUNCTION("""COMPUTED_VALUE"""),34627.666666666664)</f>
        <v>34627.66667</v>
      </c>
      <c r="B2243" s="1">
        <f>IFERROR(__xludf.DUMMYFUNCTION("""COMPUTED_VALUE"""),470.37)</f>
        <v>470.37</v>
      </c>
      <c r="C2243" s="1">
        <f>IFERROR(__xludf.DUMMYFUNCTION("""COMPUTED_VALUE"""),470.37)</f>
        <v>470.37</v>
      </c>
      <c r="D2243" s="1">
        <f>IFERROR(__xludf.DUMMYFUNCTION("""COMPUTED_VALUE"""),465.39)</f>
        <v>465.39</v>
      </c>
      <c r="E2243" s="1">
        <f>IFERROR(__xludf.DUMMYFUNCTION("""COMPUTED_VALUE"""),466.85)</f>
        <v>466.85</v>
      </c>
      <c r="F2243" s="1">
        <f>IFERROR(__xludf.DUMMYFUNCTION("""COMPUTED_VALUE"""),5.1790624E7)</f>
        <v>51790624</v>
      </c>
    </row>
    <row r="2244">
      <c r="A2244" s="2">
        <f>IFERROR(__xludf.DUMMYFUNCTION("""COMPUTED_VALUE"""),34628.666666666664)</f>
        <v>34628.66667</v>
      </c>
      <c r="B2244" s="1">
        <f>IFERROR(__xludf.DUMMYFUNCTION("""COMPUTED_VALUE"""),466.69)</f>
        <v>466.69</v>
      </c>
      <c r="C2244" s="1">
        <f>IFERROR(__xludf.DUMMYFUNCTION("""COMPUTED_VALUE"""),466.69)</f>
        <v>466.69</v>
      </c>
      <c r="D2244" s="1">
        <f>IFERROR(__xludf.DUMMYFUNCTION("""COMPUTED_VALUE"""),463.83)</f>
        <v>463.83</v>
      </c>
      <c r="E2244" s="1">
        <f>IFERROR(__xludf.DUMMYFUNCTION("""COMPUTED_VALUE"""),464.89)</f>
        <v>464.89</v>
      </c>
      <c r="F2244" s="1">
        <f>IFERROR(__xludf.DUMMYFUNCTION("""COMPUTED_VALUE"""),4.9267188E7)</f>
        <v>49267188</v>
      </c>
    </row>
    <row r="2245">
      <c r="A2245" s="2">
        <f>IFERROR(__xludf.DUMMYFUNCTION("""COMPUTED_VALUE"""),34631.666666666664)</f>
        <v>34631.66667</v>
      </c>
      <c r="B2245" s="1">
        <f>IFERROR(__xludf.DUMMYFUNCTION("""COMPUTED_VALUE"""),464.89)</f>
        <v>464.89</v>
      </c>
      <c r="C2245" s="1">
        <f>IFERROR(__xludf.DUMMYFUNCTION("""COMPUTED_VALUE"""),466.37)</f>
        <v>466.37</v>
      </c>
      <c r="D2245" s="1">
        <f>IFERROR(__xludf.DUMMYFUNCTION("""COMPUTED_VALUE"""),460.8)</f>
        <v>460.8</v>
      </c>
      <c r="E2245" s="1">
        <f>IFERROR(__xludf.DUMMYFUNCTION("""COMPUTED_VALUE"""),460.83)</f>
        <v>460.83</v>
      </c>
      <c r="F2245" s="1">
        <f>IFERROR(__xludf.DUMMYFUNCTION("""COMPUTED_VALUE"""),4.41875E7)</f>
        <v>44187500</v>
      </c>
    </row>
    <row r="2246">
      <c r="A2246" s="2">
        <f>IFERROR(__xludf.DUMMYFUNCTION("""COMPUTED_VALUE"""),34632.666666666664)</f>
        <v>34632.66667</v>
      </c>
      <c r="B2246" s="1">
        <f>IFERROR(__xludf.DUMMYFUNCTION("""COMPUTED_VALUE"""),460.83)</f>
        <v>460.83</v>
      </c>
      <c r="C2246" s="1">
        <f>IFERROR(__xludf.DUMMYFUNCTION("""COMPUTED_VALUE"""),461.95)</f>
        <v>461.95</v>
      </c>
      <c r="D2246" s="1">
        <f>IFERROR(__xludf.DUMMYFUNCTION("""COMPUTED_VALUE"""),458.26)</f>
        <v>458.26</v>
      </c>
      <c r="E2246" s="1">
        <f>IFERROR(__xludf.DUMMYFUNCTION("""COMPUTED_VALUE"""),461.53)</f>
        <v>461.53</v>
      </c>
      <c r="F2246" s="1">
        <f>IFERROR(__xludf.DUMMYFUNCTION("""COMPUTED_VALUE"""),5.0954688E7)</f>
        <v>50954688</v>
      </c>
    </row>
    <row r="2247">
      <c r="A2247" s="2">
        <f>IFERROR(__xludf.DUMMYFUNCTION("""COMPUTED_VALUE"""),34633.666666666664)</f>
        <v>34633.66667</v>
      </c>
      <c r="B2247" s="1">
        <f>IFERROR(__xludf.DUMMYFUNCTION("""COMPUTED_VALUE"""),461.55)</f>
        <v>461.55</v>
      </c>
      <c r="C2247" s="1">
        <f>IFERROR(__xludf.DUMMYFUNCTION("""COMPUTED_VALUE"""),463.77)</f>
        <v>463.77</v>
      </c>
      <c r="D2247" s="1">
        <f>IFERROR(__xludf.DUMMYFUNCTION("""COMPUTED_VALUE"""),461.22)</f>
        <v>461.22</v>
      </c>
      <c r="E2247" s="1">
        <f>IFERROR(__xludf.DUMMYFUNCTION("""COMPUTED_VALUE"""),462.62)</f>
        <v>462.62</v>
      </c>
      <c r="F2247" s="1">
        <f>IFERROR(__xludf.DUMMYFUNCTION("""COMPUTED_VALUE"""),5.0401564E7)</f>
        <v>50401564</v>
      </c>
    </row>
    <row r="2248">
      <c r="A2248" s="2">
        <f>IFERROR(__xludf.DUMMYFUNCTION("""COMPUTED_VALUE"""),34634.666666666664)</f>
        <v>34634.66667</v>
      </c>
      <c r="B2248" s="1">
        <f>IFERROR(__xludf.DUMMYFUNCTION("""COMPUTED_VALUE"""),462.68)</f>
        <v>462.68</v>
      </c>
      <c r="C2248" s="1">
        <f>IFERROR(__xludf.DUMMYFUNCTION("""COMPUTED_VALUE"""),465.85)</f>
        <v>465.85</v>
      </c>
      <c r="D2248" s="1">
        <f>IFERROR(__xludf.DUMMYFUNCTION("""COMPUTED_VALUE"""),462.62)</f>
        <v>462.62</v>
      </c>
      <c r="E2248" s="1">
        <f>IFERROR(__xludf.DUMMYFUNCTION("""COMPUTED_VALUE"""),465.85)</f>
        <v>465.85</v>
      </c>
      <c r="F2248" s="1">
        <f>IFERROR(__xludf.DUMMYFUNCTION("""COMPUTED_VALUE"""),5.1217188E7)</f>
        <v>51217188</v>
      </c>
    </row>
    <row r="2249">
      <c r="A2249" s="2">
        <f>IFERROR(__xludf.DUMMYFUNCTION("""COMPUTED_VALUE"""),34635.666666666664)</f>
        <v>34635.66667</v>
      </c>
      <c r="B2249" s="1">
        <f>IFERROR(__xludf.DUMMYFUNCTION("""COMPUTED_VALUE"""),465.84)</f>
        <v>465.84</v>
      </c>
      <c r="C2249" s="1">
        <f>IFERROR(__xludf.DUMMYFUNCTION("""COMPUTED_VALUE"""),473.78)</f>
        <v>473.78</v>
      </c>
      <c r="D2249" s="1">
        <f>IFERROR(__xludf.DUMMYFUNCTION("""COMPUTED_VALUE"""),465.8)</f>
        <v>465.8</v>
      </c>
      <c r="E2249" s="1">
        <f>IFERROR(__xludf.DUMMYFUNCTION("""COMPUTED_VALUE"""),473.77)</f>
        <v>473.77</v>
      </c>
      <c r="F2249" s="1">
        <f>IFERROR(__xludf.DUMMYFUNCTION("""COMPUTED_VALUE"""),5.9601564E7)</f>
        <v>59601564</v>
      </c>
    </row>
    <row r="2250">
      <c r="A2250" s="2">
        <f>IFERROR(__xludf.DUMMYFUNCTION("""COMPUTED_VALUE"""),34638.666666666664)</f>
        <v>34638.66667</v>
      </c>
      <c r="B2250" s="1">
        <f>IFERROR(__xludf.DUMMYFUNCTION("""COMPUTED_VALUE"""),473.76)</f>
        <v>473.76</v>
      </c>
      <c r="C2250" s="1">
        <f>IFERROR(__xludf.DUMMYFUNCTION("""COMPUTED_VALUE"""),474.74)</f>
        <v>474.74</v>
      </c>
      <c r="D2250" s="1">
        <f>IFERROR(__xludf.DUMMYFUNCTION("""COMPUTED_VALUE"""),472.33)</f>
        <v>472.33</v>
      </c>
      <c r="E2250" s="1">
        <f>IFERROR(__xludf.DUMMYFUNCTION("""COMPUTED_VALUE"""),472.35)</f>
        <v>472.35</v>
      </c>
      <c r="F2250" s="1">
        <f>IFERROR(__xludf.DUMMYFUNCTION("""COMPUTED_VALUE"""),4.7315624E7)</f>
        <v>47315624</v>
      </c>
    </row>
    <row r="2251">
      <c r="A2251" s="2">
        <f>IFERROR(__xludf.DUMMYFUNCTION("""COMPUTED_VALUE"""),34639.666666666664)</f>
        <v>34639.66667</v>
      </c>
      <c r="B2251" s="1">
        <f>IFERROR(__xludf.DUMMYFUNCTION("""COMPUTED_VALUE"""),472.26)</f>
        <v>472.26</v>
      </c>
      <c r="C2251" s="1">
        <f>IFERROR(__xludf.DUMMYFUNCTION("""COMPUTED_VALUE"""),472.26)</f>
        <v>472.26</v>
      </c>
      <c r="D2251" s="1">
        <f>IFERROR(__xludf.DUMMYFUNCTION("""COMPUTED_VALUE"""),467.64)</f>
        <v>467.64</v>
      </c>
      <c r="E2251" s="1">
        <f>IFERROR(__xludf.DUMMYFUNCTION("""COMPUTED_VALUE"""),468.42)</f>
        <v>468.42</v>
      </c>
      <c r="F2251" s="1">
        <f>IFERROR(__xludf.DUMMYFUNCTION("""COMPUTED_VALUE"""),4.9209376E7)</f>
        <v>49209376</v>
      </c>
    </row>
    <row r="2252">
      <c r="A2252" s="2">
        <f>IFERROR(__xludf.DUMMYFUNCTION("""COMPUTED_VALUE"""),34640.666666666664)</f>
        <v>34640.66667</v>
      </c>
      <c r="B2252" s="1">
        <f>IFERROR(__xludf.DUMMYFUNCTION("""COMPUTED_VALUE"""),468.41)</f>
        <v>468.41</v>
      </c>
      <c r="C2252" s="1">
        <f>IFERROR(__xludf.DUMMYFUNCTION("""COMPUTED_VALUE"""),470.92)</f>
        <v>470.92</v>
      </c>
      <c r="D2252" s="1">
        <f>IFERROR(__xludf.DUMMYFUNCTION("""COMPUTED_VALUE"""),466.36)</f>
        <v>466.36</v>
      </c>
      <c r="E2252" s="1">
        <f>IFERROR(__xludf.DUMMYFUNCTION("""COMPUTED_VALUE"""),466.51)</f>
        <v>466.51</v>
      </c>
      <c r="F2252" s="1">
        <f>IFERROR(__xludf.DUMMYFUNCTION("""COMPUTED_VALUE"""),5.1775E7)</f>
        <v>51775000</v>
      </c>
    </row>
    <row r="2253">
      <c r="A2253" s="2">
        <f>IFERROR(__xludf.DUMMYFUNCTION("""COMPUTED_VALUE"""),34641.666666666664)</f>
        <v>34641.66667</v>
      </c>
      <c r="B2253" s="1">
        <f>IFERROR(__xludf.DUMMYFUNCTION("""COMPUTED_VALUE"""),466.5)</f>
        <v>466.5</v>
      </c>
      <c r="C2253" s="1">
        <f>IFERROR(__xludf.DUMMYFUNCTION("""COMPUTED_VALUE"""),468.64)</f>
        <v>468.64</v>
      </c>
      <c r="D2253" s="1">
        <f>IFERROR(__xludf.DUMMYFUNCTION("""COMPUTED_VALUE"""),466.4)</f>
        <v>466.4</v>
      </c>
      <c r="E2253" s="1">
        <f>IFERROR(__xludf.DUMMYFUNCTION("""COMPUTED_VALUE"""),467.91)</f>
        <v>467.91</v>
      </c>
      <c r="F2253" s="1">
        <f>IFERROR(__xludf.DUMMYFUNCTION("""COMPUTED_VALUE"""),4.4557812E7)</f>
        <v>44557812</v>
      </c>
    </row>
    <row r="2254">
      <c r="A2254" s="2">
        <f>IFERROR(__xludf.DUMMYFUNCTION("""COMPUTED_VALUE"""),34642.666666666664)</f>
        <v>34642.66667</v>
      </c>
      <c r="B2254" s="1">
        <f>IFERROR(__xludf.DUMMYFUNCTION("""COMPUTED_VALUE"""),467.96)</f>
        <v>467.96</v>
      </c>
      <c r="C2254" s="1">
        <f>IFERROR(__xludf.DUMMYFUNCTION("""COMPUTED_VALUE"""),469.28)</f>
        <v>469.28</v>
      </c>
      <c r="D2254" s="1">
        <f>IFERROR(__xludf.DUMMYFUNCTION("""COMPUTED_VALUE"""),462.28)</f>
        <v>462.28</v>
      </c>
      <c r="E2254" s="1">
        <f>IFERROR(__xludf.DUMMYFUNCTION("""COMPUTED_VALUE"""),462.28)</f>
        <v>462.28</v>
      </c>
      <c r="F2254" s="1">
        <f>IFERROR(__xludf.DUMMYFUNCTION("""COMPUTED_VALUE"""),4.38375E7)</f>
        <v>43837500</v>
      </c>
    </row>
    <row r="2255">
      <c r="A2255" s="2">
        <f>IFERROR(__xludf.DUMMYFUNCTION("""COMPUTED_VALUE"""),34645.666666666664)</f>
        <v>34645.66667</v>
      </c>
      <c r="B2255" s="1">
        <f>IFERROR(__xludf.DUMMYFUNCTION("""COMPUTED_VALUE"""),462.31)</f>
        <v>462.31</v>
      </c>
      <c r="C2255" s="1">
        <f>IFERROR(__xludf.DUMMYFUNCTION("""COMPUTED_VALUE"""),463.56)</f>
        <v>463.56</v>
      </c>
      <c r="D2255" s="1">
        <f>IFERROR(__xludf.DUMMYFUNCTION("""COMPUTED_VALUE"""),461.25)</f>
        <v>461.25</v>
      </c>
      <c r="E2255" s="1">
        <f>IFERROR(__xludf.DUMMYFUNCTION("""COMPUTED_VALUE"""),463.07)</f>
        <v>463.07</v>
      </c>
      <c r="F2255" s="1">
        <f>IFERROR(__xludf.DUMMYFUNCTION("""COMPUTED_VALUE"""),3.9848436E7)</f>
        <v>39848436</v>
      </c>
    </row>
    <row r="2256">
      <c r="A2256" s="2">
        <f>IFERROR(__xludf.DUMMYFUNCTION("""COMPUTED_VALUE"""),34646.666666666664)</f>
        <v>34646.66667</v>
      </c>
      <c r="B2256" s="1">
        <f>IFERROR(__xludf.DUMMYFUNCTION("""COMPUTED_VALUE"""),463.08)</f>
        <v>463.08</v>
      </c>
      <c r="C2256" s="1">
        <f>IFERROR(__xludf.DUMMYFUNCTION("""COMPUTED_VALUE"""),467.54)</f>
        <v>467.54</v>
      </c>
      <c r="D2256" s="1">
        <f>IFERROR(__xludf.DUMMYFUNCTION("""COMPUTED_VALUE"""),463.07)</f>
        <v>463.07</v>
      </c>
      <c r="E2256" s="1">
        <f>IFERROR(__xludf.DUMMYFUNCTION("""COMPUTED_VALUE"""),465.65)</f>
        <v>465.65</v>
      </c>
      <c r="F2256" s="1">
        <f>IFERROR(__xludf.DUMMYFUNCTION("""COMPUTED_VALUE"""),4.5446876E7)</f>
        <v>45446876</v>
      </c>
    </row>
    <row r="2257">
      <c r="A2257" s="2">
        <f>IFERROR(__xludf.DUMMYFUNCTION("""COMPUTED_VALUE"""),34647.666666666664)</f>
        <v>34647.66667</v>
      </c>
      <c r="B2257" s="1">
        <f>IFERROR(__xludf.DUMMYFUNCTION("""COMPUTED_VALUE"""),465.65)</f>
        <v>465.65</v>
      </c>
      <c r="C2257" s="1">
        <f>IFERROR(__xludf.DUMMYFUNCTION("""COMPUTED_VALUE"""),469.95)</f>
        <v>469.95</v>
      </c>
      <c r="D2257" s="1">
        <f>IFERROR(__xludf.DUMMYFUNCTION("""COMPUTED_VALUE"""),463.46)</f>
        <v>463.46</v>
      </c>
      <c r="E2257" s="1">
        <f>IFERROR(__xludf.DUMMYFUNCTION("""COMPUTED_VALUE"""),465.4)</f>
        <v>465.4</v>
      </c>
      <c r="F2257" s="1">
        <f>IFERROR(__xludf.DUMMYFUNCTION("""COMPUTED_VALUE"""),5.2778124E7)</f>
        <v>52778124</v>
      </c>
    </row>
    <row r="2258">
      <c r="A2258" s="2">
        <f>IFERROR(__xludf.DUMMYFUNCTION("""COMPUTED_VALUE"""),34648.666666666664)</f>
        <v>34648.66667</v>
      </c>
      <c r="B2258" s="1">
        <f>IFERROR(__xludf.DUMMYFUNCTION("""COMPUTED_VALUE"""),465.4)</f>
        <v>465.4</v>
      </c>
      <c r="C2258" s="1">
        <f>IFERROR(__xludf.DUMMYFUNCTION("""COMPUTED_VALUE"""),467.79)</f>
        <v>467.79</v>
      </c>
      <c r="D2258" s="1">
        <f>IFERROR(__xludf.DUMMYFUNCTION("""COMPUTED_VALUE"""),463.73)</f>
        <v>463.73</v>
      </c>
      <c r="E2258" s="1">
        <f>IFERROR(__xludf.DUMMYFUNCTION("""COMPUTED_VALUE"""),464.37)</f>
        <v>464.37</v>
      </c>
      <c r="F2258" s="1">
        <f>IFERROR(__xludf.DUMMYFUNCTION("""COMPUTED_VALUE"""),4.3892188E7)</f>
        <v>43892188</v>
      </c>
    </row>
    <row r="2259">
      <c r="A2259" s="2">
        <f>IFERROR(__xludf.DUMMYFUNCTION("""COMPUTED_VALUE"""),34649.666666666664)</f>
        <v>34649.66667</v>
      </c>
      <c r="B2259" s="1">
        <f>IFERROR(__xludf.DUMMYFUNCTION("""COMPUTED_VALUE"""),464.17)</f>
        <v>464.17</v>
      </c>
      <c r="C2259" s="1">
        <f>IFERROR(__xludf.DUMMYFUNCTION("""COMPUTED_VALUE"""),464.17)</f>
        <v>464.17</v>
      </c>
      <c r="D2259" s="1">
        <f>IFERROR(__xludf.DUMMYFUNCTION("""COMPUTED_VALUE"""),461.45)</f>
        <v>461.45</v>
      </c>
      <c r="E2259" s="1">
        <f>IFERROR(__xludf.DUMMYFUNCTION("""COMPUTED_VALUE"""),462.35)</f>
        <v>462.35</v>
      </c>
      <c r="F2259" s="1">
        <f>IFERROR(__xludf.DUMMYFUNCTION("""COMPUTED_VALUE"""),3.45E7)</f>
        <v>34500000</v>
      </c>
    </row>
    <row r="2260">
      <c r="A2260" s="2">
        <f>IFERROR(__xludf.DUMMYFUNCTION("""COMPUTED_VALUE"""),34652.666666666664)</f>
        <v>34652.66667</v>
      </c>
      <c r="B2260" s="1">
        <f>IFERROR(__xludf.DUMMYFUNCTION("""COMPUTED_VALUE"""),462.44)</f>
        <v>462.44</v>
      </c>
      <c r="C2260" s="1">
        <f>IFERROR(__xludf.DUMMYFUNCTION("""COMPUTED_VALUE"""),466.29)</f>
        <v>466.29</v>
      </c>
      <c r="D2260" s="1">
        <f>IFERROR(__xludf.DUMMYFUNCTION("""COMPUTED_VALUE"""),462.35)</f>
        <v>462.35</v>
      </c>
      <c r="E2260" s="1">
        <f>IFERROR(__xludf.DUMMYFUNCTION("""COMPUTED_VALUE"""),466.04)</f>
        <v>466.04</v>
      </c>
      <c r="F2260" s="1">
        <f>IFERROR(__xludf.DUMMYFUNCTION("""COMPUTED_VALUE"""),4.0684376E7)</f>
        <v>40684376</v>
      </c>
    </row>
    <row r="2261">
      <c r="A2261" s="2">
        <f>IFERROR(__xludf.DUMMYFUNCTION("""COMPUTED_VALUE"""),34653.666666666664)</f>
        <v>34653.66667</v>
      </c>
      <c r="B2261" s="1">
        <f>IFERROR(__xludf.DUMMYFUNCTION("""COMPUTED_VALUE"""),466.04)</f>
        <v>466.04</v>
      </c>
      <c r="C2261" s="1">
        <f>IFERROR(__xludf.DUMMYFUNCTION("""COMPUTED_VALUE"""),468.51)</f>
        <v>468.51</v>
      </c>
      <c r="D2261" s="1">
        <f>IFERROR(__xludf.DUMMYFUNCTION("""COMPUTED_VALUE"""),462.95)</f>
        <v>462.95</v>
      </c>
      <c r="E2261" s="1">
        <f>IFERROR(__xludf.DUMMYFUNCTION("""COMPUTED_VALUE"""),465.03)</f>
        <v>465.03</v>
      </c>
      <c r="F2261" s="1">
        <f>IFERROR(__xludf.DUMMYFUNCTION("""COMPUTED_VALUE"""),5.2570312E7)</f>
        <v>52570312</v>
      </c>
    </row>
    <row r="2262">
      <c r="A2262" s="2">
        <f>IFERROR(__xludf.DUMMYFUNCTION("""COMPUTED_VALUE"""),34654.666666666664)</f>
        <v>34654.66667</v>
      </c>
      <c r="B2262" s="1">
        <f>IFERROR(__xludf.DUMMYFUNCTION("""COMPUTED_VALUE"""),465.06)</f>
        <v>465.06</v>
      </c>
      <c r="C2262" s="1">
        <f>IFERROR(__xludf.DUMMYFUNCTION("""COMPUTED_VALUE"""),466.25)</f>
        <v>466.25</v>
      </c>
      <c r="D2262" s="1">
        <f>IFERROR(__xludf.DUMMYFUNCTION("""COMPUTED_VALUE"""),464.28)</f>
        <v>464.28</v>
      </c>
      <c r="E2262" s="1">
        <f>IFERROR(__xludf.DUMMYFUNCTION("""COMPUTED_VALUE"""),465.62)</f>
        <v>465.62</v>
      </c>
      <c r="F2262" s="1">
        <f>IFERROR(__xludf.DUMMYFUNCTION("""COMPUTED_VALUE"""),4.6403124E7)</f>
        <v>46403124</v>
      </c>
    </row>
    <row r="2263">
      <c r="A2263" s="2">
        <f>IFERROR(__xludf.DUMMYFUNCTION("""COMPUTED_VALUE"""),34655.666666666664)</f>
        <v>34655.66667</v>
      </c>
      <c r="B2263" s="1">
        <f>IFERROR(__xludf.DUMMYFUNCTION("""COMPUTED_VALUE"""),465.71)</f>
        <v>465.71</v>
      </c>
      <c r="C2263" s="1">
        <f>IFERROR(__xludf.DUMMYFUNCTION("""COMPUTED_VALUE"""),465.83)</f>
        <v>465.83</v>
      </c>
      <c r="D2263" s="1">
        <f>IFERROR(__xludf.DUMMYFUNCTION("""COMPUTED_VALUE"""),461.47)</f>
        <v>461.47</v>
      </c>
      <c r="E2263" s="1">
        <f>IFERROR(__xludf.DUMMYFUNCTION("""COMPUTED_VALUE"""),463.57)</f>
        <v>463.57</v>
      </c>
      <c r="F2263" s="1">
        <f>IFERROR(__xludf.DUMMYFUNCTION("""COMPUTED_VALUE"""),5.0498436E7)</f>
        <v>50498436</v>
      </c>
    </row>
    <row r="2264">
      <c r="A2264" s="2">
        <f>IFERROR(__xludf.DUMMYFUNCTION("""COMPUTED_VALUE"""),34656.666666666664)</f>
        <v>34656.66667</v>
      </c>
      <c r="B2264" s="1">
        <f>IFERROR(__xludf.DUMMYFUNCTION("""COMPUTED_VALUE"""),463.6)</f>
        <v>463.6</v>
      </c>
      <c r="C2264" s="1">
        <f>IFERROR(__xludf.DUMMYFUNCTION("""COMPUTED_VALUE"""),463.84)</f>
        <v>463.84</v>
      </c>
      <c r="D2264" s="1">
        <f>IFERROR(__xludf.DUMMYFUNCTION("""COMPUTED_VALUE"""),460.25)</f>
        <v>460.25</v>
      </c>
      <c r="E2264" s="1">
        <f>IFERROR(__xludf.DUMMYFUNCTION("""COMPUTED_VALUE"""),461.47)</f>
        <v>461.47</v>
      </c>
      <c r="F2264" s="1">
        <f>IFERROR(__xludf.DUMMYFUNCTION("""COMPUTED_VALUE"""),5.5739064E7)</f>
        <v>55739064</v>
      </c>
    </row>
    <row r="2265">
      <c r="A2265" s="2">
        <f>IFERROR(__xludf.DUMMYFUNCTION("""COMPUTED_VALUE"""),34659.666666666664)</f>
        <v>34659.66667</v>
      </c>
      <c r="B2265" s="1">
        <f>IFERROR(__xludf.DUMMYFUNCTION("""COMPUTED_VALUE"""),461.69)</f>
        <v>461.69</v>
      </c>
      <c r="C2265" s="1">
        <f>IFERROR(__xludf.DUMMYFUNCTION("""COMPUTED_VALUE"""),463.41)</f>
        <v>463.41</v>
      </c>
      <c r="D2265" s="1">
        <f>IFERROR(__xludf.DUMMYFUNCTION("""COMPUTED_VALUE"""),457.55)</f>
        <v>457.55</v>
      </c>
      <c r="E2265" s="1">
        <f>IFERROR(__xludf.DUMMYFUNCTION("""COMPUTED_VALUE"""),458.3)</f>
        <v>458.3</v>
      </c>
      <c r="F2265" s="1">
        <f>IFERROR(__xludf.DUMMYFUNCTION("""COMPUTED_VALUE"""),4.5785936E7)</f>
        <v>45785936</v>
      </c>
    </row>
    <row r="2266">
      <c r="A2266" s="2">
        <f>IFERROR(__xludf.DUMMYFUNCTION("""COMPUTED_VALUE"""),34660.666666666664)</f>
        <v>34660.66667</v>
      </c>
      <c r="B2266" s="1">
        <f>IFERROR(__xludf.DUMMYFUNCTION("""COMPUTED_VALUE"""),457.95)</f>
        <v>457.95</v>
      </c>
      <c r="C2266" s="1">
        <f>IFERROR(__xludf.DUMMYFUNCTION("""COMPUTED_VALUE"""),458.03)</f>
        <v>458.03</v>
      </c>
      <c r="D2266" s="1">
        <f>IFERROR(__xludf.DUMMYFUNCTION("""COMPUTED_VALUE"""),450.08)</f>
        <v>450.08</v>
      </c>
      <c r="E2266" s="1">
        <f>IFERROR(__xludf.DUMMYFUNCTION("""COMPUTED_VALUE"""),450.09)</f>
        <v>450.09</v>
      </c>
      <c r="F2266" s="1">
        <f>IFERROR(__xludf.DUMMYFUNCTION("""COMPUTED_VALUE"""),6.0510936E7)</f>
        <v>60510936</v>
      </c>
    </row>
    <row r="2267">
      <c r="A2267" s="2">
        <f>IFERROR(__xludf.DUMMYFUNCTION("""COMPUTED_VALUE"""),34661.666666666664)</f>
        <v>34661.66667</v>
      </c>
      <c r="B2267" s="1">
        <f>IFERROR(__xludf.DUMMYFUNCTION("""COMPUTED_VALUE"""),450.01)</f>
        <v>450.01</v>
      </c>
      <c r="C2267" s="1">
        <f>IFERROR(__xludf.DUMMYFUNCTION("""COMPUTED_VALUE"""),450.61)</f>
        <v>450.61</v>
      </c>
      <c r="D2267" s="1">
        <f>IFERROR(__xludf.DUMMYFUNCTION("""COMPUTED_VALUE"""),444.18)</f>
        <v>444.18</v>
      </c>
      <c r="E2267" s="1">
        <f>IFERROR(__xludf.DUMMYFUNCTION("""COMPUTED_VALUE"""),449.93)</f>
        <v>449.93</v>
      </c>
      <c r="F2267" s="1">
        <f>IFERROR(__xludf.DUMMYFUNCTION("""COMPUTED_VALUE"""),6.7306248E7)</f>
        <v>67306248</v>
      </c>
    </row>
    <row r="2268">
      <c r="A2268" s="2">
        <f>IFERROR(__xludf.DUMMYFUNCTION("""COMPUTED_VALUE"""),34662.666666666664)</f>
        <v>34662.66667</v>
      </c>
      <c r="B2268" s="1">
        <f>IFERROR(__xludf.DUMMYFUNCTION("""COMPUTED_VALUE"""),449.93)</f>
        <v>449.93</v>
      </c>
      <c r="C2268" s="1">
        <f>IFERROR(__xludf.DUMMYFUNCTION("""COMPUTED_VALUE"""),449.93)</f>
        <v>449.93</v>
      </c>
      <c r="D2268" s="1">
        <f>IFERROR(__xludf.DUMMYFUNCTION("""COMPUTED_VALUE"""),449.93)</f>
        <v>449.93</v>
      </c>
      <c r="E2268" s="1">
        <f>IFERROR(__xludf.DUMMYFUNCTION("""COMPUTED_VALUE"""),449.93)</f>
        <v>449.93</v>
      </c>
      <c r="F2268" s="1">
        <f>IFERROR(__xludf.DUMMYFUNCTION("""COMPUTED_VALUE"""),0.0)</f>
        <v>0</v>
      </c>
    </row>
    <row r="2269">
      <c r="A2269" s="2">
        <f>IFERROR(__xludf.DUMMYFUNCTION("""COMPUTED_VALUE"""),34663.666666666664)</f>
        <v>34663.66667</v>
      </c>
      <c r="B2269" s="1">
        <f>IFERROR(__xludf.DUMMYFUNCTION("""COMPUTED_VALUE"""),449.94)</f>
        <v>449.94</v>
      </c>
      <c r="C2269" s="1">
        <f>IFERROR(__xludf.DUMMYFUNCTION("""COMPUTED_VALUE"""),452.87)</f>
        <v>452.87</v>
      </c>
      <c r="D2269" s="1">
        <f>IFERROR(__xludf.DUMMYFUNCTION("""COMPUTED_VALUE"""),449.94)</f>
        <v>449.94</v>
      </c>
      <c r="E2269" s="1">
        <f>IFERROR(__xludf.DUMMYFUNCTION("""COMPUTED_VALUE"""),452.29)</f>
        <v>452.29</v>
      </c>
      <c r="F2269" s="1">
        <f>IFERROR(__xludf.DUMMYFUNCTION("""COMPUTED_VALUE"""),1.8482812E7)</f>
        <v>18482812</v>
      </c>
    </row>
    <row r="2270">
      <c r="A2270" s="2">
        <f>IFERROR(__xludf.DUMMYFUNCTION("""COMPUTED_VALUE"""),34666.666666666664)</f>
        <v>34666.66667</v>
      </c>
      <c r="B2270" s="1">
        <f>IFERROR(__xludf.DUMMYFUNCTION("""COMPUTED_VALUE"""),452.26)</f>
        <v>452.26</v>
      </c>
      <c r="C2270" s="1">
        <f>IFERROR(__xludf.DUMMYFUNCTION("""COMPUTED_VALUE"""),454.19)</f>
        <v>454.19</v>
      </c>
      <c r="D2270" s="1">
        <f>IFERROR(__xludf.DUMMYFUNCTION("""COMPUTED_VALUE"""),451.04)</f>
        <v>451.04</v>
      </c>
      <c r="E2270" s="1">
        <f>IFERROR(__xludf.DUMMYFUNCTION("""COMPUTED_VALUE"""),454.16)</f>
        <v>454.16</v>
      </c>
      <c r="F2270" s="1">
        <f>IFERROR(__xludf.DUMMYFUNCTION("""COMPUTED_VALUE"""),4.1481248E7)</f>
        <v>41481248</v>
      </c>
    </row>
    <row r="2271">
      <c r="A2271" s="2">
        <f>IFERROR(__xludf.DUMMYFUNCTION("""COMPUTED_VALUE"""),34667.666666666664)</f>
        <v>34667.66667</v>
      </c>
      <c r="B2271" s="1">
        <f>IFERROR(__xludf.DUMMYFUNCTION("""COMPUTED_VALUE"""),454.23)</f>
        <v>454.23</v>
      </c>
      <c r="C2271" s="1">
        <f>IFERROR(__xludf.DUMMYFUNCTION("""COMPUTED_VALUE"""),455.17)</f>
        <v>455.17</v>
      </c>
      <c r="D2271" s="1">
        <f>IFERROR(__xludf.DUMMYFUNCTION("""COMPUTED_VALUE"""),452.14)</f>
        <v>452.14</v>
      </c>
      <c r="E2271" s="1">
        <f>IFERROR(__xludf.DUMMYFUNCTION("""COMPUTED_VALUE"""),455.17)</f>
        <v>455.17</v>
      </c>
      <c r="F2271" s="1">
        <f>IFERROR(__xludf.DUMMYFUNCTION("""COMPUTED_VALUE"""),4.4784376E7)</f>
        <v>44784376</v>
      </c>
    </row>
    <row r="2272">
      <c r="A2272" s="2">
        <f>IFERROR(__xludf.DUMMYFUNCTION("""COMPUTED_VALUE"""),34668.666666666664)</f>
        <v>34668.66667</v>
      </c>
      <c r="B2272" s="1">
        <f>IFERROR(__xludf.DUMMYFUNCTION("""COMPUTED_VALUE"""),455.17)</f>
        <v>455.17</v>
      </c>
      <c r="C2272" s="1">
        <f>IFERROR(__xludf.DUMMYFUNCTION("""COMPUTED_VALUE"""),457.13)</f>
        <v>457.13</v>
      </c>
      <c r="D2272" s="1">
        <f>IFERROR(__xludf.DUMMYFUNCTION("""COMPUTED_VALUE"""),453.27)</f>
        <v>453.27</v>
      </c>
      <c r="E2272" s="1">
        <f>IFERROR(__xludf.DUMMYFUNCTION("""COMPUTED_VALUE"""),453.69)</f>
        <v>453.69</v>
      </c>
      <c r="F2272" s="1">
        <f>IFERROR(__xludf.DUMMYFUNCTION("""COMPUTED_VALUE"""),4.6664064E7)</f>
        <v>46664064</v>
      </c>
    </row>
    <row r="2273">
      <c r="A2273" s="2">
        <f>IFERROR(__xludf.DUMMYFUNCTION("""COMPUTED_VALUE"""),34669.666666666664)</f>
        <v>34669.66667</v>
      </c>
      <c r="B2273" s="1">
        <f>IFERROR(__xludf.DUMMYFUNCTION("""COMPUTED_VALUE"""),453.55)</f>
        <v>453.55</v>
      </c>
      <c r="C2273" s="1">
        <f>IFERROR(__xludf.DUMMYFUNCTION("""COMPUTED_VALUE"""),453.91)</f>
        <v>453.91</v>
      </c>
      <c r="D2273" s="1">
        <f>IFERROR(__xludf.DUMMYFUNCTION("""COMPUTED_VALUE"""),447.97)</f>
        <v>447.97</v>
      </c>
      <c r="E2273" s="1">
        <f>IFERROR(__xludf.DUMMYFUNCTION("""COMPUTED_VALUE"""),448.92)</f>
        <v>448.92</v>
      </c>
      <c r="F2273" s="1">
        <f>IFERROR(__xludf.DUMMYFUNCTION("""COMPUTED_VALUE"""),4.4675E7)</f>
        <v>44675000</v>
      </c>
    </row>
    <row r="2274">
      <c r="A2274" s="2">
        <f>IFERROR(__xludf.DUMMYFUNCTION("""COMPUTED_VALUE"""),34670.666666666664)</f>
        <v>34670.66667</v>
      </c>
      <c r="B2274" s="1">
        <f>IFERROR(__xludf.DUMMYFUNCTION("""COMPUTED_VALUE"""),448.92)</f>
        <v>448.92</v>
      </c>
      <c r="C2274" s="1">
        <f>IFERROR(__xludf.DUMMYFUNCTION("""COMPUTED_VALUE"""),453.31)</f>
        <v>453.31</v>
      </c>
      <c r="D2274" s="1">
        <f>IFERROR(__xludf.DUMMYFUNCTION("""COMPUTED_VALUE"""),448.0)</f>
        <v>448</v>
      </c>
      <c r="E2274" s="1">
        <f>IFERROR(__xludf.DUMMYFUNCTION("""COMPUTED_VALUE"""),453.3)</f>
        <v>453.3</v>
      </c>
      <c r="F2274" s="1">
        <f>IFERROR(__xludf.DUMMYFUNCTION("""COMPUTED_VALUE"""),4.4492188E7)</f>
        <v>44492188</v>
      </c>
    </row>
    <row r="2275">
      <c r="A2275" s="2">
        <f>IFERROR(__xludf.DUMMYFUNCTION("""COMPUTED_VALUE"""),34673.666666666664)</f>
        <v>34673.66667</v>
      </c>
      <c r="B2275" s="1">
        <f>IFERROR(__xludf.DUMMYFUNCTION("""COMPUTED_VALUE"""),453.3)</f>
        <v>453.3</v>
      </c>
      <c r="C2275" s="1">
        <f>IFERROR(__xludf.DUMMYFUNCTION("""COMPUTED_VALUE"""),455.04)</f>
        <v>455.04</v>
      </c>
      <c r="D2275" s="1">
        <f>IFERROR(__xludf.DUMMYFUNCTION("""COMPUTED_VALUE"""),452.06)</f>
        <v>452.06</v>
      </c>
      <c r="E2275" s="1">
        <f>IFERROR(__xludf.DUMMYFUNCTION("""COMPUTED_VALUE"""),453.32)</f>
        <v>453.32</v>
      </c>
      <c r="F2275" s="1">
        <f>IFERROR(__xludf.DUMMYFUNCTION("""COMPUTED_VALUE"""),4.0389064E7)</f>
        <v>40389064</v>
      </c>
    </row>
    <row r="2276">
      <c r="A2276" s="2">
        <f>IFERROR(__xludf.DUMMYFUNCTION("""COMPUTED_VALUE"""),34674.666666666664)</f>
        <v>34674.66667</v>
      </c>
      <c r="B2276" s="1">
        <f>IFERROR(__xludf.DUMMYFUNCTION("""COMPUTED_VALUE"""),453.29)</f>
        <v>453.29</v>
      </c>
      <c r="C2276" s="1">
        <f>IFERROR(__xludf.DUMMYFUNCTION("""COMPUTED_VALUE"""),453.93)</f>
        <v>453.93</v>
      </c>
      <c r="D2276" s="1">
        <f>IFERROR(__xludf.DUMMYFUNCTION("""COMPUTED_VALUE"""),450.35)</f>
        <v>450.35</v>
      </c>
      <c r="E2276" s="1">
        <f>IFERROR(__xludf.DUMMYFUNCTION("""COMPUTED_VALUE"""),453.11)</f>
        <v>453.11</v>
      </c>
      <c r="F2276" s="1">
        <f>IFERROR(__xludf.DUMMYFUNCTION("""COMPUTED_VALUE"""),4.6707812E7)</f>
        <v>46707812</v>
      </c>
    </row>
    <row r="2277">
      <c r="A2277" s="2">
        <f>IFERROR(__xludf.DUMMYFUNCTION("""COMPUTED_VALUE"""),34675.666666666664)</f>
        <v>34675.66667</v>
      </c>
      <c r="B2277" s="1">
        <f>IFERROR(__xludf.DUMMYFUNCTION("""COMPUTED_VALUE"""),453.11)</f>
        <v>453.11</v>
      </c>
      <c r="C2277" s="1">
        <f>IFERROR(__xludf.DUMMYFUNCTION("""COMPUTED_VALUE"""),453.11)</f>
        <v>453.11</v>
      </c>
      <c r="D2277" s="1">
        <f>IFERROR(__xludf.DUMMYFUNCTION("""COMPUTED_VALUE"""),450.01)</f>
        <v>450.01</v>
      </c>
      <c r="E2277" s="1">
        <f>IFERROR(__xludf.DUMMYFUNCTION("""COMPUTED_VALUE"""),451.23)</f>
        <v>451.23</v>
      </c>
      <c r="F2277" s="1">
        <f>IFERROR(__xludf.DUMMYFUNCTION("""COMPUTED_VALUE"""),4.4295312E7)</f>
        <v>44295312</v>
      </c>
    </row>
    <row r="2278">
      <c r="A2278" s="2">
        <f>IFERROR(__xludf.DUMMYFUNCTION("""COMPUTED_VALUE"""),34676.666666666664)</f>
        <v>34676.66667</v>
      </c>
      <c r="B2278" s="1">
        <f>IFERROR(__xludf.DUMMYFUNCTION("""COMPUTED_VALUE"""),451.23)</f>
        <v>451.23</v>
      </c>
      <c r="C2278" s="1">
        <f>IFERROR(__xludf.DUMMYFUNCTION("""COMPUTED_VALUE"""),452.06)</f>
        <v>452.06</v>
      </c>
      <c r="D2278" s="1">
        <f>IFERROR(__xludf.DUMMYFUNCTION("""COMPUTED_VALUE"""),444.59)</f>
        <v>444.59</v>
      </c>
      <c r="E2278" s="1">
        <f>IFERROR(__xludf.DUMMYFUNCTION("""COMPUTED_VALUE"""),445.45)</f>
        <v>445.45</v>
      </c>
      <c r="F2278" s="1">
        <f>IFERROR(__xludf.DUMMYFUNCTION("""COMPUTED_VALUE"""),5.6607812E7)</f>
        <v>56607812</v>
      </c>
    </row>
    <row r="2279">
      <c r="A2279" s="2">
        <f>IFERROR(__xludf.DUMMYFUNCTION("""COMPUTED_VALUE"""),34677.666666666664)</f>
        <v>34677.66667</v>
      </c>
      <c r="B2279" s="1">
        <f>IFERROR(__xludf.DUMMYFUNCTION("""COMPUTED_VALUE"""),445.45)</f>
        <v>445.45</v>
      </c>
      <c r="C2279" s="1">
        <f>IFERROR(__xludf.DUMMYFUNCTION("""COMPUTED_VALUE"""),446.98)</f>
        <v>446.98</v>
      </c>
      <c r="D2279" s="1">
        <f>IFERROR(__xludf.DUMMYFUNCTION("""COMPUTED_VALUE"""),442.88)</f>
        <v>442.88</v>
      </c>
      <c r="E2279" s="1">
        <f>IFERROR(__xludf.DUMMYFUNCTION("""COMPUTED_VALUE"""),446.96)</f>
        <v>446.96</v>
      </c>
      <c r="F2279" s="1">
        <f>IFERROR(__xludf.DUMMYFUNCTION("""COMPUTED_VALUE"""),5.2568752E7)</f>
        <v>52568752</v>
      </c>
    </row>
    <row r="2280">
      <c r="A2280" s="2">
        <f>IFERROR(__xludf.DUMMYFUNCTION("""COMPUTED_VALUE"""),34680.666666666664)</f>
        <v>34680.66667</v>
      </c>
      <c r="B2280" s="1">
        <f>IFERROR(__xludf.DUMMYFUNCTION("""COMPUTED_VALUE"""),446.95)</f>
        <v>446.95</v>
      </c>
      <c r="C2280" s="1">
        <f>IFERROR(__xludf.DUMMYFUNCTION("""COMPUTED_VALUE"""),449.48)</f>
        <v>449.48</v>
      </c>
      <c r="D2280" s="1">
        <f>IFERROR(__xludf.DUMMYFUNCTION("""COMPUTED_VALUE"""),445.62)</f>
        <v>445.62</v>
      </c>
      <c r="E2280" s="1">
        <f>IFERROR(__xludf.DUMMYFUNCTION("""COMPUTED_VALUE"""),449.47)</f>
        <v>449.47</v>
      </c>
      <c r="F2280" s="1">
        <f>IFERROR(__xludf.DUMMYFUNCTION("""COMPUTED_VALUE"""),4.4645312E7)</f>
        <v>44645312</v>
      </c>
    </row>
    <row r="2281">
      <c r="A2281" s="2">
        <f>IFERROR(__xludf.DUMMYFUNCTION("""COMPUTED_VALUE"""),34681.666666666664)</f>
        <v>34681.66667</v>
      </c>
      <c r="B2281" s="1">
        <f>IFERROR(__xludf.DUMMYFUNCTION("""COMPUTED_VALUE"""),449.52)</f>
        <v>449.52</v>
      </c>
      <c r="C2281" s="1">
        <f>IFERROR(__xludf.DUMMYFUNCTION("""COMPUTED_VALUE"""),451.69)</f>
        <v>451.69</v>
      </c>
      <c r="D2281" s="1">
        <f>IFERROR(__xludf.DUMMYFUNCTION("""COMPUTED_VALUE"""),449.43)</f>
        <v>449.43</v>
      </c>
      <c r="E2281" s="1">
        <f>IFERROR(__xludf.DUMMYFUNCTION("""COMPUTED_VALUE"""),450.15)</f>
        <v>450.15</v>
      </c>
      <c r="F2281" s="1">
        <f>IFERROR(__xludf.DUMMYFUNCTION("""COMPUTED_VALUE"""),4.7985936E7)</f>
        <v>47985936</v>
      </c>
    </row>
    <row r="2282">
      <c r="A2282" s="2">
        <f>IFERROR(__xludf.DUMMYFUNCTION("""COMPUTED_VALUE"""),34682.666666666664)</f>
        <v>34682.66667</v>
      </c>
      <c r="B2282" s="1">
        <f>IFERROR(__xludf.DUMMYFUNCTION("""COMPUTED_VALUE"""),450.05)</f>
        <v>450.05</v>
      </c>
      <c r="C2282" s="1">
        <f>IFERROR(__xludf.DUMMYFUNCTION("""COMPUTED_VALUE"""),456.16)</f>
        <v>456.16</v>
      </c>
      <c r="D2282" s="1">
        <f>IFERROR(__xludf.DUMMYFUNCTION("""COMPUTED_VALUE"""),450.05)</f>
        <v>450.05</v>
      </c>
      <c r="E2282" s="1">
        <f>IFERROR(__xludf.DUMMYFUNCTION("""COMPUTED_VALUE"""),454.97)</f>
        <v>454.97</v>
      </c>
      <c r="F2282" s="1">
        <f>IFERROR(__xludf.DUMMYFUNCTION("""COMPUTED_VALUE"""),5.5468752E7)</f>
        <v>55468752</v>
      </c>
    </row>
    <row r="2283">
      <c r="A2283" s="2">
        <f>IFERROR(__xludf.DUMMYFUNCTION("""COMPUTED_VALUE"""),34683.666666666664)</f>
        <v>34683.66667</v>
      </c>
      <c r="B2283" s="1">
        <f>IFERROR(__xludf.DUMMYFUNCTION("""COMPUTED_VALUE"""),454.97)</f>
        <v>454.97</v>
      </c>
      <c r="C2283" s="1">
        <f>IFERROR(__xludf.DUMMYFUNCTION("""COMPUTED_VALUE"""),456.84)</f>
        <v>456.84</v>
      </c>
      <c r="D2283" s="1">
        <f>IFERROR(__xludf.DUMMYFUNCTION("""COMPUTED_VALUE"""),454.5)</f>
        <v>454.5</v>
      </c>
      <c r="E2283" s="1">
        <f>IFERROR(__xludf.DUMMYFUNCTION("""COMPUTED_VALUE"""),455.34)</f>
        <v>455.34</v>
      </c>
      <c r="F2283" s="1">
        <f>IFERROR(__xludf.DUMMYFUNCTION("""COMPUTED_VALUE"""),5.1998436E7)</f>
        <v>51998436</v>
      </c>
    </row>
    <row r="2284">
      <c r="A2284" s="2">
        <f>IFERROR(__xludf.DUMMYFUNCTION("""COMPUTED_VALUE"""),34684.666666666664)</f>
        <v>34684.66667</v>
      </c>
      <c r="B2284" s="1">
        <f>IFERROR(__xludf.DUMMYFUNCTION("""COMPUTED_VALUE"""),455.35)</f>
        <v>455.35</v>
      </c>
      <c r="C2284" s="1">
        <f>IFERROR(__xludf.DUMMYFUNCTION("""COMPUTED_VALUE"""),458.8)</f>
        <v>458.8</v>
      </c>
      <c r="D2284" s="1">
        <f>IFERROR(__xludf.DUMMYFUNCTION("""COMPUTED_VALUE"""),455.35)</f>
        <v>455.35</v>
      </c>
      <c r="E2284" s="1">
        <f>IFERROR(__xludf.DUMMYFUNCTION("""COMPUTED_VALUE"""),458.8)</f>
        <v>458.8</v>
      </c>
      <c r="F2284" s="1">
        <f>IFERROR(__xludf.DUMMYFUNCTION("""COMPUTED_VALUE"""),7.5290624E7)</f>
        <v>75290624</v>
      </c>
    </row>
    <row r="2285">
      <c r="A2285" s="2">
        <f>IFERROR(__xludf.DUMMYFUNCTION("""COMPUTED_VALUE"""),34687.666666666664)</f>
        <v>34687.66667</v>
      </c>
      <c r="B2285" s="1">
        <f>IFERROR(__xludf.DUMMYFUNCTION("""COMPUTED_VALUE"""),458.78)</f>
        <v>458.78</v>
      </c>
      <c r="C2285" s="1">
        <f>IFERROR(__xludf.DUMMYFUNCTION("""COMPUTED_VALUE"""),458.78)</f>
        <v>458.78</v>
      </c>
      <c r="D2285" s="1">
        <f>IFERROR(__xludf.DUMMYFUNCTION("""COMPUTED_VALUE"""),456.64)</f>
        <v>456.64</v>
      </c>
      <c r="E2285" s="1">
        <f>IFERROR(__xludf.DUMMYFUNCTION("""COMPUTED_VALUE"""),457.91)</f>
        <v>457.91</v>
      </c>
      <c r="F2285" s="1">
        <f>IFERROR(__xludf.DUMMYFUNCTION("""COMPUTED_VALUE"""),4.2476564E7)</f>
        <v>42476564</v>
      </c>
    </row>
    <row r="2286">
      <c r="A2286" s="2">
        <f>IFERROR(__xludf.DUMMYFUNCTION("""COMPUTED_VALUE"""),34688.666666666664)</f>
        <v>34688.66667</v>
      </c>
      <c r="B2286" s="1">
        <f>IFERROR(__xludf.DUMMYFUNCTION("""COMPUTED_VALUE"""),458.08)</f>
        <v>458.08</v>
      </c>
      <c r="C2286" s="1">
        <f>IFERROR(__xludf.DUMMYFUNCTION("""COMPUTED_VALUE"""),458.45)</f>
        <v>458.45</v>
      </c>
      <c r="D2286" s="1">
        <f>IFERROR(__xludf.DUMMYFUNCTION("""COMPUTED_VALUE"""),456.37)</f>
        <v>456.37</v>
      </c>
      <c r="E2286" s="1">
        <f>IFERROR(__xludf.DUMMYFUNCTION("""COMPUTED_VALUE"""),457.1)</f>
        <v>457.1</v>
      </c>
      <c r="F2286" s="1">
        <f>IFERROR(__xludf.DUMMYFUNCTION("""COMPUTED_VALUE"""),5.1020312E7)</f>
        <v>51020312</v>
      </c>
    </row>
    <row r="2287">
      <c r="A2287" s="2">
        <f>IFERROR(__xludf.DUMMYFUNCTION("""COMPUTED_VALUE"""),34689.666666666664)</f>
        <v>34689.66667</v>
      </c>
      <c r="B2287" s="1">
        <f>IFERROR(__xludf.DUMMYFUNCTION("""COMPUTED_VALUE"""),457.24)</f>
        <v>457.24</v>
      </c>
      <c r="C2287" s="1">
        <f>IFERROR(__xludf.DUMMYFUNCTION("""COMPUTED_VALUE"""),461.7)</f>
        <v>461.7</v>
      </c>
      <c r="D2287" s="1">
        <f>IFERROR(__xludf.DUMMYFUNCTION("""COMPUTED_VALUE"""),457.17)</f>
        <v>457.17</v>
      </c>
      <c r="E2287" s="1">
        <f>IFERROR(__xludf.DUMMYFUNCTION("""COMPUTED_VALUE"""),459.61)</f>
        <v>459.61</v>
      </c>
      <c r="F2287" s="1">
        <f>IFERROR(__xludf.DUMMYFUNCTION("""COMPUTED_VALUE"""),5.9239064E7)</f>
        <v>59239064</v>
      </c>
    </row>
    <row r="2288">
      <c r="A2288" s="2">
        <f>IFERROR(__xludf.DUMMYFUNCTION("""COMPUTED_VALUE"""),34690.666666666664)</f>
        <v>34690.66667</v>
      </c>
      <c r="B2288" s="1">
        <f>IFERROR(__xludf.DUMMYFUNCTION("""COMPUTED_VALUE"""),459.62)</f>
        <v>459.62</v>
      </c>
      <c r="C2288" s="1">
        <f>IFERROR(__xludf.DUMMYFUNCTION("""COMPUTED_VALUE"""),461.21)</f>
        <v>461.21</v>
      </c>
      <c r="D2288" s="1">
        <f>IFERROR(__xludf.DUMMYFUNCTION("""COMPUTED_VALUE"""),459.33)</f>
        <v>459.33</v>
      </c>
      <c r="E2288" s="1">
        <f>IFERROR(__xludf.DUMMYFUNCTION("""COMPUTED_VALUE"""),459.68)</f>
        <v>459.68</v>
      </c>
      <c r="F2288" s="1">
        <f>IFERROR(__xludf.DUMMYFUNCTION("""COMPUTED_VALUE"""),5.3176564E7)</f>
        <v>53176564</v>
      </c>
    </row>
    <row r="2289">
      <c r="A2289" s="2">
        <f>IFERROR(__xludf.DUMMYFUNCTION("""COMPUTED_VALUE"""),34691.666666666664)</f>
        <v>34691.66667</v>
      </c>
      <c r="B2289" s="1">
        <f>IFERROR(__xludf.DUMMYFUNCTION("""COMPUTED_VALUE"""),459.7)</f>
        <v>459.7</v>
      </c>
      <c r="C2289" s="1">
        <f>IFERROR(__xludf.DUMMYFUNCTION("""COMPUTED_VALUE"""),461.32)</f>
        <v>461.32</v>
      </c>
      <c r="D2289" s="1">
        <f>IFERROR(__xludf.DUMMYFUNCTION("""COMPUTED_VALUE"""),459.39)</f>
        <v>459.39</v>
      </c>
      <c r="E2289" s="1">
        <f>IFERROR(__xludf.DUMMYFUNCTION("""COMPUTED_VALUE"""),459.83)</f>
        <v>459.83</v>
      </c>
      <c r="F2289" s="1">
        <f>IFERROR(__xludf.DUMMYFUNCTION("""COMPUTED_VALUE"""),3.0709376E7)</f>
        <v>30709376</v>
      </c>
    </row>
    <row r="2290">
      <c r="A2290" s="2">
        <f>IFERROR(__xludf.DUMMYFUNCTION("""COMPUTED_VALUE"""),34695.666666666664)</f>
        <v>34695.66667</v>
      </c>
      <c r="B2290" s="1">
        <f>IFERROR(__xludf.DUMMYFUNCTION("""COMPUTED_VALUE"""),459.85)</f>
        <v>459.85</v>
      </c>
      <c r="C2290" s="1">
        <f>IFERROR(__xludf.DUMMYFUNCTION("""COMPUTED_VALUE"""),462.73)</f>
        <v>462.73</v>
      </c>
      <c r="D2290" s="1">
        <f>IFERROR(__xludf.DUMMYFUNCTION("""COMPUTED_VALUE"""),459.85)</f>
        <v>459.85</v>
      </c>
      <c r="E2290" s="1">
        <f>IFERROR(__xludf.DUMMYFUNCTION("""COMPUTED_VALUE"""),462.47)</f>
        <v>462.47</v>
      </c>
      <c r="F2290" s="1">
        <f>IFERROR(__xludf.DUMMYFUNCTION("""COMPUTED_VALUE"""),3.2996876E7)</f>
        <v>32996876</v>
      </c>
    </row>
    <row r="2291">
      <c r="A2291" s="2">
        <f>IFERROR(__xludf.DUMMYFUNCTION("""COMPUTED_VALUE"""),34696.666666666664)</f>
        <v>34696.66667</v>
      </c>
      <c r="B2291" s="1">
        <f>IFERROR(__xludf.DUMMYFUNCTION("""COMPUTED_VALUE"""),462.47)</f>
        <v>462.47</v>
      </c>
      <c r="C2291" s="1">
        <f>IFERROR(__xludf.DUMMYFUNCTION("""COMPUTED_VALUE"""),462.49)</f>
        <v>462.49</v>
      </c>
      <c r="D2291" s="1">
        <f>IFERROR(__xludf.DUMMYFUNCTION("""COMPUTED_VALUE"""),459.0)</f>
        <v>459</v>
      </c>
      <c r="E2291" s="1">
        <f>IFERROR(__xludf.DUMMYFUNCTION("""COMPUTED_VALUE"""),460.86)</f>
        <v>460.86</v>
      </c>
      <c r="F2291" s="1">
        <f>IFERROR(__xludf.DUMMYFUNCTION("""COMPUTED_VALUE"""),3.8478124E7)</f>
        <v>38478124</v>
      </c>
    </row>
    <row r="2292">
      <c r="A2292" s="2">
        <f>IFERROR(__xludf.DUMMYFUNCTION("""COMPUTED_VALUE"""),34697.666666666664)</f>
        <v>34697.66667</v>
      </c>
      <c r="B2292" s="1">
        <f>IFERROR(__xludf.DUMMYFUNCTION("""COMPUTED_VALUE"""),460.92)</f>
        <v>460.92</v>
      </c>
      <c r="C2292" s="1">
        <f>IFERROR(__xludf.DUMMYFUNCTION("""COMPUTED_VALUE"""),461.81)</f>
        <v>461.81</v>
      </c>
      <c r="D2292" s="1">
        <f>IFERROR(__xludf.DUMMYFUNCTION("""COMPUTED_VALUE"""),460.36)</f>
        <v>460.36</v>
      </c>
      <c r="E2292" s="1">
        <f>IFERROR(__xludf.DUMMYFUNCTION("""COMPUTED_VALUE"""),461.17)</f>
        <v>461.17</v>
      </c>
      <c r="F2292" s="1">
        <f>IFERROR(__xludf.DUMMYFUNCTION("""COMPUTED_VALUE"""),3.9164064E7)</f>
        <v>39164064</v>
      </c>
    </row>
    <row r="2293">
      <c r="A2293" s="2">
        <f>IFERROR(__xludf.DUMMYFUNCTION("""COMPUTED_VALUE"""),34698.666666666664)</f>
        <v>34698.66667</v>
      </c>
      <c r="B2293" s="1">
        <f>IFERROR(__xludf.DUMMYFUNCTION("""COMPUTED_VALUE"""),461.17)</f>
        <v>461.17</v>
      </c>
      <c r="C2293" s="1">
        <f>IFERROR(__xludf.DUMMYFUNCTION("""COMPUTED_VALUE"""),462.12)</f>
        <v>462.12</v>
      </c>
      <c r="D2293" s="1">
        <f>IFERROR(__xludf.DUMMYFUNCTION("""COMPUTED_VALUE"""),459.24)</f>
        <v>459.24</v>
      </c>
      <c r="E2293" s="1">
        <f>IFERROR(__xludf.DUMMYFUNCTION("""COMPUTED_VALUE"""),459.27)</f>
        <v>459.27</v>
      </c>
      <c r="F2293" s="1">
        <f>IFERROR(__xludf.DUMMYFUNCTION("""COMPUTED_VALUE"""),4.0040624E7)</f>
        <v>40040624</v>
      </c>
    </row>
    <row r="2294">
      <c r="A2294" s="2">
        <f>IFERROR(__xludf.DUMMYFUNCTION("""COMPUTED_VALUE"""),34702.666666666664)</f>
        <v>34702.66667</v>
      </c>
      <c r="B2294" s="1">
        <f>IFERROR(__xludf.DUMMYFUNCTION("""COMPUTED_VALUE"""),459.21)</f>
        <v>459.21</v>
      </c>
      <c r="C2294" s="1">
        <f>IFERROR(__xludf.DUMMYFUNCTION("""COMPUTED_VALUE"""),459.27)</f>
        <v>459.27</v>
      </c>
      <c r="D2294" s="1">
        <f>IFERROR(__xludf.DUMMYFUNCTION("""COMPUTED_VALUE"""),457.2)</f>
        <v>457.2</v>
      </c>
      <c r="E2294" s="1">
        <f>IFERROR(__xludf.DUMMYFUNCTION("""COMPUTED_VALUE"""),459.11)</f>
        <v>459.11</v>
      </c>
      <c r="F2294" s="1">
        <f>IFERROR(__xludf.DUMMYFUNCTION("""COMPUTED_VALUE"""),4.1007812E7)</f>
        <v>41007812</v>
      </c>
    </row>
    <row r="2295">
      <c r="A2295" s="2">
        <f>IFERROR(__xludf.DUMMYFUNCTION("""COMPUTED_VALUE"""),34703.666666666664)</f>
        <v>34703.66667</v>
      </c>
      <c r="B2295" s="1">
        <f>IFERROR(__xludf.DUMMYFUNCTION("""COMPUTED_VALUE"""),459.13)</f>
        <v>459.13</v>
      </c>
      <c r="C2295" s="1">
        <f>IFERROR(__xludf.DUMMYFUNCTION("""COMPUTED_VALUE"""),460.72)</f>
        <v>460.72</v>
      </c>
      <c r="D2295" s="1">
        <f>IFERROR(__xludf.DUMMYFUNCTION("""COMPUTED_VALUE"""),457.56)</f>
        <v>457.56</v>
      </c>
      <c r="E2295" s="1">
        <f>IFERROR(__xludf.DUMMYFUNCTION("""COMPUTED_VALUE"""),460.71)</f>
        <v>460.71</v>
      </c>
      <c r="F2295" s="1">
        <f>IFERROR(__xludf.DUMMYFUNCTION("""COMPUTED_VALUE"""),4.9923436E7)</f>
        <v>49923436</v>
      </c>
    </row>
    <row r="2296">
      <c r="A2296" s="2">
        <f>IFERROR(__xludf.DUMMYFUNCTION("""COMPUTED_VALUE"""),34704.666666666664)</f>
        <v>34704.66667</v>
      </c>
      <c r="B2296" s="1">
        <f>IFERROR(__xludf.DUMMYFUNCTION("""COMPUTED_VALUE"""),460.73)</f>
        <v>460.73</v>
      </c>
      <c r="C2296" s="1">
        <f>IFERROR(__xludf.DUMMYFUNCTION("""COMPUTED_VALUE"""),461.3)</f>
        <v>461.3</v>
      </c>
      <c r="D2296" s="1">
        <f>IFERROR(__xludf.DUMMYFUNCTION("""COMPUTED_VALUE"""),459.75)</f>
        <v>459.75</v>
      </c>
      <c r="E2296" s="1">
        <f>IFERROR(__xludf.DUMMYFUNCTION("""COMPUTED_VALUE"""),460.34)</f>
        <v>460.34</v>
      </c>
      <c r="F2296" s="1">
        <f>IFERROR(__xludf.DUMMYFUNCTION("""COMPUTED_VALUE"""),4.8289064E7)</f>
        <v>48289064</v>
      </c>
    </row>
    <row r="2297">
      <c r="A2297" s="2">
        <f>IFERROR(__xludf.DUMMYFUNCTION("""COMPUTED_VALUE"""),34705.666666666664)</f>
        <v>34705.66667</v>
      </c>
      <c r="B2297" s="1">
        <f>IFERROR(__xludf.DUMMYFUNCTION("""COMPUTED_VALUE"""),460.38)</f>
        <v>460.38</v>
      </c>
      <c r="C2297" s="1">
        <f>IFERROR(__xludf.DUMMYFUNCTION("""COMPUTED_VALUE"""),462.49)</f>
        <v>462.49</v>
      </c>
      <c r="D2297" s="1">
        <f>IFERROR(__xludf.DUMMYFUNCTION("""COMPUTED_VALUE"""),459.47)</f>
        <v>459.47</v>
      </c>
      <c r="E2297" s="1">
        <f>IFERROR(__xludf.DUMMYFUNCTION("""COMPUTED_VALUE"""),460.68)</f>
        <v>460.68</v>
      </c>
      <c r="F2297" s="1">
        <f>IFERROR(__xludf.DUMMYFUNCTION("""COMPUTED_VALUE"""),4.8135936E7)</f>
        <v>48135936</v>
      </c>
    </row>
    <row r="2298">
      <c r="A2298" s="2">
        <f>IFERROR(__xludf.DUMMYFUNCTION("""COMPUTED_VALUE"""),34708.666666666664)</f>
        <v>34708.66667</v>
      </c>
      <c r="B2298" s="1">
        <f>IFERROR(__xludf.DUMMYFUNCTION("""COMPUTED_VALUE"""),460.67)</f>
        <v>460.67</v>
      </c>
      <c r="C2298" s="1">
        <f>IFERROR(__xludf.DUMMYFUNCTION("""COMPUTED_VALUE"""),461.77)</f>
        <v>461.77</v>
      </c>
      <c r="D2298" s="1">
        <f>IFERROR(__xludf.DUMMYFUNCTION("""COMPUTED_VALUE"""),459.74)</f>
        <v>459.74</v>
      </c>
      <c r="E2298" s="1">
        <f>IFERROR(__xludf.DUMMYFUNCTION("""COMPUTED_VALUE"""),460.83)</f>
        <v>460.83</v>
      </c>
      <c r="F2298" s="1">
        <f>IFERROR(__xludf.DUMMYFUNCTION("""COMPUTED_VALUE"""),4.3560936E7)</f>
        <v>43560936</v>
      </c>
    </row>
    <row r="2299">
      <c r="A2299" s="2">
        <f>IFERROR(__xludf.DUMMYFUNCTION("""COMPUTED_VALUE"""),34709.666666666664)</f>
        <v>34709.66667</v>
      </c>
      <c r="B2299" s="1">
        <f>IFERROR(__xludf.DUMMYFUNCTION("""COMPUTED_VALUE"""),460.9)</f>
        <v>460.9</v>
      </c>
      <c r="C2299" s="1">
        <f>IFERROR(__xludf.DUMMYFUNCTION("""COMPUTED_VALUE"""),464.59)</f>
        <v>464.59</v>
      </c>
      <c r="D2299" s="1">
        <f>IFERROR(__xludf.DUMMYFUNCTION("""COMPUTED_VALUE"""),460.9)</f>
        <v>460.9</v>
      </c>
      <c r="E2299" s="1">
        <f>IFERROR(__xludf.DUMMYFUNCTION("""COMPUTED_VALUE"""),461.68)</f>
        <v>461.68</v>
      </c>
      <c r="F2299" s="1">
        <f>IFERROR(__xludf.DUMMYFUNCTION("""COMPUTED_VALUE"""),5.5070312E7)</f>
        <v>55070312</v>
      </c>
    </row>
    <row r="2300">
      <c r="A2300" s="2">
        <f>IFERROR(__xludf.DUMMYFUNCTION("""COMPUTED_VALUE"""),34710.666666666664)</f>
        <v>34710.66667</v>
      </c>
      <c r="B2300" s="1">
        <f>IFERROR(__xludf.DUMMYFUNCTION("""COMPUTED_VALUE"""),461.68)</f>
        <v>461.68</v>
      </c>
      <c r="C2300" s="1">
        <f>IFERROR(__xludf.DUMMYFUNCTION("""COMPUTED_VALUE"""),463.61)</f>
        <v>463.61</v>
      </c>
      <c r="D2300" s="1">
        <f>IFERROR(__xludf.DUMMYFUNCTION("""COMPUTED_VALUE"""),458.65)</f>
        <v>458.65</v>
      </c>
      <c r="E2300" s="1">
        <f>IFERROR(__xludf.DUMMYFUNCTION("""COMPUTED_VALUE"""),461.66)</f>
        <v>461.66</v>
      </c>
      <c r="F2300" s="1">
        <f>IFERROR(__xludf.DUMMYFUNCTION("""COMPUTED_VALUE"""),5.4110936E7)</f>
        <v>54110936</v>
      </c>
    </row>
    <row r="2301">
      <c r="A2301" s="2">
        <f>IFERROR(__xludf.DUMMYFUNCTION("""COMPUTED_VALUE"""),34711.666666666664)</f>
        <v>34711.66667</v>
      </c>
      <c r="B2301" s="1">
        <f>IFERROR(__xludf.DUMMYFUNCTION("""COMPUTED_VALUE"""),461.64)</f>
        <v>461.64</v>
      </c>
      <c r="C2301" s="1">
        <f>IFERROR(__xludf.DUMMYFUNCTION("""COMPUTED_VALUE"""),461.93)</f>
        <v>461.93</v>
      </c>
      <c r="D2301" s="1">
        <f>IFERROR(__xludf.DUMMYFUNCTION("""COMPUTED_VALUE"""),460.63)</f>
        <v>460.63</v>
      </c>
      <c r="E2301" s="1">
        <f>IFERROR(__xludf.DUMMYFUNCTION("""COMPUTED_VALUE"""),461.64)</f>
        <v>461.64</v>
      </c>
      <c r="F2301" s="1">
        <f>IFERROR(__xludf.DUMMYFUNCTION("""COMPUTED_VALUE"""),4.89125E7)</f>
        <v>48912500</v>
      </c>
    </row>
    <row r="2302">
      <c r="A2302" s="2">
        <f>IFERROR(__xludf.DUMMYFUNCTION("""COMPUTED_VALUE"""),34712.666666666664)</f>
        <v>34712.66667</v>
      </c>
      <c r="B2302" s="1">
        <f>IFERROR(__xludf.DUMMYFUNCTION("""COMPUTED_VALUE"""),461.64)</f>
        <v>461.64</v>
      </c>
      <c r="C2302" s="1">
        <f>IFERROR(__xludf.DUMMYFUNCTION("""COMPUTED_VALUE"""),466.43)</f>
        <v>466.43</v>
      </c>
      <c r="D2302" s="1">
        <f>IFERROR(__xludf.DUMMYFUNCTION("""COMPUTED_VALUE"""),461.64)</f>
        <v>461.64</v>
      </c>
      <c r="E2302" s="1">
        <f>IFERROR(__xludf.DUMMYFUNCTION("""COMPUTED_VALUE"""),465.97)</f>
        <v>465.97</v>
      </c>
      <c r="F2302" s="1">
        <f>IFERROR(__xludf.DUMMYFUNCTION("""COMPUTED_VALUE"""),5.2615624E7)</f>
        <v>52615624</v>
      </c>
    </row>
    <row r="2303">
      <c r="A2303" s="2">
        <f>IFERROR(__xludf.DUMMYFUNCTION("""COMPUTED_VALUE"""),34715.666666666664)</f>
        <v>34715.66667</v>
      </c>
      <c r="B2303" s="1">
        <f>IFERROR(__xludf.DUMMYFUNCTION("""COMPUTED_VALUE"""),465.97)</f>
        <v>465.97</v>
      </c>
      <c r="C2303" s="1">
        <f>IFERROR(__xludf.DUMMYFUNCTION("""COMPUTED_VALUE"""),470.39)</f>
        <v>470.39</v>
      </c>
      <c r="D2303" s="1">
        <f>IFERROR(__xludf.DUMMYFUNCTION("""COMPUTED_VALUE"""),465.97)</f>
        <v>465.97</v>
      </c>
      <c r="E2303" s="1">
        <f>IFERROR(__xludf.DUMMYFUNCTION("""COMPUTED_VALUE"""),469.38)</f>
        <v>469.38</v>
      </c>
      <c r="F2303" s="1">
        <f>IFERROR(__xludf.DUMMYFUNCTION("""COMPUTED_VALUE"""),4.9345312E7)</f>
        <v>49345312</v>
      </c>
    </row>
    <row r="2304">
      <c r="A2304" s="2">
        <f>IFERROR(__xludf.DUMMYFUNCTION("""COMPUTED_VALUE"""),34716.666666666664)</f>
        <v>34716.66667</v>
      </c>
      <c r="B2304" s="1">
        <f>IFERROR(__xludf.DUMMYFUNCTION("""COMPUTED_VALUE"""),469.38)</f>
        <v>469.38</v>
      </c>
      <c r="C2304" s="1">
        <f>IFERROR(__xludf.DUMMYFUNCTION("""COMPUTED_VALUE"""),470.15)</f>
        <v>470.15</v>
      </c>
      <c r="D2304" s="1">
        <f>IFERROR(__xludf.DUMMYFUNCTION("""COMPUTED_VALUE"""),468.19)</f>
        <v>468.19</v>
      </c>
      <c r="E2304" s="1">
        <f>IFERROR(__xludf.DUMMYFUNCTION("""COMPUTED_VALUE"""),470.05)</f>
        <v>470.05</v>
      </c>
      <c r="F2304" s="1">
        <f>IFERROR(__xludf.DUMMYFUNCTION("""COMPUTED_VALUE"""),5.18E7)</f>
        <v>51800000</v>
      </c>
    </row>
    <row r="2305">
      <c r="A2305" s="2">
        <f>IFERROR(__xludf.DUMMYFUNCTION("""COMPUTED_VALUE"""),34717.666666666664)</f>
        <v>34717.66667</v>
      </c>
      <c r="B2305" s="1">
        <f>IFERROR(__xludf.DUMMYFUNCTION("""COMPUTED_VALUE"""),470.05)</f>
        <v>470.05</v>
      </c>
      <c r="C2305" s="1">
        <f>IFERROR(__xludf.DUMMYFUNCTION("""COMPUTED_VALUE"""),470.43)</f>
        <v>470.43</v>
      </c>
      <c r="D2305" s="1">
        <f>IFERROR(__xludf.DUMMYFUNCTION("""COMPUTED_VALUE"""),468.03)</f>
        <v>468.03</v>
      </c>
      <c r="E2305" s="1">
        <f>IFERROR(__xludf.DUMMYFUNCTION("""COMPUTED_VALUE"""),469.71)</f>
        <v>469.71</v>
      </c>
      <c r="F2305" s="1">
        <f>IFERROR(__xludf.DUMMYFUNCTION("""COMPUTED_VALUE"""),5.3853124E7)</f>
        <v>53853124</v>
      </c>
    </row>
    <row r="2306">
      <c r="A2306" s="2">
        <f>IFERROR(__xludf.DUMMYFUNCTION("""COMPUTED_VALUE"""),34718.666666666664)</f>
        <v>34718.66667</v>
      </c>
      <c r="B2306" s="1">
        <f>IFERROR(__xludf.DUMMYFUNCTION("""COMPUTED_VALUE"""),469.72)</f>
        <v>469.72</v>
      </c>
      <c r="C2306" s="1">
        <f>IFERROR(__xludf.DUMMYFUNCTION("""COMPUTED_VALUE"""),469.72)</f>
        <v>469.72</v>
      </c>
      <c r="D2306" s="1">
        <f>IFERROR(__xludf.DUMMYFUNCTION("""COMPUTED_VALUE"""),466.4)</f>
        <v>466.4</v>
      </c>
      <c r="E2306" s="1">
        <f>IFERROR(__xludf.DUMMYFUNCTION("""COMPUTED_VALUE"""),466.95)</f>
        <v>466.95</v>
      </c>
      <c r="F2306" s="1">
        <f>IFERROR(__xludf.DUMMYFUNCTION("""COMPUTED_VALUE"""),4.6440624E7)</f>
        <v>46440624</v>
      </c>
    </row>
    <row r="2307">
      <c r="A2307" s="2">
        <f>IFERROR(__xludf.DUMMYFUNCTION("""COMPUTED_VALUE"""),34719.666666666664)</f>
        <v>34719.66667</v>
      </c>
      <c r="B2307" s="1">
        <f>IFERROR(__xludf.DUMMYFUNCTION("""COMPUTED_VALUE"""),466.95)</f>
        <v>466.95</v>
      </c>
      <c r="C2307" s="1">
        <f>IFERROR(__xludf.DUMMYFUNCTION("""COMPUTED_VALUE"""),466.99)</f>
        <v>466.99</v>
      </c>
      <c r="D2307" s="1">
        <f>IFERROR(__xludf.DUMMYFUNCTION("""COMPUTED_VALUE"""),463.99)</f>
        <v>463.99</v>
      </c>
      <c r="E2307" s="1">
        <f>IFERROR(__xludf.DUMMYFUNCTION("""COMPUTED_VALUE"""),464.78)</f>
        <v>464.78</v>
      </c>
      <c r="F2307" s="1">
        <f>IFERROR(__xludf.DUMMYFUNCTION("""COMPUTED_VALUE"""),5.9092188E7)</f>
        <v>59092188</v>
      </c>
    </row>
    <row r="2308">
      <c r="A2308" s="2">
        <f>IFERROR(__xludf.DUMMYFUNCTION("""COMPUTED_VALUE"""),34722.666666666664)</f>
        <v>34722.66667</v>
      </c>
      <c r="B2308" s="1">
        <f>IFERROR(__xludf.DUMMYFUNCTION("""COMPUTED_VALUE"""),464.78)</f>
        <v>464.78</v>
      </c>
      <c r="C2308" s="1">
        <f>IFERROR(__xludf.DUMMYFUNCTION("""COMPUTED_VALUE"""),466.23)</f>
        <v>466.23</v>
      </c>
      <c r="D2308" s="1">
        <f>IFERROR(__xludf.DUMMYFUNCTION("""COMPUTED_VALUE"""),461.14)</f>
        <v>461.14</v>
      </c>
      <c r="E2308" s="1">
        <f>IFERROR(__xludf.DUMMYFUNCTION("""COMPUTED_VALUE"""),465.82)</f>
        <v>465.82</v>
      </c>
      <c r="F2308" s="1">
        <f>IFERROR(__xludf.DUMMYFUNCTION("""COMPUTED_VALUE"""),5.0910936E7)</f>
        <v>50910936</v>
      </c>
    </row>
    <row r="2309">
      <c r="A2309" s="2">
        <f>IFERROR(__xludf.DUMMYFUNCTION("""COMPUTED_VALUE"""),34723.666666666664)</f>
        <v>34723.66667</v>
      </c>
      <c r="B2309" s="1">
        <f>IFERROR(__xludf.DUMMYFUNCTION("""COMPUTED_VALUE"""),465.81)</f>
        <v>465.81</v>
      </c>
      <c r="C2309" s="1">
        <f>IFERROR(__xludf.DUMMYFUNCTION("""COMPUTED_VALUE"""),466.88)</f>
        <v>466.88</v>
      </c>
      <c r="D2309" s="1">
        <f>IFERROR(__xludf.DUMMYFUNCTION("""COMPUTED_VALUE"""),465.47)</f>
        <v>465.47</v>
      </c>
      <c r="E2309" s="1">
        <f>IFERROR(__xludf.DUMMYFUNCTION("""COMPUTED_VALUE"""),465.86)</f>
        <v>465.86</v>
      </c>
      <c r="F2309" s="1">
        <f>IFERROR(__xludf.DUMMYFUNCTION("""COMPUTED_VALUE"""),4.9285936E7)</f>
        <v>49285936</v>
      </c>
    </row>
    <row r="2310">
      <c r="A2310" s="2">
        <f>IFERROR(__xludf.DUMMYFUNCTION("""COMPUTED_VALUE"""),34724.666666666664)</f>
        <v>34724.66667</v>
      </c>
      <c r="B2310" s="1">
        <f>IFERROR(__xludf.DUMMYFUNCTION("""COMPUTED_VALUE"""),465.86)</f>
        <v>465.86</v>
      </c>
      <c r="C2310" s="1">
        <f>IFERROR(__xludf.DUMMYFUNCTION("""COMPUTED_VALUE"""),469.51)</f>
        <v>469.51</v>
      </c>
      <c r="D2310" s="1">
        <f>IFERROR(__xludf.DUMMYFUNCTION("""COMPUTED_VALUE"""),464.4)</f>
        <v>464.4</v>
      </c>
      <c r="E2310" s="1">
        <f>IFERROR(__xludf.DUMMYFUNCTION("""COMPUTED_VALUE"""),467.44)</f>
        <v>467.44</v>
      </c>
      <c r="F2310" s="1">
        <f>IFERROR(__xludf.DUMMYFUNCTION("""COMPUTED_VALUE"""),5.3532812E7)</f>
        <v>53532812</v>
      </c>
    </row>
    <row r="2311">
      <c r="A2311" s="2">
        <f>IFERROR(__xludf.DUMMYFUNCTION("""COMPUTED_VALUE"""),34725.666666666664)</f>
        <v>34725.66667</v>
      </c>
      <c r="B2311" s="1">
        <f>IFERROR(__xludf.DUMMYFUNCTION("""COMPUTED_VALUE"""),467.44)</f>
        <v>467.44</v>
      </c>
      <c r="C2311" s="1">
        <f>IFERROR(__xludf.DUMMYFUNCTION("""COMPUTED_VALUE"""),468.62)</f>
        <v>468.62</v>
      </c>
      <c r="D2311" s="1">
        <f>IFERROR(__xludf.DUMMYFUNCTION("""COMPUTED_VALUE"""),466.9)</f>
        <v>466.9</v>
      </c>
      <c r="E2311" s="1">
        <f>IFERROR(__xludf.DUMMYFUNCTION("""COMPUTED_VALUE"""),468.32)</f>
        <v>468.32</v>
      </c>
      <c r="F2311" s="1">
        <f>IFERROR(__xludf.DUMMYFUNCTION("""COMPUTED_VALUE"""),4.7614064E7)</f>
        <v>47614064</v>
      </c>
    </row>
    <row r="2312">
      <c r="A2312" s="2">
        <f>IFERROR(__xludf.DUMMYFUNCTION("""COMPUTED_VALUE"""),34726.666666666664)</f>
        <v>34726.66667</v>
      </c>
      <c r="B2312" s="1">
        <f>IFERROR(__xludf.DUMMYFUNCTION("""COMPUTED_VALUE"""),468.32)</f>
        <v>468.32</v>
      </c>
      <c r="C2312" s="1">
        <f>IFERROR(__xludf.DUMMYFUNCTION("""COMPUTED_VALUE"""),471.36)</f>
        <v>471.36</v>
      </c>
      <c r="D2312" s="1">
        <f>IFERROR(__xludf.DUMMYFUNCTION("""COMPUTED_VALUE"""),468.32)</f>
        <v>468.32</v>
      </c>
      <c r="E2312" s="1">
        <f>IFERROR(__xludf.DUMMYFUNCTION("""COMPUTED_VALUE"""),470.39)</f>
        <v>470.39</v>
      </c>
      <c r="F2312" s="1">
        <f>IFERROR(__xludf.DUMMYFUNCTION("""COMPUTED_VALUE"""),5.3048436E7)</f>
        <v>53048436</v>
      </c>
    </row>
    <row r="2313">
      <c r="A2313" s="2">
        <f>IFERROR(__xludf.DUMMYFUNCTION("""COMPUTED_VALUE"""),34729.666666666664)</f>
        <v>34729.66667</v>
      </c>
      <c r="B2313" s="1">
        <f>IFERROR(__xludf.DUMMYFUNCTION("""COMPUTED_VALUE"""),470.39)</f>
        <v>470.39</v>
      </c>
      <c r="C2313" s="1">
        <f>IFERROR(__xludf.DUMMYFUNCTION("""COMPUTED_VALUE"""),470.52)</f>
        <v>470.52</v>
      </c>
      <c r="D2313" s="1">
        <f>IFERROR(__xludf.DUMMYFUNCTION("""COMPUTED_VALUE"""),467.49)</f>
        <v>467.49</v>
      </c>
      <c r="E2313" s="1">
        <f>IFERROR(__xludf.DUMMYFUNCTION("""COMPUTED_VALUE"""),468.51)</f>
        <v>468.51</v>
      </c>
      <c r="F2313" s="1">
        <f>IFERROR(__xludf.DUMMYFUNCTION("""COMPUTED_VALUE"""),4.9773436E7)</f>
        <v>49773436</v>
      </c>
    </row>
    <row r="2314">
      <c r="A2314" s="2">
        <f>IFERROR(__xludf.DUMMYFUNCTION("""COMPUTED_VALUE"""),34730.666666666664)</f>
        <v>34730.66667</v>
      </c>
      <c r="B2314" s="1">
        <f>IFERROR(__xludf.DUMMYFUNCTION("""COMPUTED_VALUE"""),468.51)</f>
        <v>468.51</v>
      </c>
      <c r="C2314" s="1">
        <f>IFERROR(__xludf.DUMMYFUNCTION("""COMPUTED_VALUE"""),471.03)</f>
        <v>471.03</v>
      </c>
      <c r="D2314" s="1">
        <f>IFERROR(__xludf.DUMMYFUNCTION("""COMPUTED_VALUE"""),468.18)</f>
        <v>468.18</v>
      </c>
      <c r="E2314" s="1">
        <f>IFERROR(__xludf.DUMMYFUNCTION("""COMPUTED_VALUE"""),470.42)</f>
        <v>470.42</v>
      </c>
      <c r="F2314" s="1">
        <f>IFERROR(__xludf.DUMMYFUNCTION("""COMPUTED_VALUE"""),6.4310936E7)</f>
        <v>64310936</v>
      </c>
    </row>
    <row r="2315">
      <c r="A2315" s="2">
        <f>IFERROR(__xludf.DUMMYFUNCTION("""COMPUTED_VALUE"""),34731.666666666664)</f>
        <v>34731.66667</v>
      </c>
      <c r="B2315" s="1">
        <f>IFERROR(__xludf.DUMMYFUNCTION("""COMPUTED_VALUE"""),470.42)</f>
        <v>470.42</v>
      </c>
      <c r="C2315" s="1">
        <f>IFERROR(__xludf.DUMMYFUNCTION("""COMPUTED_VALUE"""),472.75)</f>
        <v>472.75</v>
      </c>
      <c r="D2315" s="1">
        <f>IFERROR(__xludf.DUMMYFUNCTION("""COMPUTED_VALUE"""),469.29)</f>
        <v>469.29</v>
      </c>
      <c r="E2315" s="1">
        <f>IFERROR(__xludf.DUMMYFUNCTION("""COMPUTED_VALUE"""),470.4)</f>
        <v>470.4</v>
      </c>
      <c r="F2315" s="1">
        <f>IFERROR(__xludf.DUMMYFUNCTION("""COMPUTED_VALUE"""),6.1767188E7)</f>
        <v>61767188</v>
      </c>
    </row>
    <row r="2316">
      <c r="A2316" s="2">
        <f>IFERROR(__xludf.DUMMYFUNCTION("""COMPUTED_VALUE"""),34732.666666666664)</f>
        <v>34732.66667</v>
      </c>
      <c r="B2316" s="1">
        <f>IFERROR(__xludf.DUMMYFUNCTION("""COMPUTED_VALUE"""),470.4)</f>
        <v>470.4</v>
      </c>
      <c r="C2316" s="1">
        <f>IFERROR(__xludf.DUMMYFUNCTION("""COMPUTED_VALUE"""),472.79)</f>
        <v>472.79</v>
      </c>
      <c r="D2316" s="1">
        <f>IFERROR(__xludf.DUMMYFUNCTION("""COMPUTED_VALUE"""),469.95)</f>
        <v>469.95</v>
      </c>
      <c r="E2316" s="1">
        <f>IFERROR(__xludf.DUMMYFUNCTION("""COMPUTED_VALUE"""),472.79)</f>
        <v>472.79</v>
      </c>
      <c r="F2316" s="1">
        <f>IFERROR(__xludf.DUMMYFUNCTION("""COMPUTED_VALUE"""),5.0329688E7)</f>
        <v>50329688</v>
      </c>
    </row>
    <row r="2317">
      <c r="A2317" s="2">
        <f>IFERROR(__xludf.DUMMYFUNCTION("""COMPUTED_VALUE"""),34733.666666666664)</f>
        <v>34733.66667</v>
      </c>
      <c r="B2317" s="1">
        <f>IFERROR(__xludf.DUMMYFUNCTION("""COMPUTED_VALUE"""),472.78)</f>
        <v>472.78</v>
      </c>
      <c r="C2317" s="1">
        <f>IFERROR(__xludf.DUMMYFUNCTION("""COMPUTED_VALUE"""),479.91)</f>
        <v>479.91</v>
      </c>
      <c r="D2317" s="1">
        <f>IFERROR(__xludf.DUMMYFUNCTION("""COMPUTED_VALUE"""),472.78)</f>
        <v>472.78</v>
      </c>
      <c r="E2317" s="1">
        <f>IFERROR(__xludf.DUMMYFUNCTION("""COMPUTED_VALUE"""),478.65)</f>
        <v>478.65</v>
      </c>
      <c r="F2317" s="1">
        <f>IFERROR(__xludf.DUMMYFUNCTION("""COMPUTED_VALUE"""),6.8906248E7)</f>
        <v>68906248</v>
      </c>
    </row>
    <row r="2318">
      <c r="A2318" s="2">
        <f>IFERROR(__xludf.DUMMYFUNCTION("""COMPUTED_VALUE"""),34736.666666666664)</f>
        <v>34736.66667</v>
      </c>
      <c r="B2318" s="1">
        <f>IFERROR(__xludf.DUMMYFUNCTION("""COMPUTED_VALUE"""),478.64)</f>
        <v>478.64</v>
      </c>
      <c r="C2318" s="1">
        <f>IFERROR(__xludf.DUMMYFUNCTION("""COMPUTED_VALUE"""),481.95)</f>
        <v>481.95</v>
      </c>
      <c r="D2318" s="1">
        <f>IFERROR(__xludf.DUMMYFUNCTION("""COMPUTED_VALUE"""),478.36)</f>
        <v>478.36</v>
      </c>
      <c r="E2318" s="1">
        <f>IFERROR(__xludf.DUMMYFUNCTION("""COMPUTED_VALUE"""),481.14)</f>
        <v>481.14</v>
      </c>
      <c r="F2318" s="1">
        <f>IFERROR(__xludf.DUMMYFUNCTION("""COMPUTED_VALUE"""),5.0884376E7)</f>
        <v>50884376</v>
      </c>
    </row>
    <row r="2319">
      <c r="A2319" s="2">
        <f>IFERROR(__xludf.DUMMYFUNCTION("""COMPUTED_VALUE"""),34737.666666666664)</f>
        <v>34737.66667</v>
      </c>
      <c r="B2319" s="1">
        <f>IFERROR(__xludf.DUMMYFUNCTION("""COMPUTED_VALUE"""),481.14)</f>
        <v>481.14</v>
      </c>
      <c r="C2319" s="1">
        <f>IFERROR(__xludf.DUMMYFUNCTION("""COMPUTED_VALUE"""),481.32)</f>
        <v>481.32</v>
      </c>
      <c r="D2319" s="1">
        <f>IFERROR(__xludf.DUMMYFUNCTION("""COMPUTED_VALUE"""),479.69)</f>
        <v>479.69</v>
      </c>
      <c r="E2319" s="1">
        <f>IFERROR(__xludf.DUMMYFUNCTION("""COMPUTED_VALUE"""),480.81)</f>
        <v>480.81</v>
      </c>
      <c r="F2319" s="1">
        <f>IFERROR(__xludf.DUMMYFUNCTION("""COMPUTED_VALUE"""),4.9165624E7)</f>
        <v>49165624</v>
      </c>
    </row>
    <row r="2320">
      <c r="A2320" s="2">
        <f>IFERROR(__xludf.DUMMYFUNCTION("""COMPUTED_VALUE"""),34738.666666666664)</f>
        <v>34738.66667</v>
      </c>
      <c r="B2320" s="1">
        <f>IFERROR(__xludf.DUMMYFUNCTION("""COMPUTED_VALUE"""),480.81)</f>
        <v>480.81</v>
      </c>
      <c r="C2320" s="1">
        <f>IFERROR(__xludf.DUMMYFUNCTION("""COMPUTED_VALUE"""),482.6)</f>
        <v>482.6</v>
      </c>
      <c r="D2320" s="1">
        <f>IFERROR(__xludf.DUMMYFUNCTION("""COMPUTED_VALUE"""),480.4)</f>
        <v>480.4</v>
      </c>
      <c r="E2320" s="1">
        <f>IFERROR(__xludf.DUMMYFUNCTION("""COMPUTED_VALUE"""),481.19)</f>
        <v>481.19</v>
      </c>
      <c r="F2320" s="1">
        <f>IFERROR(__xludf.DUMMYFUNCTION("""COMPUTED_VALUE"""),4.9754688E7)</f>
        <v>49754688</v>
      </c>
    </row>
    <row r="2321">
      <c r="A2321" s="2">
        <f>IFERROR(__xludf.DUMMYFUNCTION("""COMPUTED_VALUE"""),34739.666666666664)</f>
        <v>34739.66667</v>
      </c>
      <c r="B2321" s="1">
        <f>IFERROR(__xludf.DUMMYFUNCTION("""COMPUTED_VALUE"""),481.19)</f>
        <v>481.19</v>
      </c>
      <c r="C2321" s="1">
        <f>IFERROR(__xludf.DUMMYFUNCTION("""COMPUTED_VALUE"""),482.0)</f>
        <v>482</v>
      </c>
      <c r="D2321" s="1">
        <f>IFERROR(__xludf.DUMMYFUNCTION("""COMPUTED_VALUE"""),479.91)</f>
        <v>479.91</v>
      </c>
      <c r="E2321" s="1">
        <f>IFERROR(__xludf.DUMMYFUNCTION("""COMPUTED_VALUE"""),480.19)</f>
        <v>480.19</v>
      </c>
      <c r="F2321" s="1">
        <f>IFERROR(__xludf.DUMMYFUNCTION("""COMPUTED_VALUE"""),5.0870312E7)</f>
        <v>50870312</v>
      </c>
    </row>
    <row r="2322">
      <c r="A2322" s="2">
        <f>IFERROR(__xludf.DUMMYFUNCTION("""COMPUTED_VALUE"""),34740.666666666664)</f>
        <v>34740.66667</v>
      </c>
      <c r="B2322" s="1">
        <f>IFERROR(__xludf.DUMMYFUNCTION("""COMPUTED_VALUE"""),480.19)</f>
        <v>480.19</v>
      </c>
      <c r="C2322" s="1">
        <f>IFERROR(__xludf.DUMMYFUNCTION("""COMPUTED_VALUE"""),481.96)</f>
        <v>481.96</v>
      </c>
      <c r="D2322" s="1">
        <f>IFERROR(__xludf.DUMMYFUNCTION("""COMPUTED_VALUE"""),479.53)</f>
        <v>479.53</v>
      </c>
      <c r="E2322" s="1">
        <f>IFERROR(__xludf.DUMMYFUNCTION("""COMPUTED_VALUE"""),481.46)</f>
        <v>481.46</v>
      </c>
      <c r="F2322" s="1">
        <f>IFERROR(__xludf.DUMMYFUNCTION("""COMPUTED_VALUE"""),4.61875E7)</f>
        <v>46187500</v>
      </c>
    </row>
    <row r="2323">
      <c r="A2323" s="2">
        <f>IFERROR(__xludf.DUMMYFUNCTION("""COMPUTED_VALUE"""),34743.666666666664)</f>
        <v>34743.66667</v>
      </c>
      <c r="B2323" s="1">
        <f>IFERROR(__xludf.DUMMYFUNCTION("""COMPUTED_VALUE"""),481.46)</f>
        <v>481.46</v>
      </c>
      <c r="C2323" s="1">
        <f>IFERROR(__xludf.DUMMYFUNCTION("""COMPUTED_VALUE"""),482.86)</f>
        <v>482.86</v>
      </c>
      <c r="D2323" s="1">
        <f>IFERROR(__xludf.DUMMYFUNCTION("""COMPUTED_VALUE"""),481.07)</f>
        <v>481.07</v>
      </c>
      <c r="E2323" s="1">
        <f>IFERROR(__xludf.DUMMYFUNCTION("""COMPUTED_VALUE"""),481.65)</f>
        <v>481.65</v>
      </c>
      <c r="F2323" s="1">
        <f>IFERROR(__xludf.DUMMYFUNCTION("""COMPUTED_VALUE"""),4.0042188E7)</f>
        <v>40042188</v>
      </c>
    </row>
    <row r="2324">
      <c r="A2324" s="2">
        <f>IFERROR(__xludf.DUMMYFUNCTION("""COMPUTED_VALUE"""),34744.666666666664)</f>
        <v>34744.66667</v>
      </c>
      <c r="B2324" s="1">
        <f>IFERROR(__xludf.DUMMYFUNCTION("""COMPUTED_VALUE"""),481.65)</f>
        <v>481.65</v>
      </c>
      <c r="C2324" s="1">
        <f>IFERROR(__xludf.DUMMYFUNCTION("""COMPUTED_VALUE"""),482.94)</f>
        <v>482.94</v>
      </c>
      <c r="D2324" s="1">
        <f>IFERROR(__xludf.DUMMYFUNCTION("""COMPUTED_VALUE"""),480.89)</f>
        <v>480.89</v>
      </c>
      <c r="E2324" s="1">
        <f>IFERROR(__xludf.DUMMYFUNCTION("""COMPUTED_VALUE"""),482.55)</f>
        <v>482.55</v>
      </c>
      <c r="F2324" s="1">
        <f>IFERROR(__xludf.DUMMYFUNCTION("""COMPUTED_VALUE"""),4.69875E7)</f>
        <v>46987500</v>
      </c>
    </row>
    <row r="2325">
      <c r="A2325" s="2">
        <f>IFERROR(__xludf.DUMMYFUNCTION("""COMPUTED_VALUE"""),34745.666666666664)</f>
        <v>34745.66667</v>
      </c>
      <c r="B2325" s="1">
        <f>IFERROR(__xludf.DUMMYFUNCTION("""COMPUTED_VALUE"""),482.55)</f>
        <v>482.55</v>
      </c>
      <c r="C2325" s="1">
        <f>IFERROR(__xludf.DUMMYFUNCTION("""COMPUTED_VALUE"""),485.54)</f>
        <v>485.54</v>
      </c>
      <c r="D2325" s="1">
        <f>IFERROR(__xludf.DUMMYFUNCTION("""COMPUTED_VALUE"""),481.77)</f>
        <v>481.77</v>
      </c>
      <c r="E2325" s="1">
        <f>IFERROR(__xludf.DUMMYFUNCTION("""COMPUTED_VALUE"""),484.54)</f>
        <v>484.54</v>
      </c>
      <c r="F2325" s="1">
        <f>IFERROR(__xludf.DUMMYFUNCTION("""COMPUTED_VALUE"""),5.9068752E7)</f>
        <v>59068752</v>
      </c>
    </row>
    <row r="2326">
      <c r="A2326" s="2">
        <f>IFERROR(__xludf.DUMMYFUNCTION("""COMPUTED_VALUE"""),34746.666666666664)</f>
        <v>34746.66667</v>
      </c>
      <c r="B2326" s="1">
        <f>IFERROR(__xludf.DUMMYFUNCTION("""COMPUTED_VALUE"""),484.56)</f>
        <v>484.56</v>
      </c>
      <c r="C2326" s="1">
        <f>IFERROR(__xludf.DUMMYFUNCTION("""COMPUTED_VALUE"""),485.22)</f>
        <v>485.22</v>
      </c>
      <c r="D2326" s="1">
        <f>IFERROR(__xludf.DUMMYFUNCTION("""COMPUTED_VALUE"""),483.05)</f>
        <v>483.05</v>
      </c>
      <c r="E2326" s="1">
        <f>IFERROR(__xludf.DUMMYFUNCTION("""COMPUTED_VALUE"""),485.22)</f>
        <v>485.22</v>
      </c>
      <c r="F2326" s="1">
        <f>IFERROR(__xludf.DUMMYFUNCTION("""COMPUTED_VALUE"""),5.6404688E7)</f>
        <v>56404688</v>
      </c>
    </row>
    <row r="2327">
      <c r="A2327" s="2">
        <f>IFERROR(__xludf.DUMMYFUNCTION("""COMPUTED_VALUE"""),34747.666666666664)</f>
        <v>34747.66667</v>
      </c>
      <c r="B2327" s="1">
        <f>IFERROR(__xludf.DUMMYFUNCTION("""COMPUTED_VALUE"""),485.15)</f>
        <v>485.15</v>
      </c>
      <c r="C2327" s="1">
        <f>IFERROR(__xludf.DUMMYFUNCTION("""COMPUTED_VALUE"""),485.22)</f>
        <v>485.22</v>
      </c>
      <c r="D2327" s="1">
        <f>IFERROR(__xludf.DUMMYFUNCTION("""COMPUTED_VALUE"""),481.97)</f>
        <v>481.97</v>
      </c>
      <c r="E2327" s="1">
        <f>IFERROR(__xludf.DUMMYFUNCTION("""COMPUTED_VALUE"""),481.97)</f>
        <v>481.97</v>
      </c>
      <c r="F2327" s="1">
        <f>IFERROR(__xludf.DUMMYFUNCTION("""COMPUTED_VALUE"""),5.4370312E7)</f>
        <v>54370312</v>
      </c>
    </row>
    <row r="2328">
      <c r="A2328" s="2">
        <f>IFERROR(__xludf.DUMMYFUNCTION("""COMPUTED_VALUE"""),34751.666666666664)</f>
        <v>34751.66667</v>
      </c>
      <c r="B2328" s="1">
        <f>IFERROR(__xludf.DUMMYFUNCTION("""COMPUTED_VALUE"""),481.95)</f>
        <v>481.95</v>
      </c>
      <c r="C2328" s="1">
        <f>IFERROR(__xludf.DUMMYFUNCTION("""COMPUTED_VALUE"""),483.26)</f>
        <v>483.26</v>
      </c>
      <c r="D2328" s="1">
        <f>IFERROR(__xludf.DUMMYFUNCTION("""COMPUTED_VALUE"""),481.94)</f>
        <v>481.94</v>
      </c>
      <c r="E2328" s="1">
        <f>IFERROR(__xludf.DUMMYFUNCTION("""COMPUTED_VALUE"""),482.72)</f>
        <v>482.72</v>
      </c>
      <c r="F2328" s="1">
        <f>IFERROR(__xludf.DUMMYFUNCTION("""COMPUTED_VALUE"""),4.8139064E7)</f>
        <v>48139064</v>
      </c>
    </row>
    <row r="2329">
      <c r="A2329" s="2">
        <f>IFERROR(__xludf.DUMMYFUNCTION("""COMPUTED_VALUE"""),34752.666666666664)</f>
        <v>34752.66667</v>
      </c>
      <c r="B2329" s="1">
        <f>IFERROR(__xludf.DUMMYFUNCTION("""COMPUTED_VALUE"""),482.74)</f>
        <v>482.74</v>
      </c>
      <c r="C2329" s="1">
        <f>IFERROR(__xludf.DUMMYFUNCTION("""COMPUTED_VALUE"""),486.15)</f>
        <v>486.15</v>
      </c>
      <c r="D2329" s="1">
        <f>IFERROR(__xludf.DUMMYFUNCTION("""COMPUTED_VALUE"""),482.45)</f>
        <v>482.45</v>
      </c>
      <c r="E2329" s="1">
        <f>IFERROR(__xludf.DUMMYFUNCTION("""COMPUTED_VALUE"""),485.07)</f>
        <v>485.07</v>
      </c>
      <c r="F2329" s="1">
        <f>IFERROR(__xludf.DUMMYFUNCTION("""COMPUTED_VALUE"""),5.3040624E7)</f>
        <v>53040624</v>
      </c>
    </row>
    <row r="2330">
      <c r="A2330" s="2">
        <f>IFERROR(__xludf.DUMMYFUNCTION("""COMPUTED_VALUE"""),34753.666666666664)</f>
        <v>34753.66667</v>
      </c>
      <c r="B2330" s="1">
        <f>IFERROR(__xludf.DUMMYFUNCTION("""COMPUTED_VALUE"""),485.07)</f>
        <v>485.07</v>
      </c>
      <c r="C2330" s="1">
        <f>IFERROR(__xludf.DUMMYFUNCTION("""COMPUTED_VALUE"""),489.19)</f>
        <v>489.19</v>
      </c>
      <c r="D2330" s="1">
        <f>IFERROR(__xludf.DUMMYFUNCTION("""COMPUTED_VALUE"""),485.07)</f>
        <v>485.07</v>
      </c>
      <c r="E2330" s="1">
        <f>IFERROR(__xludf.DUMMYFUNCTION("""COMPUTED_VALUE"""),486.91)</f>
        <v>486.91</v>
      </c>
      <c r="F2330" s="1">
        <f>IFERROR(__xludf.DUMMYFUNCTION("""COMPUTED_VALUE"""),6.1606248E7)</f>
        <v>61606248</v>
      </c>
    </row>
    <row r="2331">
      <c r="A2331" s="2">
        <f>IFERROR(__xludf.DUMMYFUNCTION("""COMPUTED_VALUE"""),34754.666666666664)</f>
        <v>34754.66667</v>
      </c>
      <c r="B2331" s="1">
        <f>IFERROR(__xludf.DUMMYFUNCTION("""COMPUTED_VALUE"""),486.82)</f>
        <v>486.82</v>
      </c>
      <c r="C2331" s="1">
        <f>IFERROR(__xludf.DUMMYFUNCTION("""COMPUTED_VALUE"""),488.28)</f>
        <v>488.28</v>
      </c>
      <c r="D2331" s="1">
        <f>IFERROR(__xludf.DUMMYFUNCTION("""COMPUTED_VALUE"""),485.7)</f>
        <v>485.7</v>
      </c>
      <c r="E2331" s="1">
        <f>IFERROR(__xludf.DUMMYFUNCTION("""COMPUTED_VALUE"""),488.11)</f>
        <v>488.11</v>
      </c>
      <c r="F2331" s="1">
        <f>IFERROR(__xludf.DUMMYFUNCTION("""COMPUTED_VALUE"""),4.7332812E7)</f>
        <v>47332812</v>
      </c>
    </row>
    <row r="2332">
      <c r="A2332" s="2">
        <f>IFERROR(__xludf.DUMMYFUNCTION("""COMPUTED_VALUE"""),34757.666666666664)</f>
        <v>34757.66667</v>
      </c>
      <c r="B2332" s="1">
        <f>IFERROR(__xludf.DUMMYFUNCTION("""COMPUTED_VALUE"""),488.26)</f>
        <v>488.26</v>
      </c>
      <c r="C2332" s="1">
        <f>IFERROR(__xludf.DUMMYFUNCTION("""COMPUTED_VALUE"""),488.26)</f>
        <v>488.26</v>
      </c>
      <c r="D2332" s="1">
        <f>IFERROR(__xludf.DUMMYFUNCTION("""COMPUTED_VALUE"""),483.18)</f>
        <v>483.18</v>
      </c>
      <c r="E2332" s="1">
        <f>IFERROR(__xludf.DUMMYFUNCTION("""COMPUTED_VALUE"""),483.81)</f>
        <v>483.81</v>
      </c>
      <c r="F2332" s="1">
        <f>IFERROR(__xludf.DUMMYFUNCTION("""COMPUTED_VALUE"""),4.4654688E7)</f>
        <v>44654688</v>
      </c>
    </row>
    <row r="2333">
      <c r="A2333" s="2">
        <f>IFERROR(__xludf.DUMMYFUNCTION("""COMPUTED_VALUE"""),34758.666666666664)</f>
        <v>34758.66667</v>
      </c>
      <c r="B2333" s="1">
        <f>IFERROR(__xludf.DUMMYFUNCTION("""COMPUTED_VALUE"""),483.81)</f>
        <v>483.81</v>
      </c>
      <c r="C2333" s="1">
        <f>IFERROR(__xludf.DUMMYFUNCTION("""COMPUTED_VALUE"""),487.44)</f>
        <v>487.44</v>
      </c>
      <c r="D2333" s="1">
        <f>IFERROR(__xludf.DUMMYFUNCTION("""COMPUTED_VALUE"""),483.77)</f>
        <v>483.77</v>
      </c>
      <c r="E2333" s="1">
        <f>IFERROR(__xludf.DUMMYFUNCTION("""COMPUTED_VALUE"""),487.39)</f>
        <v>487.39</v>
      </c>
      <c r="F2333" s="1">
        <f>IFERROR(__xludf.DUMMYFUNCTION("""COMPUTED_VALUE"""),4.9565624E7)</f>
        <v>49565624</v>
      </c>
    </row>
    <row r="2334">
      <c r="A2334" s="2">
        <f>IFERROR(__xludf.DUMMYFUNCTION("""COMPUTED_VALUE"""),34759.666666666664)</f>
        <v>34759.66667</v>
      </c>
      <c r="B2334" s="1">
        <f>IFERROR(__xludf.DUMMYFUNCTION("""COMPUTED_VALUE"""),487.39)</f>
        <v>487.39</v>
      </c>
      <c r="C2334" s="1">
        <f>IFERROR(__xludf.DUMMYFUNCTION("""COMPUTED_VALUE"""),487.83)</f>
        <v>487.83</v>
      </c>
      <c r="D2334" s="1">
        <f>IFERROR(__xludf.DUMMYFUNCTION("""COMPUTED_VALUE"""),484.92)</f>
        <v>484.92</v>
      </c>
      <c r="E2334" s="1">
        <f>IFERROR(__xludf.DUMMYFUNCTION("""COMPUTED_VALUE"""),485.65)</f>
        <v>485.65</v>
      </c>
      <c r="F2334" s="1">
        <f>IFERROR(__xludf.DUMMYFUNCTION("""COMPUTED_VALUE"""),5.6656248E7)</f>
        <v>56656248</v>
      </c>
    </row>
    <row r="2335">
      <c r="A2335" s="2">
        <f>IFERROR(__xludf.DUMMYFUNCTION("""COMPUTED_VALUE"""),34760.666666666664)</f>
        <v>34760.66667</v>
      </c>
      <c r="B2335" s="1">
        <f>IFERROR(__xludf.DUMMYFUNCTION("""COMPUTED_VALUE"""),485.65)</f>
        <v>485.65</v>
      </c>
      <c r="C2335" s="1">
        <f>IFERROR(__xludf.DUMMYFUNCTION("""COMPUTED_VALUE"""),485.71)</f>
        <v>485.71</v>
      </c>
      <c r="D2335" s="1">
        <f>IFERROR(__xludf.DUMMYFUNCTION("""COMPUTED_VALUE"""),483.19)</f>
        <v>483.19</v>
      </c>
      <c r="E2335" s="1">
        <f>IFERROR(__xludf.DUMMYFUNCTION("""COMPUTED_VALUE"""),485.13)</f>
        <v>485.13</v>
      </c>
      <c r="F2335" s="1">
        <f>IFERROR(__xludf.DUMMYFUNCTION("""COMPUTED_VALUE"""),5.1567188E7)</f>
        <v>51567188</v>
      </c>
    </row>
    <row r="2336">
      <c r="A2336" s="2">
        <f>IFERROR(__xludf.DUMMYFUNCTION("""COMPUTED_VALUE"""),34761.666666666664)</f>
        <v>34761.66667</v>
      </c>
      <c r="B2336" s="1">
        <f>IFERROR(__xludf.DUMMYFUNCTION("""COMPUTED_VALUE"""),485.13)</f>
        <v>485.13</v>
      </c>
      <c r="C2336" s="1">
        <f>IFERROR(__xludf.DUMMYFUNCTION("""COMPUTED_VALUE"""),485.42)</f>
        <v>485.42</v>
      </c>
      <c r="D2336" s="1">
        <f>IFERROR(__xludf.DUMMYFUNCTION("""COMPUTED_VALUE"""),483.07)</f>
        <v>483.07</v>
      </c>
      <c r="E2336" s="1">
        <f>IFERROR(__xludf.DUMMYFUNCTION("""COMPUTED_VALUE"""),485.42)</f>
        <v>485.42</v>
      </c>
      <c r="F2336" s="1">
        <f>IFERROR(__xludf.DUMMYFUNCTION("""COMPUTED_VALUE"""),5.1693752E7)</f>
        <v>51693752</v>
      </c>
    </row>
    <row r="2337">
      <c r="A2337" s="2">
        <f>IFERROR(__xludf.DUMMYFUNCTION("""COMPUTED_VALUE"""),34764.666666666664)</f>
        <v>34764.66667</v>
      </c>
      <c r="B2337" s="1">
        <f>IFERROR(__xludf.DUMMYFUNCTION("""COMPUTED_VALUE"""),485.42)</f>
        <v>485.42</v>
      </c>
      <c r="C2337" s="1">
        <f>IFERROR(__xludf.DUMMYFUNCTION("""COMPUTED_VALUE"""),485.7)</f>
        <v>485.7</v>
      </c>
      <c r="D2337" s="1">
        <f>IFERROR(__xludf.DUMMYFUNCTION("""COMPUTED_VALUE"""),481.52)</f>
        <v>481.52</v>
      </c>
      <c r="E2337" s="1">
        <f>IFERROR(__xludf.DUMMYFUNCTION("""COMPUTED_VALUE"""),485.63)</f>
        <v>485.63</v>
      </c>
      <c r="F2337" s="1">
        <f>IFERROR(__xludf.DUMMYFUNCTION("""COMPUTED_VALUE"""),4.6698436E7)</f>
        <v>46698436</v>
      </c>
    </row>
    <row r="2338">
      <c r="A2338" s="2">
        <f>IFERROR(__xludf.DUMMYFUNCTION("""COMPUTED_VALUE"""),34765.666666666664)</f>
        <v>34765.66667</v>
      </c>
      <c r="B2338" s="1">
        <f>IFERROR(__xludf.DUMMYFUNCTION("""COMPUTED_VALUE"""),485.63)</f>
        <v>485.63</v>
      </c>
      <c r="C2338" s="1">
        <f>IFERROR(__xludf.DUMMYFUNCTION("""COMPUTED_VALUE"""),485.63)</f>
        <v>485.63</v>
      </c>
      <c r="D2338" s="1">
        <f>IFERROR(__xludf.DUMMYFUNCTION("""COMPUTED_VALUE"""),479.7)</f>
        <v>479.7</v>
      </c>
      <c r="E2338" s="1">
        <f>IFERROR(__xludf.DUMMYFUNCTION("""COMPUTED_VALUE"""),482.12)</f>
        <v>482.12</v>
      </c>
      <c r="F2338" s="1">
        <f>IFERROR(__xludf.DUMMYFUNCTION("""COMPUTED_VALUE"""),5.5554688E7)</f>
        <v>55554688</v>
      </c>
    </row>
    <row r="2339">
      <c r="A2339" s="2">
        <f>IFERROR(__xludf.DUMMYFUNCTION("""COMPUTED_VALUE"""),34766.666666666664)</f>
        <v>34766.66667</v>
      </c>
      <c r="B2339" s="1">
        <f>IFERROR(__xludf.DUMMYFUNCTION("""COMPUTED_VALUE"""),482.12)</f>
        <v>482.12</v>
      </c>
      <c r="C2339" s="1">
        <f>IFERROR(__xludf.DUMMYFUNCTION("""COMPUTED_VALUE"""),484.08)</f>
        <v>484.08</v>
      </c>
      <c r="D2339" s="1">
        <f>IFERROR(__xludf.DUMMYFUNCTION("""COMPUTED_VALUE"""),481.57)</f>
        <v>481.57</v>
      </c>
      <c r="E2339" s="1">
        <f>IFERROR(__xludf.DUMMYFUNCTION("""COMPUTED_VALUE"""),483.14)</f>
        <v>483.14</v>
      </c>
      <c r="F2339" s="1">
        <f>IFERROR(__xludf.DUMMYFUNCTION("""COMPUTED_VALUE"""),5.4653124E7)</f>
        <v>54653124</v>
      </c>
    </row>
    <row r="2340">
      <c r="A2340" s="2">
        <f>IFERROR(__xludf.DUMMYFUNCTION("""COMPUTED_VALUE"""),34767.666666666664)</f>
        <v>34767.66667</v>
      </c>
      <c r="B2340" s="1">
        <f>IFERROR(__xludf.DUMMYFUNCTION("""COMPUTED_VALUE"""),483.14)</f>
        <v>483.14</v>
      </c>
      <c r="C2340" s="1">
        <f>IFERROR(__xludf.DUMMYFUNCTION("""COMPUTED_VALUE"""),483.74)</f>
        <v>483.74</v>
      </c>
      <c r="D2340" s="1">
        <f>IFERROR(__xludf.DUMMYFUNCTION("""COMPUTED_VALUE"""),482.05)</f>
        <v>482.05</v>
      </c>
      <c r="E2340" s="1">
        <f>IFERROR(__xludf.DUMMYFUNCTION("""COMPUTED_VALUE"""),483.16)</f>
        <v>483.16</v>
      </c>
      <c r="F2340" s="1">
        <f>IFERROR(__xludf.DUMMYFUNCTION("""COMPUTED_VALUE"""),4.9893752E7)</f>
        <v>49893752</v>
      </c>
    </row>
    <row r="2341">
      <c r="A2341" s="2">
        <f>IFERROR(__xludf.DUMMYFUNCTION("""COMPUTED_VALUE"""),34768.666666666664)</f>
        <v>34768.66667</v>
      </c>
      <c r="B2341" s="1">
        <f>IFERROR(__xludf.DUMMYFUNCTION("""COMPUTED_VALUE"""),483.16)</f>
        <v>483.16</v>
      </c>
      <c r="C2341" s="1">
        <f>IFERROR(__xludf.DUMMYFUNCTION("""COMPUTED_VALUE"""),490.37)</f>
        <v>490.37</v>
      </c>
      <c r="D2341" s="1">
        <f>IFERROR(__xludf.DUMMYFUNCTION("""COMPUTED_VALUE"""),483.16)</f>
        <v>483.16</v>
      </c>
      <c r="E2341" s="1">
        <f>IFERROR(__xludf.DUMMYFUNCTION("""COMPUTED_VALUE"""),489.57)</f>
        <v>489.57</v>
      </c>
      <c r="F2341" s="1">
        <f>IFERROR(__xludf.DUMMYFUNCTION("""COMPUTED_VALUE"""),5.9834376E7)</f>
        <v>59834376</v>
      </c>
    </row>
    <row r="2342">
      <c r="A2342" s="2">
        <f>IFERROR(__xludf.DUMMYFUNCTION("""COMPUTED_VALUE"""),34771.666666666664)</f>
        <v>34771.66667</v>
      </c>
      <c r="B2342" s="1">
        <f>IFERROR(__xludf.DUMMYFUNCTION("""COMPUTED_VALUE"""),489.57)</f>
        <v>489.57</v>
      </c>
      <c r="C2342" s="1">
        <f>IFERROR(__xludf.DUMMYFUNCTION("""COMPUTED_VALUE"""),491.28)</f>
        <v>491.28</v>
      </c>
      <c r="D2342" s="1">
        <f>IFERROR(__xludf.DUMMYFUNCTION("""COMPUTED_VALUE"""),489.35)</f>
        <v>489.35</v>
      </c>
      <c r="E2342" s="1">
        <f>IFERROR(__xludf.DUMMYFUNCTION("""COMPUTED_VALUE"""),490.05)</f>
        <v>490.05</v>
      </c>
      <c r="F2342" s="1">
        <f>IFERROR(__xludf.DUMMYFUNCTION("""COMPUTED_VALUE"""),4.30125E7)</f>
        <v>43012500</v>
      </c>
    </row>
    <row r="2343">
      <c r="A2343" s="2">
        <f>IFERROR(__xludf.DUMMYFUNCTION("""COMPUTED_VALUE"""),34772.666666666664)</f>
        <v>34772.66667</v>
      </c>
      <c r="B2343" s="1">
        <f>IFERROR(__xludf.DUMMYFUNCTION("""COMPUTED_VALUE"""),490.05)</f>
        <v>490.05</v>
      </c>
      <c r="C2343" s="1">
        <f>IFERROR(__xludf.DUMMYFUNCTION("""COMPUTED_VALUE"""),493.69)</f>
        <v>493.69</v>
      </c>
      <c r="D2343" s="1">
        <f>IFERROR(__xludf.DUMMYFUNCTION("""COMPUTED_VALUE"""),490.05)</f>
        <v>490.05</v>
      </c>
      <c r="E2343" s="1">
        <f>IFERROR(__xludf.DUMMYFUNCTION("""COMPUTED_VALUE"""),492.89)</f>
        <v>492.89</v>
      </c>
      <c r="F2343" s="1">
        <f>IFERROR(__xludf.DUMMYFUNCTION("""COMPUTED_VALUE"""),5.40875E7)</f>
        <v>54087500</v>
      </c>
    </row>
    <row r="2344">
      <c r="A2344" s="2">
        <f>IFERROR(__xludf.DUMMYFUNCTION("""COMPUTED_VALUE"""),34773.666666666664)</f>
        <v>34773.66667</v>
      </c>
      <c r="B2344" s="1">
        <f>IFERROR(__xludf.DUMMYFUNCTION("""COMPUTED_VALUE"""),492.89)</f>
        <v>492.89</v>
      </c>
      <c r="C2344" s="1">
        <f>IFERROR(__xludf.DUMMYFUNCTION("""COMPUTED_VALUE"""),492.89)</f>
        <v>492.89</v>
      </c>
      <c r="D2344" s="1">
        <f>IFERROR(__xludf.DUMMYFUNCTION("""COMPUTED_VALUE"""),490.83)</f>
        <v>490.83</v>
      </c>
      <c r="E2344" s="1">
        <f>IFERROR(__xludf.DUMMYFUNCTION("""COMPUTED_VALUE"""),491.88)</f>
        <v>491.88</v>
      </c>
      <c r="F2344" s="1">
        <f>IFERROR(__xludf.DUMMYFUNCTION("""COMPUTED_VALUE"""),4.8365624E7)</f>
        <v>48365624</v>
      </c>
    </row>
    <row r="2345">
      <c r="A2345" s="2">
        <f>IFERROR(__xludf.DUMMYFUNCTION("""COMPUTED_VALUE"""),34774.666666666664)</f>
        <v>34774.66667</v>
      </c>
      <c r="B2345" s="1">
        <f>IFERROR(__xludf.DUMMYFUNCTION("""COMPUTED_VALUE"""),491.87)</f>
        <v>491.87</v>
      </c>
      <c r="C2345" s="1">
        <f>IFERROR(__xludf.DUMMYFUNCTION("""COMPUTED_VALUE"""),495.74)</f>
        <v>495.74</v>
      </c>
      <c r="D2345" s="1">
        <f>IFERROR(__xludf.DUMMYFUNCTION("""COMPUTED_VALUE"""),491.78)</f>
        <v>491.78</v>
      </c>
      <c r="E2345" s="1">
        <f>IFERROR(__xludf.DUMMYFUNCTION("""COMPUTED_VALUE"""),495.41)</f>
        <v>495.41</v>
      </c>
      <c r="F2345" s="1">
        <f>IFERROR(__xludf.DUMMYFUNCTION("""COMPUTED_VALUE"""),5.2604688E7)</f>
        <v>52604688</v>
      </c>
    </row>
    <row r="2346">
      <c r="A2346" s="2">
        <f>IFERROR(__xludf.DUMMYFUNCTION("""COMPUTED_VALUE"""),34775.666666666664)</f>
        <v>34775.66667</v>
      </c>
      <c r="B2346" s="1">
        <f>IFERROR(__xludf.DUMMYFUNCTION("""COMPUTED_VALUE"""),495.43)</f>
        <v>495.43</v>
      </c>
      <c r="C2346" s="1">
        <f>IFERROR(__xludf.DUMMYFUNCTION("""COMPUTED_VALUE"""),496.67)</f>
        <v>496.67</v>
      </c>
      <c r="D2346" s="1">
        <f>IFERROR(__xludf.DUMMYFUNCTION("""COMPUTED_VALUE"""),494.95)</f>
        <v>494.95</v>
      </c>
      <c r="E2346" s="1">
        <f>IFERROR(__xludf.DUMMYFUNCTION("""COMPUTED_VALUE"""),495.52)</f>
        <v>495.52</v>
      </c>
      <c r="F2346" s="1">
        <f>IFERROR(__xludf.DUMMYFUNCTION("""COMPUTED_VALUE"""),6.5215624E7)</f>
        <v>65215624</v>
      </c>
    </row>
    <row r="2347">
      <c r="A2347" s="2">
        <f>IFERROR(__xludf.DUMMYFUNCTION("""COMPUTED_VALUE"""),34778.666666666664)</f>
        <v>34778.66667</v>
      </c>
      <c r="B2347" s="1">
        <f>IFERROR(__xludf.DUMMYFUNCTION("""COMPUTED_VALUE"""),495.52)</f>
        <v>495.52</v>
      </c>
      <c r="C2347" s="1">
        <f>IFERROR(__xludf.DUMMYFUNCTION("""COMPUTED_VALUE"""),496.61)</f>
        <v>496.61</v>
      </c>
      <c r="D2347" s="1">
        <f>IFERROR(__xludf.DUMMYFUNCTION("""COMPUTED_VALUE"""),495.27)</f>
        <v>495.27</v>
      </c>
      <c r="E2347" s="1">
        <f>IFERROR(__xludf.DUMMYFUNCTION("""COMPUTED_VALUE"""),496.14)</f>
        <v>496.14</v>
      </c>
      <c r="F2347" s="1">
        <f>IFERROR(__xludf.DUMMYFUNCTION("""COMPUTED_VALUE"""),4.7146876E7)</f>
        <v>47146876</v>
      </c>
    </row>
    <row r="2348">
      <c r="A2348" s="2">
        <f>IFERROR(__xludf.DUMMYFUNCTION("""COMPUTED_VALUE"""),34779.666666666664)</f>
        <v>34779.66667</v>
      </c>
      <c r="B2348" s="1">
        <f>IFERROR(__xludf.DUMMYFUNCTION("""COMPUTED_VALUE"""),496.15)</f>
        <v>496.15</v>
      </c>
      <c r="C2348" s="1">
        <f>IFERROR(__xludf.DUMMYFUNCTION("""COMPUTED_VALUE"""),499.19)</f>
        <v>499.19</v>
      </c>
      <c r="D2348" s="1">
        <f>IFERROR(__xludf.DUMMYFUNCTION("""COMPUTED_VALUE"""),494.04)</f>
        <v>494.04</v>
      </c>
      <c r="E2348" s="1">
        <f>IFERROR(__xludf.DUMMYFUNCTION("""COMPUTED_VALUE"""),495.07)</f>
        <v>495.07</v>
      </c>
      <c r="F2348" s="1">
        <f>IFERROR(__xludf.DUMMYFUNCTION("""COMPUTED_VALUE"""),5.7360936E7)</f>
        <v>57360936</v>
      </c>
    </row>
    <row r="2349">
      <c r="A2349" s="2">
        <f>IFERROR(__xludf.DUMMYFUNCTION("""COMPUTED_VALUE"""),34780.666666666664)</f>
        <v>34780.66667</v>
      </c>
      <c r="B2349" s="1">
        <f>IFERROR(__xludf.DUMMYFUNCTION("""COMPUTED_VALUE"""),495.07)</f>
        <v>495.07</v>
      </c>
      <c r="C2349" s="1">
        <f>IFERROR(__xludf.DUMMYFUNCTION("""COMPUTED_VALUE"""),495.67)</f>
        <v>495.67</v>
      </c>
      <c r="D2349" s="1">
        <f>IFERROR(__xludf.DUMMYFUNCTION("""COMPUTED_VALUE"""),493.67)</f>
        <v>493.67</v>
      </c>
      <c r="E2349" s="1">
        <f>IFERROR(__xludf.DUMMYFUNCTION("""COMPUTED_VALUE"""),495.67)</f>
        <v>495.67</v>
      </c>
      <c r="F2349" s="1">
        <f>IFERROR(__xludf.DUMMYFUNCTION("""COMPUTED_VALUE"""),4.8925E7)</f>
        <v>48925000</v>
      </c>
    </row>
    <row r="2350">
      <c r="A2350" s="2">
        <f>IFERROR(__xludf.DUMMYFUNCTION("""COMPUTED_VALUE"""),34781.666666666664)</f>
        <v>34781.66667</v>
      </c>
      <c r="B2350" s="1">
        <f>IFERROR(__xludf.DUMMYFUNCTION("""COMPUTED_VALUE"""),495.67)</f>
        <v>495.67</v>
      </c>
      <c r="C2350" s="1">
        <f>IFERROR(__xludf.DUMMYFUNCTION("""COMPUTED_VALUE"""),496.77)</f>
        <v>496.77</v>
      </c>
      <c r="D2350" s="1">
        <f>IFERROR(__xludf.DUMMYFUNCTION("""COMPUTED_VALUE"""),494.19)</f>
        <v>494.19</v>
      </c>
      <c r="E2350" s="1">
        <f>IFERROR(__xludf.DUMMYFUNCTION("""COMPUTED_VALUE"""),495.95)</f>
        <v>495.95</v>
      </c>
      <c r="F2350" s="1">
        <f>IFERROR(__xludf.DUMMYFUNCTION("""COMPUTED_VALUE"""),4.9770312E7)</f>
        <v>49770312</v>
      </c>
    </row>
    <row r="2351">
      <c r="A2351" s="2">
        <f>IFERROR(__xludf.DUMMYFUNCTION("""COMPUTED_VALUE"""),34782.666666666664)</f>
        <v>34782.66667</v>
      </c>
      <c r="B2351" s="1">
        <f>IFERROR(__xludf.DUMMYFUNCTION("""COMPUTED_VALUE"""),496.07)</f>
        <v>496.07</v>
      </c>
      <c r="C2351" s="1">
        <f>IFERROR(__xludf.DUMMYFUNCTION("""COMPUTED_VALUE"""),500.97)</f>
        <v>500.97</v>
      </c>
      <c r="D2351" s="1">
        <f>IFERROR(__xludf.DUMMYFUNCTION("""COMPUTED_VALUE"""),496.07)</f>
        <v>496.07</v>
      </c>
      <c r="E2351" s="1">
        <f>IFERROR(__xludf.DUMMYFUNCTION("""COMPUTED_VALUE"""),500.97)</f>
        <v>500.97</v>
      </c>
      <c r="F2351" s="1">
        <f>IFERROR(__xludf.DUMMYFUNCTION("""COMPUTED_VALUE"""),5.5995312E7)</f>
        <v>55995312</v>
      </c>
    </row>
    <row r="2352">
      <c r="A2352" s="2">
        <f>IFERROR(__xludf.DUMMYFUNCTION("""COMPUTED_VALUE"""),34785.666666666664)</f>
        <v>34785.66667</v>
      </c>
      <c r="B2352" s="1">
        <f>IFERROR(__xludf.DUMMYFUNCTION("""COMPUTED_VALUE"""),500.97)</f>
        <v>500.97</v>
      </c>
      <c r="C2352" s="1">
        <f>IFERROR(__xludf.DUMMYFUNCTION("""COMPUTED_VALUE"""),503.2)</f>
        <v>503.2</v>
      </c>
      <c r="D2352" s="1">
        <f>IFERROR(__xludf.DUMMYFUNCTION("""COMPUTED_VALUE"""),500.93)</f>
        <v>500.93</v>
      </c>
      <c r="E2352" s="1">
        <f>IFERROR(__xludf.DUMMYFUNCTION("""COMPUTED_VALUE"""),503.2)</f>
        <v>503.2</v>
      </c>
      <c r="F2352" s="1">
        <f>IFERROR(__xludf.DUMMYFUNCTION("""COMPUTED_VALUE"""),4.6292188E7)</f>
        <v>46292188</v>
      </c>
    </row>
    <row r="2353">
      <c r="A2353" s="2">
        <f>IFERROR(__xludf.DUMMYFUNCTION("""COMPUTED_VALUE"""),34786.666666666664)</f>
        <v>34786.66667</v>
      </c>
      <c r="B2353" s="1">
        <f>IFERROR(__xludf.DUMMYFUNCTION("""COMPUTED_VALUE"""),503.19)</f>
        <v>503.19</v>
      </c>
      <c r="C2353" s="1">
        <f>IFERROR(__xludf.DUMMYFUNCTION("""COMPUTED_VALUE"""),503.91)</f>
        <v>503.91</v>
      </c>
      <c r="D2353" s="1">
        <f>IFERROR(__xludf.DUMMYFUNCTION("""COMPUTED_VALUE"""),501.83)</f>
        <v>501.83</v>
      </c>
      <c r="E2353" s="1">
        <f>IFERROR(__xludf.DUMMYFUNCTION("""COMPUTED_VALUE"""),503.9)</f>
        <v>503.9</v>
      </c>
      <c r="F2353" s="1">
        <f>IFERROR(__xludf.DUMMYFUNCTION("""COMPUTED_VALUE"""),5.0056248E7)</f>
        <v>50056248</v>
      </c>
    </row>
    <row r="2354">
      <c r="A2354" s="2">
        <f>IFERROR(__xludf.DUMMYFUNCTION("""COMPUTED_VALUE"""),34787.666666666664)</f>
        <v>34787.66667</v>
      </c>
      <c r="B2354" s="1">
        <f>IFERROR(__xludf.DUMMYFUNCTION("""COMPUTED_VALUE"""),503.92)</f>
        <v>503.92</v>
      </c>
      <c r="C2354" s="1">
        <f>IFERROR(__xludf.DUMMYFUNCTION("""COMPUTED_VALUE"""),508.15)</f>
        <v>508.15</v>
      </c>
      <c r="D2354" s="1">
        <f>IFERROR(__xludf.DUMMYFUNCTION("""COMPUTED_VALUE"""),500.96)</f>
        <v>500.96</v>
      </c>
      <c r="E2354" s="1">
        <f>IFERROR(__xludf.DUMMYFUNCTION("""COMPUTED_VALUE"""),503.12)</f>
        <v>503.12</v>
      </c>
      <c r="F2354" s="1">
        <f>IFERROR(__xludf.DUMMYFUNCTION("""COMPUTED_VALUE"""),6.0303124E7)</f>
        <v>60303124</v>
      </c>
    </row>
    <row r="2355">
      <c r="A2355" s="2">
        <f>IFERROR(__xludf.DUMMYFUNCTION("""COMPUTED_VALUE"""),34788.666666666664)</f>
        <v>34788.66667</v>
      </c>
      <c r="B2355" s="1">
        <f>IFERROR(__xludf.DUMMYFUNCTION("""COMPUTED_VALUE"""),503.17)</f>
        <v>503.17</v>
      </c>
      <c r="C2355" s="1">
        <f>IFERROR(__xludf.DUMMYFUNCTION("""COMPUTED_VALUE"""),504.66)</f>
        <v>504.66</v>
      </c>
      <c r="D2355" s="1">
        <f>IFERROR(__xludf.DUMMYFUNCTION("""COMPUTED_VALUE"""),501.0)</f>
        <v>501</v>
      </c>
      <c r="E2355" s="1">
        <f>IFERROR(__xludf.DUMMYFUNCTION("""COMPUTED_VALUE"""),502.22)</f>
        <v>502.22</v>
      </c>
      <c r="F2355" s="1">
        <f>IFERROR(__xludf.DUMMYFUNCTION("""COMPUTED_VALUE"""),5.6709376E7)</f>
        <v>56709376</v>
      </c>
    </row>
    <row r="2356">
      <c r="A2356" s="2">
        <f>IFERROR(__xludf.DUMMYFUNCTION("""COMPUTED_VALUE"""),34789.666666666664)</f>
        <v>34789.66667</v>
      </c>
      <c r="B2356" s="1">
        <f>IFERROR(__xludf.DUMMYFUNCTION("""COMPUTED_VALUE"""),501.94)</f>
        <v>501.94</v>
      </c>
      <c r="C2356" s="1">
        <f>IFERROR(__xludf.DUMMYFUNCTION("""COMPUTED_VALUE"""),502.22)</f>
        <v>502.22</v>
      </c>
      <c r="D2356" s="1">
        <f>IFERROR(__xludf.DUMMYFUNCTION("""COMPUTED_VALUE"""),495.7)</f>
        <v>495.7</v>
      </c>
      <c r="E2356" s="1">
        <f>IFERROR(__xludf.DUMMYFUNCTION("""COMPUTED_VALUE"""),500.71)</f>
        <v>500.71</v>
      </c>
      <c r="F2356" s="1">
        <f>IFERROR(__xludf.DUMMYFUNCTION("""COMPUTED_VALUE"""),5.5165624E7)</f>
        <v>55165624</v>
      </c>
    </row>
    <row r="2357">
      <c r="A2357" s="2">
        <f>IFERROR(__xludf.DUMMYFUNCTION("""COMPUTED_VALUE"""),34792.666666666664)</f>
        <v>34792.66667</v>
      </c>
      <c r="B2357" s="1">
        <f>IFERROR(__xludf.DUMMYFUNCTION("""COMPUTED_VALUE"""),500.7)</f>
        <v>500.7</v>
      </c>
      <c r="C2357" s="1">
        <f>IFERROR(__xludf.DUMMYFUNCTION("""COMPUTED_VALUE"""),501.91)</f>
        <v>501.91</v>
      </c>
      <c r="D2357" s="1">
        <f>IFERROR(__xludf.DUMMYFUNCTION("""COMPUTED_VALUE"""),500.2)</f>
        <v>500.2</v>
      </c>
      <c r="E2357" s="1">
        <f>IFERROR(__xludf.DUMMYFUNCTION("""COMPUTED_VALUE"""),501.85)</f>
        <v>501.85</v>
      </c>
      <c r="F2357" s="1">
        <f>IFERROR(__xludf.DUMMYFUNCTION("""COMPUTED_VALUE"""),4.6317188E7)</f>
        <v>46317188</v>
      </c>
    </row>
    <row r="2358">
      <c r="A2358" s="2">
        <f>IFERROR(__xludf.DUMMYFUNCTION("""COMPUTED_VALUE"""),34793.666666666664)</f>
        <v>34793.66667</v>
      </c>
      <c r="B2358" s="1">
        <f>IFERROR(__xludf.DUMMYFUNCTION("""COMPUTED_VALUE"""),501.85)</f>
        <v>501.85</v>
      </c>
      <c r="C2358" s="1">
        <f>IFERROR(__xludf.DUMMYFUNCTION("""COMPUTED_VALUE"""),505.26)</f>
        <v>505.26</v>
      </c>
      <c r="D2358" s="1">
        <f>IFERROR(__xludf.DUMMYFUNCTION("""COMPUTED_VALUE"""),501.85)</f>
        <v>501.85</v>
      </c>
      <c r="E2358" s="1">
        <f>IFERROR(__xludf.DUMMYFUNCTION("""COMPUTED_VALUE"""),505.24)</f>
        <v>505.24</v>
      </c>
      <c r="F2358" s="1">
        <f>IFERROR(__xludf.DUMMYFUNCTION("""COMPUTED_VALUE"""),5.1653124E7)</f>
        <v>51653124</v>
      </c>
    </row>
    <row r="2359">
      <c r="A2359" s="2">
        <f>IFERROR(__xludf.DUMMYFUNCTION("""COMPUTED_VALUE"""),34794.666666666664)</f>
        <v>34794.66667</v>
      </c>
      <c r="B2359" s="1">
        <f>IFERROR(__xludf.DUMMYFUNCTION("""COMPUTED_VALUE"""),505.27)</f>
        <v>505.27</v>
      </c>
      <c r="C2359" s="1">
        <f>IFERROR(__xludf.DUMMYFUNCTION("""COMPUTED_VALUE"""),505.57)</f>
        <v>505.57</v>
      </c>
      <c r="D2359" s="1">
        <f>IFERROR(__xludf.DUMMYFUNCTION("""COMPUTED_VALUE"""),503.17)</f>
        <v>503.17</v>
      </c>
      <c r="E2359" s="1">
        <f>IFERROR(__xludf.DUMMYFUNCTION("""COMPUTED_VALUE"""),505.57)</f>
        <v>505.57</v>
      </c>
      <c r="F2359" s="1">
        <f>IFERROR(__xludf.DUMMYFUNCTION("""COMPUTED_VALUE"""),4.9245312E7)</f>
        <v>49245312</v>
      </c>
    </row>
    <row r="2360">
      <c r="A2360" s="2">
        <f>IFERROR(__xludf.DUMMYFUNCTION("""COMPUTED_VALUE"""),34795.666666666664)</f>
        <v>34795.66667</v>
      </c>
      <c r="B2360" s="1">
        <f>IFERROR(__xludf.DUMMYFUNCTION("""COMPUTED_VALUE"""),505.63)</f>
        <v>505.63</v>
      </c>
      <c r="C2360" s="1">
        <f>IFERROR(__xludf.DUMMYFUNCTION("""COMPUTED_VALUE"""),507.1)</f>
        <v>507.1</v>
      </c>
      <c r="D2360" s="1">
        <f>IFERROR(__xludf.DUMMYFUNCTION("""COMPUTED_VALUE"""),505.0)</f>
        <v>505</v>
      </c>
      <c r="E2360" s="1">
        <f>IFERROR(__xludf.DUMMYFUNCTION("""COMPUTED_VALUE"""),506.08)</f>
        <v>506.08</v>
      </c>
      <c r="F2360" s="1">
        <f>IFERROR(__xludf.DUMMYFUNCTION("""COMPUTED_VALUE"""),5.0071876E7)</f>
        <v>50071876</v>
      </c>
    </row>
    <row r="2361">
      <c r="A2361" s="2">
        <f>IFERROR(__xludf.DUMMYFUNCTION("""COMPUTED_VALUE"""),34796.666666666664)</f>
        <v>34796.66667</v>
      </c>
      <c r="B2361" s="1">
        <f>IFERROR(__xludf.DUMMYFUNCTION("""COMPUTED_VALUE"""),506.13)</f>
        <v>506.13</v>
      </c>
      <c r="C2361" s="1">
        <f>IFERROR(__xludf.DUMMYFUNCTION("""COMPUTED_VALUE"""),507.19)</f>
        <v>507.19</v>
      </c>
      <c r="D2361" s="1">
        <f>IFERROR(__xludf.DUMMYFUNCTION("""COMPUTED_VALUE"""),503.59)</f>
        <v>503.59</v>
      </c>
      <c r="E2361" s="1">
        <f>IFERROR(__xludf.DUMMYFUNCTION("""COMPUTED_VALUE"""),506.42)</f>
        <v>506.42</v>
      </c>
      <c r="F2361" s="1">
        <f>IFERROR(__xludf.DUMMYFUNCTION("""COMPUTED_VALUE"""),4.9181248E7)</f>
        <v>49181248</v>
      </c>
    </row>
    <row r="2362">
      <c r="A2362" s="2">
        <f>IFERROR(__xludf.DUMMYFUNCTION("""COMPUTED_VALUE"""),34799.666666666664)</f>
        <v>34799.66667</v>
      </c>
      <c r="B2362" s="1">
        <f>IFERROR(__xludf.DUMMYFUNCTION("""COMPUTED_VALUE"""),506.3)</f>
        <v>506.3</v>
      </c>
      <c r="C2362" s="1">
        <f>IFERROR(__xludf.DUMMYFUNCTION("""COMPUTED_VALUE"""),507.01)</f>
        <v>507.01</v>
      </c>
      <c r="D2362" s="1">
        <f>IFERROR(__xludf.DUMMYFUNCTION("""COMPUTED_VALUE"""),504.61)</f>
        <v>504.61</v>
      </c>
      <c r="E2362" s="1">
        <f>IFERROR(__xludf.DUMMYFUNCTION("""COMPUTED_VALUE"""),507.01)</f>
        <v>507.01</v>
      </c>
      <c r="F2362" s="1">
        <f>IFERROR(__xludf.DUMMYFUNCTION("""COMPUTED_VALUE"""),4.0778124E7)</f>
        <v>40778124</v>
      </c>
    </row>
    <row r="2363">
      <c r="A2363" s="2">
        <f>IFERROR(__xludf.DUMMYFUNCTION("""COMPUTED_VALUE"""),34800.666666666664)</f>
        <v>34800.66667</v>
      </c>
      <c r="B2363" s="1">
        <f>IFERROR(__xludf.DUMMYFUNCTION("""COMPUTED_VALUE"""),507.24)</f>
        <v>507.24</v>
      </c>
      <c r="C2363" s="1">
        <f>IFERROR(__xludf.DUMMYFUNCTION("""COMPUTED_VALUE"""),508.85)</f>
        <v>508.85</v>
      </c>
      <c r="D2363" s="1">
        <f>IFERROR(__xludf.DUMMYFUNCTION("""COMPUTED_VALUE"""),505.29)</f>
        <v>505.29</v>
      </c>
      <c r="E2363" s="1">
        <f>IFERROR(__xludf.DUMMYFUNCTION("""COMPUTED_VALUE"""),505.53)</f>
        <v>505.53</v>
      </c>
      <c r="F2363" s="1">
        <f>IFERROR(__xludf.DUMMYFUNCTION("""COMPUTED_VALUE"""),4.8540624E7)</f>
        <v>48540624</v>
      </c>
    </row>
    <row r="2364">
      <c r="A2364" s="2">
        <f>IFERROR(__xludf.DUMMYFUNCTION("""COMPUTED_VALUE"""),34801.666666666664)</f>
        <v>34801.66667</v>
      </c>
      <c r="B2364" s="1">
        <f>IFERROR(__xludf.DUMMYFUNCTION("""COMPUTED_VALUE"""),505.59)</f>
        <v>505.59</v>
      </c>
      <c r="C2364" s="1">
        <f>IFERROR(__xludf.DUMMYFUNCTION("""COMPUTED_VALUE"""),507.17)</f>
        <v>507.17</v>
      </c>
      <c r="D2364" s="1">
        <f>IFERROR(__xludf.DUMMYFUNCTION("""COMPUTED_VALUE"""),505.07)</f>
        <v>505.07</v>
      </c>
      <c r="E2364" s="1">
        <f>IFERROR(__xludf.DUMMYFUNCTION("""COMPUTED_VALUE"""),507.17)</f>
        <v>507.17</v>
      </c>
      <c r="F2364" s="1">
        <f>IFERROR(__xludf.DUMMYFUNCTION("""COMPUTED_VALUE"""),5.1231248E7)</f>
        <v>51231248</v>
      </c>
    </row>
    <row r="2365">
      <c r="A2365" s="2">
        <f>IFERROR(__xludf.DUMMYFUNCTION("""COMPUTED_VALUE"""),34802.666666666664)</f>
        <v>34802.66667</v>
      </c>
      <c r="B2365" s="1">
        <f>IFERROR(__xludf.DUMMYFUNCTION("""COMPUTED_VALUE"""),507.19)</f>
        <v>507.19</v>
      </c>
      <c r="C2365" s="1">
        <f>IFERROR(__xludf.DUMMYFUNCTION("""COMPUTED_VALUE"""),509.83)</f>
        <v>509.83</v>
      </c>
      <c r="D2365" s="1">
        <f>IFERROR(__xludf.DUMMYFUNCTION("""COMPUTED_VALUE"""),507.19)</f>
        <v>507.19</v>
      </c>
      <c r="E2365" s="1">
        <f>IFERROR(__xludf.DUMMYFUNCTION("""COMPUTED_VALUE"""),509.23)</f>
        <v>509.23</v>
      </c>
      <c r="F2365" s="1">
        <f>IFERROR(__xludf.DUMMYFUNCTION("""COMPUTED_VALUE"""),4.7121876E7)</f>
        <v>47121876</v>
      </c>
    </row>
    <row r="2366">
      <c r="A2366" s="2">
        <f>IFERROR(__xludf.DUMMYFUNCTION("""COMPUTED_VALUE"""),34803.666666666664)</f>
        <v>34803.66667</v>
      </c>
      <c r="B2366" s="1">
        <f>IFERROR(__xludf.DUMMYFUNCTION("""COMPUTED_VALUE"""),509.23)</f>
        <v>509.23</v>
      </c>
      <c r="C2366" s="1">
        <f>IFERROR(__xludf.DUMMYFUNCTION("""COMPUTED_VALUE"""),509.23)</f>
        <v>509.23</v>
      </c>
      <c r="D2366" s="1">
        <f>IFERROR(__xludf.DUMMYFUNCTION("""COMPUTED_VALUE"""),509.23)</f>
        <v>509.23</v>
      </c>
      <c r="E2366" s="1">
        <f>IFERROR(__xludf.DUMMYFUNCTION("""COMPUTED_VALUE"""),509.23)</f>
        <v>509.23</v>
      </c>
      <c r="F2366" s="1">
        <f>IFERROR(__xludf.DUMMYFUNCTION("""COMPUTED_VALUE"""),0.0)</f>
        <v>0</v>
      </c>
    </row>
    <row r="2367">
      <c r="A2367" s="2">
        <f>IFERROR(__xludf.DUMMYFUNCTION("""COMPUTED_VALUE"""),34806.666666666664)</f>
        <v>34806.66667</v>
      </c>
      <c r="B2367" s="1">
        <f>IFERROR(__xludf.DUMMYFUNCTION("""COMPUTED_VALUE"""),507.17)</f>
        <v>507.17</v>
      </c>
      <c r="C2367" s="1">
        <f>IFERROR(__xludf.DUMMYFUNCTION("""COMPUTED_VALUE"""),512.03)</f>
        <v>512.03</v>
      </c>
      <c r="D2367" s="1">
        <f>IFERROR(__xludf.DUMMYFUNCTION("""COMPUTED_VALUE"""),505.43)</f>
        <v>505.43</v>
      </c>
      <c r="E2367" s="1">
        <f>IFERROR(__xludf.DUMMYFUNCTION("""COMPUTED_VALUE"""),506.13)</f>
        <v>506.13</v>
      </c>
      <c r="F2367" s="1">
        <f>IFERROR(__xludf.DUMMYFUNCTION("""COMPUTED_VALUE"""),5.2176564E7)</f>
        <v>52176564</v>
      </c>
    </row>
    <row r="2368">
      <c r="A2368" s="2">
        <f>IFERROR(__xludf.DUMMYFUNCTION("""COMPUTED_VALUE"""),34807.666666666664)</f>
        <v>34807.66667</v>
      </c>
      <c r="B2368" s="1">
        <f>IFERROR(__xludf.DUMMYFUNCTION("""COMPUTED_VALUE"""),506.43)</f>
        <v>506.43</v>
      </c>
      <c r="C2368" s="1">
        <f>IFERROR(__xludf.DUMMYFUNCTION("""COMPUTED_VALUE"""),507.65)</f>
        <v>507.65</v>
      </c>
      <c r="D2368" s="1">
        <f>IFERROR(__xludf.DUMMYFUNCTION("""COMPUTED_VALUE"""),504.12)</f>
        <v>504.12</v>
      </c>
      <c r="E2368" s="1">
        <f>IFERROR(__xludf.DUMMYFUNCTION("""COMPUTED_VALUE"""),505.37)</f>
        <v>505.37</v>
      </c>
      <c r="F2368" s="1">
        <f>IFERROR(__xludf.DUMMYFUNCTION("""COMPUTED_VALUE"""),5.3856248E7)</f>
        <v>53856248</v>
      </c>
    </row>
    <row r="2369">
      <c r="A2369" s="2">
        <f>IFERROR(__xludf.DUMMYFUNCTION("""COMPUTED_VALUE"""),34808.666666666664)</f>
        <v>34808.66667</v>
      </c>
      <c r="B2369" s="1">
        <f>IFERROR(__xludf.DUMMYFUNCTION("""COMPUTED_VALUE"""),505.37)</f>
        <v>505.37</v>
      </c>
      <c r="C2369" s="1">
        <f>IFERROR(__xludf.DUMMYFUNCTION("""COMPUTED_VALUE"""),505.89)</f>
        <v>505.89</v>
      </c>
      <c r="D2369" s="1">
        <f>IFERROR(__xludf.DUMMYFUNCTION("""COMPUTED_VALUE"""),501.19)</f>
        <v>501.19</v>
      </c>
      <c r="E2369" s="1">
        <f>IFERROR(__xludf.DUMMYFUNCTION("""COMPUTED_VALUE"""),504.92)</f>
        <v>504.92</v>
      </c>
      <c r="F2369" s="1">
        <f>IFERROR(__xludf.DUMMYFUNCTION("""COMPUTED_VALUE"""),5.9070312E7)</f>
        <v>59070312</v>
      </c>
    </row>
    <row r="2370">
      <c r="A2370" s="2">
        <f>IFERROR(__xludf.DUMMYFUNCTION("""COMPUTED_VALUE"""),34809.666666666664)</f>
        <v>34809.66667</v>
      </c>
      <c r="B2370" s="1">
        <f>IFERROR(__xludf.DUMMYFUNCTION("""COMPUTED_VALUE"""),504.95)</f>
        <v>504.95</v>
      </c>
      <c r="C2370" s="1">
        <f>IFERROR(__xludf.DUMMYFUNCTION("""COMPUTED_VALUE"""),506.5)</f>
        <v>506.5</v>
      </c>
      <c r="D2370" s="1">
        <f>IFERROR(__xludf.DUMMYFUNCTION("""COMPUTED_VALUE"""),503.44)</f>
        <v>503.44</v>
      </c>
      <c r="E2370" s="1">
        <f>IFERROR(__xludf.DUMMYFUNCTION("""COMPUTED_VALUE"""),505.29)</f>
        <v>505.29</v>
      </c>
      <c r="F2370" s="1">
        <f>IFERROR(__xludf.DUMMYFUNCTION("""COMPUTED_VALUE"""),5.7570312E7)</f>
        <v>57570312</v>
      </c>
    </row>
    <row r="2371">
      <c r="A2371" s="2">
        <f>IFERROR(__xludf.DUMMYFUNCTION("""COMPUTED_VALUE"""),34810.666666666664)</f>
        <v>34810.66667</v>
      </c>
      <c r="B2371" s="1">
        <f>IFERROR(__xludf.DUMMYFUNCTION("""COMPUTED_VALUE"""),505.31)</f>
        <v>505.31</v>
      </c>
      <c r="C2371" s="1">
        <f>IFERROR(__xludf.DUMMYFUNCTION("""COMPUTED_VALUE"""),508.49)</f>
        <v>508.49</v>
      </c>
      <c r="D2371" s="1">
        <f>IFERROR(__xludf.DUMMYFUNCTION("""COMPUTED_VALUE"""),505.31)</f>
        <v>505.31</v>
      </c>
      <c r="E2371" s="1">
        <f>IFERROR(__xludf.DUMMYFUNCTION("""COMPUTED_VALUE"""),508.49)</f>
        <v>508.49</v>
      </c>
      <c r="F2371" s="1">
        <f>IFERROR(__xludf.DUMMYFUNCTION("""COMPUTED_VALUE"""),6.3007812E7)</f>
        <v>63007812</v>
      </c>
    </row>
    <row r="2372">
      <c r="A2372" s="2">
        <f>IFERROR(__xludf.DUMMYFUNCTION("""COMPUTED_VALUE"""),34813.666666666664)</f>
        <v>34813.66667</v>
      </c>
      <c r="B2372" s="1">
        <f>IFERROR(__xludf.DUMMYFUNCTION("""COMPUTED_VALUE"""),508.49)</f>
        <v>508.49</v>
      </c>
      <c r="C2372" s="1">
        <f>IFERROR(__xludf.DUMMYFUNCTION("""COMPUTED_VALUE"""),513.02)</f>
        <v>513.02</v>
      </c>
      <c r="D2372" s="1">
        <f>IFERROR(__xludf.DUMMYFUNCTION("""COMPUTED_VALUE"""),507.44)</f>
        <v>507.44</v>
      </c>
      <c r="E2372" s="1">
        <f>IFERROR(__xludf.DUMMYFUNCTION("""COMPUTED_VALUE"""),512.89)</f>
        <v>512.89</v>
      </c>
      <c r="F2372" s="1">
        <f>IFERROR(__xludf.DUMMYFUNCTION("""COMPUTED_VALUE"""),5.0981248E7)</f>
        <v>50981248</v>
      </c>
    </row>
    <row r="2373">
      <c r="A2373" s="2">
        <f>IFERROR(__xludf.DUMMYFUNCTION("""COMPUTED_VALUE"""),34814.666666666664)</f>
        <v>34814.66667</v>
      </c>
      <c r="B2373" s="1">
        <f>IFERROR(__xludf.DUMMYFUNCTION("""COMPUTED_VALUE"""),512.85)</f>
        <v>512.85</v>
      </c>
      <c r="C2373" s="1">
        <f>IFERROR(__xludf.DUMMYFUNCTION("""COMPUTED_VALUE"""),513.54)</f>
        <v>513.54</v>
      </c>
      <c r="D2373" s="1">
        <f>IFERROR(__xludf.DUMMYFUNCTION("""COMPUTED_VALUE"""),511.32)</f>
        <v>511.32</v>
      </c>
      <c r="E2373" s="1">
        <f>IFERROR(__xludf.DUMMYFUNCTION("""COMPUTED_VALUE"""),512.1)</f>
        <v>512.1</v>
      </c>
      <c r="F2373" s="1">
        <f>IFERROR(__xludf.DUMMYFUNCTION("""COMPUTED_VALUE"""),5.4967188E7)</f>
        <v>54967188</v>
      </c>
    </row>
    <row r="2374">
      <c r="A2374" s="2">
        <f>IFERROR(__xludf.DUMMYFUNCTION("""COMPUTED_VALUE"""),34815.666666666664)</f>
        <v>34815.66667</v>
      </c>
      <c r="B2374" s="1">
        <f>IFERROR(__xludf.DUMMYFUNCTION("""COMPUTED_VALUE"""),512.1)</f>
        <v>512.1</v>
      </c>
      <c r="C2374" s="1">
        <f>IFERROR(__xludf.DUMMYFUNCTION("""COMPUTED_VALUE"""),513.04)</f>
        <v>513.04</v>
      </c>
      <c r="D2374" s="1">
        <f>IFERROR(__xludf.DUMMYFUNCTION("""COMPUTED_VALUE"""),510.47)</f>
        <v>510.47</v>
      </c>
      <c r="E2374" s="1">
        <f>IFERROR(__xludf.DUMMYFUNCTION("""COMPUTED_VALUE"""),512.66)</f>
        <v>512.66</v>
      </c>
      <c r="F2374" s="1">
        <f>IFERROR(__xludf.DUMMYFUNCTION("""COMPUTED_VALUE"""),5.4814064E7)</f>
        <v>54814064</v>
      </c>
    </row>
    <row r="2375">
      <c r="A2375" s="2">
        <f>IFERROR(__xludf.DUMMYFUNCTION("""COMPUTED_VALUE"""),34816.666666666664)</f>
        <v>34816.66667</v>
      </c>
      <c r="B2375" s="1">
        <f>IFERROR(__xludf.DUMMYFUNCTION("""COMPUTED_VALUE"""),512.68)</f>
        <v>512.68</v>
      </c>
      <c r="C2375" s="1">
        <f>IFERROR(__xludf.DUMMYFUNCTION("""COMPUTED_VALUE"""),513.62)</f>
        <v>513.62</v>
      </c>
      <c r="D2375" s="1">
        <f>IFERROR(__xludf.DUMMYFUNCTION("""COMPUTED_VALUE"""),511.63)</f>
        <v>511.63</v>
      </c>
      <c r="E2375" s="1">
        <f>IFERROR(__xludf.DUMMYFUNCTION("""COMPUTED_VALUE"""),513.55)</f>
        <v>513.55</v>
      </c>
      <c r="F2375" s="1">
        <f>IFERROR(__xludf.DUMMYFUNCTION("""COMPUTED_VALUE"""),5.4820312E7)</f>
        <v>54820312</v>
      </c>
    </row>
    <row r="2376">
      <c r="A2376" s="2">
        <f>IFERROR(__xludf.DUMMYFUNCTION("""COMPUTED_VALUE"""),34817.666666666664)</f>
        <v>34817.66667</v>
      </c>
      <c r="B2376" s="1">
        <f>IFERROR(__xludf.DUMMYFUNCTION("""COMPUTED_VALUE"""),513.64)</f>
        <v>513.64</v>
      </c>
      <c r="C2376" s="1">
        <f>IFERROR(__xludf.DUMMYFUNCTION("""COMPUTED_VALUE"""),515.29)</f>
        <v>515.29</v>
      </c>
      <c r="D2376" s="1">
        <f>IFERROR(__xludf.DUMMYFUNCTION("""COMPUTED_VALUE"""),510.9)</f>
        <v>510.9</v>
      </c>
      <c r="E2376" s="1">
        <f>IFERROR(__xludf.DUMMYFUNCTION("""COMPUTED_VALUE"""),514.71)</f>
        <v>514.71</v>
      </c>
      <c r="F2376" s="1">
        <f>IFERROR(__xludf.DUMMYFUNCTION("""COMPUTED_VALUE"""),5.0068752E7)</f>
        <v>50068752</v>
      </c>
    </row>
    <row r="2377">
      <c r="A2377" s="2">
        <f>IFERROR(__xludf.DUMMYFUNCTION("""COMPUTED_VALUE"""),34820.666666666664)</f>
        <v>34820.66667</v>
      </c>
      <c r="B2377" s="1">
        <f>IFERROR(__xludf.DUMMYFUNCTION("""COMPUTED_VALUE"""),514.73)</f>
        <v>514.73</v>
      </c>
      <c r="C2377" s="1">
        <f>IFERROR(__xludf.DUMMYFUNCTION("""COMPUTED_VALUE"""),515.6)</f>
        <v>515.6</v>
      </c>
      <c r="D2377" s="1">
        <f>IFERROR(__xludf.DUMMYFUNCTION("""COMPUTED_VALUE"""),513.42)</f>
        <v>513.42</v>
      </c>
      <c r="E2377" s="1">
        <f>IFERROR(__xludf.DUMMYFUNCTION("""COMPUTED_VALUE"""),514.26)</f>
        <v>514.26</v>
      </c>
      <c r="F2377" s="1">
        <f>IFERROR(__xludf.DUMMYFUNCTION("""COMPUTED_VALUE"""),4.6379688E7)</f>
        <v>46379688</v>
      </c>
    </row>
    <row r="2378">
      <c r="A2378" s="2">
        <f>IFERROR(__xludf.DUMMYFUNCTION("""COMPUTED_VALUE"""),34821.666666666664)</f>
        <v>34821.66667</v>
      </c>
      <c r="B2378" s="1">
        <f>IFERROR(__xludf.DUMMYFUNCTION("""COMPUTED_VALUE"""),514.26)</f>
        <v>514.26</v>
      </c>
      <c r="C2378" s="1">
        <f>IFERROR(__xludf.DUMMYFUNCTION("""COMPUTED_VALUE"""),515.18)</f>
        <v>515.18</v>
      </c>
      <c r="D2378" s="1">
        <f>IFERROR(__xludf.DUMMYFUNCTION("""COMPUTED_VALUE"""),513.03)</f>
        <v>513.03</v>
      </c>
      <c r="E2378" s="1">
        <f>IFERROR(__xludf.DUMMYFUNCTION("""COMPUTED_VALUE"""),514.86)</f>
        <v>514.86</v>
      </c>
      <c r="F2378" s="1">
        <f>IFERROR(__xludf.DUMMYFUNCTION("""COMPUTED_VALUE"""),4.7275E7)</f>
        <v>47275000</v>
      </c>
    </row>
    <row r="2379">
      <c r="A2379" s="2">
        <f>IFERROR(__xludf.DUMMYFUNCTION("""COMPUTED_VALUE"""),34822.666666666664)</f>
        <v>34822.66667</v>
      </c>
      <c r="B2379" s="1">
        <f>IFERROR(__xludf.DUMMYFUNCTION("""COMPUTED_VALUE"""),514.86)</f>
        <v>514.86</v>
      </c>
      <c r="C2379" s="1">
        <f>IFERROR(__xludf.DUMMYFUNCTION("""COMPUTED_VALUE"""),520.54)</f>
        <v>520.54</v>
      </c>
      <c r="D2379" s="1">
        <f>IFERROR(__xludf.DUMMYFUNCTION("""COMPUTED_VALUE"""),514.86)</f>
        <v>514.86</v>
      </c>
      <c r="E2379" s="1">
        <f>IFERROR(__xludf.DUMMYFUNCTION("""COMPUTED_VALUE"""),520.48)</f>
        <v>520.48</v>
      </c>
      <c r="F2379" s="1">
        <f>IFERROR(__xludf.DUMMYFUNCTION("""COMPUTED_VALUE"""),6.1307812E7)</f>
        <v>61307812</v>
      </c>
    </row>
    <row r="2380">
      <c r="A2380" s="2">
        <f>IFERROR(__xludf.DUMMYFUNCTION("""COMPUTED_VALUE"""),34823.666666666664)</f>
        <v>34823.66667</v>
      </c>
      <c r="B2380" s="1">
        <f>IFERROR(__xludf.DUMMYFUNCTION("""COMPUTED_VALUE"""),521.17)</f>
        <v>521.17</v>
      </c>
      <c r="C2380" s="1">
        <f>IFERROR(__xludf.DUMMYFUNCTION("""COMPUTED_VALUE"""),525.4)</f>
        <v>525.4</v>
      </c>
      <c r="D2380" s="1">
        <f>IFERROR(__xludf.DUMMYFUNCTION("""COMPUTED_VALUE"""),519.45)</f>
        <v>519.45</v>
      </c>
      <c r="E2380" s="1">
        <f>IFERROR(__xludf.DUMMYFUNCTION("""COMPUTED_VALUE"""),520.54)</f>
        <v>520.54</v>
      </c>
      <c r="F2380" s="1">
        <f>IFERROR(__xludf.DUMMYFUNCTION("""COMPUTED_VALUE"""),6.7967184E7)</f>
        <v>67967184</v>
      </c>
    </row>
    <row r="2381">
      <c r="A2381" s="2">
        <f>IFERROR(__xludf.DUMMYFUNCTION("""COMPUTED_VALUE"""),34824.666666666664)</f>
        <v>34824.66667</v>
      </c>
      <c r="B2381" s="1">
        <f>IFERROR(__xludf.DUMMYFUNCTION("""COMPUTED_VALUE"""),520.64)</f>
        <v>520.64</v>
      </c>
      <c r="C2381" s="1">
        <f>IFERROR(__xludf.DUMMYFUNCTION("""COMPUTED_VALUE"""),522.35)</f>
        <v>522.35</v>
      </c>
      <c r="D2381" s="1">
        <f>IFERROR(__xludf.DUMMYFUNCTION("""COMPUTED_VALUE"""),518.28)</f>
        <v>518.28</v>
      </c>
      <c r="E2381" s="1">
        <f>IFERROR(__xludf.DUMMYFUNCTION("""COMPUTED_VALUE"""),520.12)</f>
        <v>520.12</v>
      </c>
      <c r="F2381" s="1">
        <f>IFERROR(__xludf.DUMMYFUNCTION("""COMPUTED_VALUE"""),5.3496876E7)</f>
        <v>53496876</v>
      </c>
    </row>
    <row r="2382">
      <c r="A2382" s="2">
        <f>IFERROR(__xludf.DUMMYFUNCTION("""COMPUTED_VALUE"""),34827.666666666664)</f>
        <v>34827.66667</v>
      </c>
      <c r="B2382" s="1">
        <f>IFERROR(__xludf.DUMMYFUNCTION("""COMPUTED_VALUE"""),520.14)</f>
        <v>520.14</v>
      </c>
      <c r="C2382" s="1">
        <f>IFERROR(__xludf.DUMMYFUNCTION("""COMPUTED_VALUE"""),525.15)</f>
        <v>525.15</v>
      </c>
      <c r="D2382" s="1">
        <f>IFERROR(__xludf.DUMMYFUNCTION("""COMPUTED_VALUE"""),519.14)</f>
        <v>519.14</v>
      </c>
      <c r="E2382" s="1">
        <f>IFERROR(__xludf.DUMMYFUNCTION("""COMPUTED_VALUE"""),523.96)</f>
        <v>523.96</v>
      </c>
      <c r="F2382" s="1">
        <f>IFERROR(__xludf.DUMMYFUNCTION("""COMPUTED_VALUE"""),4.5595312E7)</f>
        <v>45595312</v>
      </c>
    </row>
    <row r="2383">
      <c r="A2383" s="2">
        <f>IFERROR(__xludf.DUMMYFUNCTION("""COMPUTED_VALUE"""),34828.666666666664)</f>
        <v>34828.66667</v>
      </c>
      <c r="B2383" s="1">
        <f>IFERROR(__xludf.DUMMYFUNCTION("""COMPUTED_VALUE"""),523.96)</f>
        <v>523.96</v>
      </c>
      <c r="C2383" s="1">
        <f>IFERROR(__xludf.DUMMYFUNCTION("""COMPUTED_VALUE"""),525.99)</f>
        <v>525.99</v>
      </c>
      <c r="D2383" s="1">
        <f>IFERROR(__xludf.DUMMYFUNCTION("""COMPUTED_VALUE"""),521.79)</f>
        <v>521.79</v>
      </c>
      <c r="E2383" s="1">
        <f>IFERROR(__xludf.DUMMYFUNCTION("""COMPUTED_VALUE"""),523.56)</f>
        <v>523.56</v>
      </c>
      <c r="F2383" s="1">
        <f>IFERROR(__xludf.DUMMYFUNCTION("""COMPUTED_VALUE"""),5.6453124E7)</f>
        <v>56453124</v>
      </c>
    </row>
    <row r="2384">
      <c r="A2384" s="2">
        <f>IFERROR(__xludf.DUMMYFUNCTION("""COMPUTED_VALUE"""),34829.666666666664)</f>
        <v>34829.66667</v>
      </c>
      <c r="B2384" s="1">
        <f>IFERROR(__xludf.DUMMYFUNCTION("""COMPUTED_VALUE"""),523.68)</f>
        <v>523.68</v>
      </c>
      <c r="C2384" s="1">
        <f>IFERROR(__xludf.DUMMYFUNCTION("""COMPUTED_VALUE"""),524.4)</f>
        <v>524.4</v>
      </c>
      <c r="D2384" s="1">
        <f>IFERROR(__xludf.DUMMYFUNCTION("""COMPUTED_VALUE"""),521.53)</f>
        <v>521.53</v>
      </c>
      <c r="E2384" s="1">
        <f>IFERROR(__xludf.DUMMYFUNCTION("""COMPUTED_VALUE"""),524.36)</f>
        <v>524.36</v>
      </c>
      <c r="F2384" s="1">
        <f>IFERROR(__xludf.DUMMYFUNCTION("""COMPUTED_VALUE"""),5.9685936E7)</f>
        <v>59685936</v>
      </c>
    </row>
    <row r="2385">
      <c r="A2385" s="2">
        <f>IFERROR(__xludf.DUMMYFUNCTION("""COMPUTED_VALUE"""),34830.666666666664)</f>
        <v>34830.66667</v>
      </c>
      <c r="B2385" s="1">
        <f>IFERROR(__xludf.DUMMYFUNCTION("""COMPUTED_VALUE"""),524.36)</f>
        <v>524.36</v>
      </c>
      <c r="C2385" s="1">
        <f>IFERROR(__xludf.DUMMYFUNCTION("""COMPUTED_VALUE"""),524.89)</f>
        <v>524.89</v>
      </c>
      <c r="D2385" s="1">
        <f>IFERROR(__xludf.DUMMYFUNCTION("""COMPUTED_VALUE"""),522.7)</f>
        <v>522.7</v>
      </c>
      <c r="E2385" s="1">
        <f>IFERROR(__xludf.DUMMYFUNCTION("""COMPUTED_VALUE"""),524.37)</f>
        <v>524.37</v>
      </c>
      <c r="F2385" s="1">
        <f>IFERROR(__xludf.DUMMYFUNCTION("""COMPUTED_VALUE"""),5.3109376E7)</f>
        <v>53109376</v>
      </c>
    </row>
    <row r="2386">
      <c r="A2386" s="2">
        <f>IFERROR(__xludf.DUMMYFUNCTION("""COMPUTED_VALUE"""),34831.666666666664)</f>
        <v>34831.66667</v>
      </c>
      <c r="B2386" s="1">
        <f>IFERROR(__xludf.DUMMYFUNCTION("""COMPUTED_VALUE"""),524.37)</f>
        <v>524.37</v>
      </c>
      <c r="C2386" s="1">
        <f>IFERROR(__xludf.DUMMYFUNCTION("""COMPUTED_VALUE"""),527.05)</f>
        <v>527.05</v>
      </c>
      <c r="D2386" s="1">
        <f>IFERROR(__xludf.DUMMYFUNCTION("""COMPUTED_VALUE"""),523.3)</f>
        <v>523.3</v>
      </c>
      <c r="E2386" s="1">
        <f>IFERROR(__xludf.DUMMYFUNCTION("""COMPUTED_VALUE"""),525.55)</f>
        <v>525.55</v>
      </c>
      <c r="F2386" s="1">
        <f>IFERROR(__xludf.DUMMYFUNCTION("""COMPUTED_VALUE"""),5.6406248E7)</f>
        <v>56406248</v>
      </c>
    </row>
    <row r="2387">
      <c r="A2387" s="2">
        <f>IFERROR(__xludf.DUMMYFUNCTION("""COMPUTED_VALUE"""),34834.666666666664)</f>
        <v>34834.66667</v>
      </c>
      <c r="B2387" s="1">
        <f>IFERROR(__xludf.DUMMYFUNCTION("""COMPUTED_VALUE"""),525.57)</f>
        <v>525.57</v>
      </c>
      <c r="C2387" s="1">
        <f>IFERROR(__xludf.DUMMYFUNCTION("""COMPUTED_VALUE"""),527.74)</f>
        <v>527.74</v>
      </c>
      <c r="D2387" s="1">
        <f>IFERROR(__xludf.DUMMYFUNCTION("""COMPUTED_VALUE"""),525.0)</f>
        <v>525</v>
      </c>
      <c r="E2387" s="1">
        <f>IFERROR(__xludf.DUMMYFUNCTION("""COMPUTED_VALUE"""),527.74)</f>
        <v>527.74</v>
      </c>
      <c r="F2387" s="1">
        <f>IFERROR(__xludf.DUMMYFUNCTION("""COMPUTED_VALUE"""),4.94125E7)</f>
        <v>49412500</v>
      </c>
    </row>
    <row r="2388">
      <c r="A2388" s="2">
        <f>IFERROR(__xludf.DUMMYFUNCTION("""COMPUTED_VALUE"""),34835.666666666664)</f>
        <v>34835.66667</v>
      </c>
      <c r="B2388" s="1">
        <f>IFERROR(__xludf.DUMMYFUNCTION("""COMPUTED_VALUE"""),527.73)</f>
        <v>527.73</v>
      </c>
      <c r="C2388" s="1">
        <f>IFERROR(__xludf.DUMMYFUNCTION("""COMPUTED_VALUE"""),529.08)</f>
        <v>529.08</v>
      </c>
      <c r="D2388" s="1">
        <f>IFERROR(__xludf.DUMMYFUNCTION("""COMPUTED_VALUE"""),526.45)</f>
        <v>526.45</v>
      </c>
      <c r="E2388" s="1">
        <f>IFERROR(__xludf.DUMMYFUNCTION("""COMPUTED_VALUE"""),528.19)</f>
        <v>528.19</v>
      </c>
      <c r="F2388" s="1">
        <f>IFERROR(__xludf.DUMMYFUNCTION("""COMPUTED_VALUE"""),5.7215624E7)</f>
        <v>57215624</v>
      </c>
    </row>
    <row r="2389">
      <c r="A2389" s="2">
        <f>IFERROR(__xludf.DUMMYFUNCTION("""COMPUTED_VALUE"""),34836.666666666664)</f>
        <v>34836.66667</v>
      </c>
      <c r="B2389" s="1">
        <f>IFERROR(__xludf.DUMMYFUNCTION("""COMPUTED_VALUE"""),528.29)</f>
        <v>528.29</v>
      </c>
      <c r="C2389" s="1">
        <f>IFERROR(__xludf.DUMMYFUNCTION("""COMPUTED_VALUE"""),528.42)</f>
        <v>528.42</v>
      </c>
      <c r="D2389" s="1">
        <f>IFERROR(__xludf.DUMMYFUNCTION("""COMPUTED_VALUE"""),525.38)</f>
        <v>525.38</v>
      </c>
      <c r="E2389" s="1">
        <f>IFERROR(__xludf.DUMMYFUNCTION("""COMPUTED_VALUE"""),527.07)</f>
        <v>527.07</v>
      </c>
      <c r="F2389" s="1">
        <f>IFERROR(__xludf.DUMMYFUNCTION("""COMPUTED_VALUE"""),5.4364064E7)</f>
        <v>54364064</v>
      </c>
    </row>
    <row r="2390">
      <c r="A2390" s="2">
        <f>IFERROR(__xludf.DUMMYFUNCTION("""COMPUTED_VALUE"""),34837.666666666664)</f>
        <v>34837.66667</v>
      </c>
      <c r="B2390" s="1">
        <f>IFERROR(__xludf.DUMMYFUNCTION("""COMPUTED_VALUE"""),527.07)</f>
        <v>527.07</v>
      </c>
      <c r="C2390" s="1">
        <f>IFERROR(__xludf.DUMMYFUNCTION("""COMPUTED_VALUE"""),527.07)</f>
        <v>527.07</v>
      </c>
      <c r="D2390" s="1">
        <f>IFERROR(__xludf.DUMMYFUNCTION("""COMPUTED_VALUE"""),519.58)</f>
        <v>519.58</v>
      </c>
      <c r="E2390" s="1">
        <f>IFERROR(__xludf.DUMMYFUNCTION("""COMPUTED_VALUE"""),519.58)</f>
        <v>519.58</v>
      </c>
      <c r="F2390" s="1">
        <f>IFERROR(__xludf.DUMMYFUNCTION("""COMPUTED_VALUE"""),5.4984376E7)</f>
        <v>54984376</v>
      </c>
    </row>
    <row r="2391">
      <c r="A2391" s="2">
        <f>IFERROR(__xludf.DUMMYFUNCTION("""COMPUTED_VALUE"""),34838.666666666664)</f>
        <v>34838.66667</v>
      </c>
      <c r="B2391" s="1">
        <f>IFERROR(__xludf.DUMMYFUNCTION("""COMPUTED_VALUE"""),519.58)</f>
        <v>519.58</v>
      </c>
      <c r="C2391" s="1">
        <f>IFERROR(__xludf.DUMMYFUNCTION("""COMPUTED_VALUE"""),519.58)</f>
        <v>519.58</v>
      </c>
      <c r="D2391" s="1">
        <f>IFERROR(__xludf.DUMMYFUNCTION("""COMPUTED_VALUE"""),517.07)</f>
        <v>517.07</v>
      </c>
      <c r="E2391" s="1">
        <f>IFERROR(__xludf.DUMMYFUNCTION("""COMPUTED_VALUE"""),519.19)</f>
        <v>519.19</v>
      </c>
      <c r="F2391" s="1">
        <f>IFERROR(__xludf.DUMMYFUNCTION("""COMPUTED_VALUE"""),5.5314064E7)</f>
        <v>55314064</v>
      </c>
    </row>
    <row r="2392">
      <c r="A2392" s="2">
        <f>IFERROR(__xludf.DUMMYFUNCTION("""COMPUTED_VALUE"""),34841.666666666664)</f>
        <v>34841.66667</v>
      </c>
      <c r="B2392" s="1">
        <f>IFERROR(__xludf.DUMMYFUNCTION("""COMPUTED_VALUE"""),519.2)</f>
        <v>519.2</v>
      </c>
      <c r="C2392" s="1">
        <f>IFERROR(__xludf.DUMMYFUNCTION("""COMPUTED_VALUE"""),524.34)</f>
        <v>524.34</v>
      </c>
      <c r="D2392" s="1">
        <f>IFERROR(__xludf.DUMMYFUNCTION("""COMPUTED_VALUE"""),519.2)</f>
        <v>519.2</v>
      </c>
      <c r="E2392" s="1">
        <f>IFERROR(__xludf.DUMMYFUNCTION("""COMPUTED_VALUE"""),523.65)</f>
        <v>523.65</v>
      </c>
      <c r="F2392" s="1">
        <f>IFERROR(__xludf.DUMMYFUNCTION("""COMPUTED_VALUE"""),4.4625E7)</f>
        <v>44625000</v>
      </c>
    </row>
    <row r="2393">
      <c r="A2393" s="2">
        <f>IFERROR(__xludf.DUMMYFUNCTION("""COMPUTED_VALUE"""),34842.666666666664)</f>
        <v>34842.66667</v>
      </c>
      <c r="B2393" s="1">
        <f>IFERROR(__xludf.DUMMYFUNCTION("""COMPUTED_VALUE"""),523.65)</f>
        <v>523.65</v>
      </c>
      <c r="C2393" s="1">
        <f>IFERROR(__xludf.DUMMYFUNCTION("""COMPUTED_VALUE"""),528.59)</f>
        <v>528.59</v>
      </c>
      <c r="D2393" s="1">
        <f>IFERROR(__xludf.DUMMYFUNCTION("""COMPUTED_VALUE"""),523.65)</f>
        <v>523.65</v>
      </c>
      <c r="E2393" s="1">
        <f>IFERROR(__xludf.DUMMYFUNCTION("""COMPUTED_VALUE"""),528.59)</f>
        <v>528.59</v>
      </c>
      <c r="F2393" s="1">
        <f>IFERROR(__xludf.DUMMYFUNCTION("""COMPUTED_VALUE"""),5.6670312E7)</f>
        <v>56670312</v>
      </c>
    </row>
    <row r="2394">
      <c r="A2394" s="2">
        <f>IFERROR(__xludf.DUMMYFUNCTION("""COMPUTED_VALUE"""),34843.666666666664)</f>
        <v>34843.66667</v>
      </c>
      <c r="B2394" s="1">
        <f>IFERROR(__xludf.DUMMYFUNCTION("""COMPUTED_VALUE"""),528.59)</f>
        <v>528.59</v>
      </c>
      <c r="C2394" s="1">
        <f>IFERROR(__xludf.DUMMYFUNCTION("""COMPUTED_VALUE"""),531.91)</f>
        <v>531.91</v>
      </c>
      <c r="D2394" s="1">
        <f>IFERROR(__xludf.DUMMYFUNCTION("""COMPUTED_VALUE"""),525.57)</f>
        <v>525.57</v>
      </c>
      <c r="E2394" s="1">
        <f>IFERROR(__xludf.DUMMYFUNCTION("""COMPUTED_VALUE"""),528.61)</f>
        <v>528.61</v>
      </c>
      <c r="F2394" s="1">
        <f>IFERROR(__xludf.DUMMYFUNCTION("""COMPUTED_VALUE"""),6.1214064E7)</f>
        <v>61214064</v>
      </c>
    </row>
    <row r="2395">
      <c r="A2395" s="2">
        <f>IFERROR(__xludf.DUMMYFUNCTION("""COMPUTED_VALUE"""),34844.666666666664)</f>
        <v>34844.66667</v>
      </c>
      <c r="B2395" s="1">
        <f>IFERROR(__xludf.DUMMYFUNCTION("""COMPUTED_VALUE"""),528.61)</f>
        <v>528.61</v>
      </c>
      <c r="C2395" s="1">
        <f>IFERROR(__xludf.DUMMYFUNCTION("""COMPUTED_VALUE"""),529.04)</f>
        <v>529.04</v>
      </c>
      <c r="D2395" s="1">
        <f>IFERROR(__xludf.DUMMYFUNCTION("""COMPUTED_VALUE"""),524.89)</f>
        <v>524.89</v>
      </c>
      <c r="E2395" s="1">
        <f>IFERROR(__xludf.DUMMYFUNCTION("""COMPUTED_VALUE"""),528.59)</f>
        <v>528.59</v>
      </c>
      <c r="F2395" s="1">
        <f>IFERROR(__xludf.DUMMYFUNCTION("""COMPUTED_VALUE"""),5.3409376E7)</f>
        <v>53409376</v>
      </c>
    </row>
    <row r="2396">
      <c r="A2396" s="2">
        <f>IFERROR(__xludf.DUMMYFUNCTION("""COMPUTED_VALUE"""),34845.666666666664)</f>
        <v>34845.66667</v>
      </c>
      <c r="B2396" s="1">
        <f>IFERROR(__xludf.DUMMYFUNCTION("""COMPUTED_VALUE"""),528.58)</f>
        <v>528.58</v>
      </c>
      <c r="C2396" s="1">
        <f>IFERROR(__xludf.DUMMYFUNCTION("""COMPUTED_VALUE"""),528.58)</f>
        <v>528.58</v>
      </c>
      <c r="D2396" s="1">
        <f>IFERROR(__xludf.DUMMYFUNCTION("""COMPUTED_VALUE"""),522.51)</f>
        <v>522.51</v>
      </c>
      <c r="E2396" s="1">
        <f>IFERROR(__xludf.DUMMYFUNCTION("""COMPUTED_VALUE"""),523.65)</f>
        <v>523.65</v>
      </c>
      <c r="F2396" s="1">
        <f>IFERROR(__xludf.DUMMYFUNCTION("""COMPUTED_VALUE"""),4.5503124E7)</f>
        <v>45503124</v>
      </c>
    </row>
    <row r="2397">
      <c r="A2397" s="2">
        <f>IFERROR(__xludf.DUMMYFUNCTION("""COMPUTED_VALUE"""),34848.666666666664)</f>
        <v>34848.66667</v>
      </c>
      <c r="B2397" s="1">
        <f>IFERROR(__xludf.DUMMYFUNCTION("""COMPUTED_VALUE"""),523.65)</f>
        <v>523.65</v>
      </c>
      <c r="C2397" s="1">
        <f>IFERROR(__xludf.DUMMYFUNCTION("""COMPUTED_VALUE"""),523.65)</f>
        <v>523.65</v>
      </c>
      <c r="D2397" s="1">
        <f>IFERROR(__xludf.DUMMYFUNCTION("""COMPUTED_VALUE"""),523.65)</f>
        <v>523.65</v>
      </c>
      <c r="E2397" s="1">
        <f>IFERROR(__xludf.DUMMYFUNCTION("""COMPUTED_VALUE"""),523.65)</f>
        <v>523.65</v>
      </c>
      <c r="F2397" s="1">
        <f>IFERROR(__xludf.DUMMYFUNCTION("""COMPUTED_VALUE"""),0.0)</f>
        <v>0</v>
      </c>
    </row>
    <row r="2398">
      <c r="A2398" s="2">
        <f>IFERROR(__xludf.DUMMYFUNCTION("""COMPUTED_VALUE"""),34849.666666666664)</f>
        <v>34849.66667</v>
      </c>
      <c r="B2398" s="1">
        <f>IFERROR(__xludf.DUMMYFUNCTION("""COMPUTED_VALUE"""),523.67)</f>
        <v>523.67</v>
      </c>
      <c r="C2398" s="1">
        <f>IFERROR(__xludf.DUMMYFUNCTION("""COMPUTED_VALUE"""),525.58)</f>
        <v>525.58</v>
      </c>
      <c r="D2398" s="1">
        <f>IFERROR(__xludf.DUMMYFUNCTION("""COMPUTED_VALUE"""),521.39)</f>
        <v>521.39</v>
      </c>
      <c r="E2398" s="1">
        <f>IFERROR(__xludf.DUMMYFUNCTION("""COMPUTED_VALUE"""),523.58)</f>
        <v>523.58</v>
      </c>
      <c r="F2398" s="1">
        <f>IFERROR(__xludf.DUMMYFUNCTION("""COMPUTED_VALUE"""),4.4221876E7)</f>
        <v>44221876</v>
      </c>
    </row>
    <row r="2399">
      <c r="A2399" s="2">
        <f>IFERROR(__xludf.DUMMYFUNCTION("""COMPUTED_VALUE"""),34850.666666666664)</f>
        <v>34850.66667</v>
      </c>
      <c r="B2399" s="1">
        <f>IFERROR(__xludf.DUMMYFUNCTION("""COMPUTED_VALUE"""),523.66)</f>
        <v>523.66</v>
      </c>
      <c r="C2399" s="1">
        <f>IFERROR(__xludf.DUMMYFUNCTION("""COMPUTED_VALUE"""),533.41)</f>
        <v>533.41</v>
      </c>
      <c r="D2399" s="1">
        <f>IFERROR(__xludf.DUMMYFUNCTION("""COMPUTED_VALUE"""),522.17)</f>
        <v>522.17</v>
      </c>
      <c r="E2399" s="1">
        <f>IFERROR(__xludf.DUMMYFUNCTION("""COMPUTED_VALUE"""),533.4)</f>
        <v>533.4</v>
      </c>
      <c r="F2399" s="1">
        <f>IFERROR(__xludf.DUMMYFUNCTION("""COMPUTED_VALUE"""),5.5965624E7)</f>
        <v>55965624</v>
      </c>
    </row>
    <row r="2400">
      <c r="A2400" s="2">
        <f>IFERROR(__xludf.DUMMYFUNCTION("""COMPUTED_VALUE"""),34851.666666666664)</f>
        <v>34851.66667</v>
      </c>
      <c r="B2400" s="1">
        <f>IFERROR(__xludf.DUMMYFUNCTION("""COMPUTED_VALUE"""),533.41)</f>
        <v>533.41</v>
      </c>
      <c r="C2400" s="1">
        <f>IFERROR(__xludf.DUMMYFUNCTION("""COMPUTED_VALUE"""),534.21)</f>
        <v>534.21</v>
      </c>
      <c r="D2400" s="1">
        <f>IFERROR(__xludf.DUMMYFUNCTION("""COMPUTED_VALUE"""),530.05)</f>
        <v>530.05</v>
      </c>
      <c r="E2400" s="1">
        <f>IFERROR(__xludf.DUMMYFUNCTION("""COMPUTED_VALUE"""),533.49)</f>
        <v>533.49</v>
      </c>
      <c r="F2400" s="1">
        <f>IFERROR(__xludf.DUMMYFUNCTION("""COMPUTED_VALUE"""),5.405E7)</f>
        <v>54050000</v>
      </c>
    </row>
    <row r="2401">
      <c r="A2401" s="2">
        <f>IFERROR(__xludf.DUMMYFUNCTION("""COMPUTED_VALUE"""),34852.666666666664)</f>
        <v>34852.66667</v>
      </c>
      <c r="B2401" s="1">
        <f>IFERROR(__xludf.DUMMYFUNCTION("""COMPUTED_VALUE"""),533.48)</f>
        <v>533.48</v>
      </c>
      <c r="C2401" s="1">
        <f>IFERROR(__xludf.DUMMYFUNCTION("""COMPUTED_VALUE"""),536.91)</f>
        <v>536.91</v>
      </c>
      <c r="D2401" s="1">
        <f>IFERROR(__xludf.DUMMYFUNCTION("""COMPUTED_VALUE"""),529.55)</f>
        <v>529.55</v>
      </c>
      <c r="E2401" s="1">
        <f>IFERROR(__xludf.DUMMYFUNCTION("""COMPUTED_VALUE"""),532.51)</f>
        <v>532.51</v>
      </c>
      <c r="F2401" s="1">
        <f>IFERROR(__xludf.DUMMYFUNCTION("""COMPUTED_VALUE"""),5.71875E7)</f>
        <v>57187500</v>
      </c>
    </row>
    <row r="2402">
      <c r="A2402" s="2">
        <f>IFERROR(__xludf.DUMMYFUNCTION("""COMPUTED_VALUE"""),34855.666666666664)</f>
        <v>34855.66667</v>
      </c>
      <c r="B2402" s="1">
        <f>IFERROR(__xludf.DUMMYFUNCTION("""COMPUTED_VALUE"""),532.47)</f>
        <v>532.47</v>
      </c>
      <c r="C2402" s="1">
        <f>IFERROR(__xludf.DUMMYFUNCTION("""COMPUTED_VALUE"""),537.73)</f>
        <v>537.73</v>
      </c>
      <c r="D2402" s="1">
        <f>IFERROR(__xludf.DUMMYFUNCTION("""COMPUTED_VALUE"""),532.47)</f>
        <v>532.47</v>
      </c>
      <c r="E2402" s="1">
        <f>IFERROR(__xludf.DUMMYFUNCTION("""COMPUTED_VALUE"""),535.6)</f>
        <v>535.6</v>
      </c>
      <c r="F2402" s="1">
        <f>IFERROR(__xludf.DUMMYFUNCTION("""COMPUTED_VALUE"""),5.27375E7)</f>
        <v>52737500</v>
      </c>
    </row>
    <row r="2403">
      <c r="A2403" s="2">
        <f>IFERROR(__xludf.DUMMYFUNCTION("""COMPUTED_VALUE"""),34856.666666666664)</f>
        <v>34856.66667</v>
      </c>
      <c r="B2403" s="1">
        <f>IFERROR(__xludf.DUMMYFUNCTION("""COMPUTED_VALUE"""),535.6)</f>
        <v>535.6</v>
      </c>
      <c r="C2403" s="1">
        <f>IFERROR(__xludf.DUMMYFUNCTION("""COMPUTED_VALUE"""),537.09)</f>
        <v>537.09</v>
      </c>
      <c r="D2403" s="1">
        <f>IFERROR(__xludf.DUMMYFUNCTION("""COMPUTED_VALUE"""),535.14)</f>
        <v>535.14</v>
      </c>
      <c r="E2403" s="1">
        <f>IFERROR(__xludf.DUMMYFUNCTION("""COMPUTED_VALUE"""),535.55)</f>
        <v>535.55</v>
      </c>
      <c r="F2403" s="1">
        <f>IFERROR(__xludf.DUMMYFUNCTION("""COMPUTED_VALUE"""),5.3201564E7)</f>
        <v>53201564</v>
      </c>
    </row>
    <row r="2404">
      <c r="A2404" s="2">
        <f>IFERROR(__xludf.DUMMYFUNCTION("""COMPUTED_VALUE"""),34857.666666666664)</f>
        <v>34857.66667</v>
      </c>
      <c r="B2404" s="1">
        <f>IFERROR(__xludf.DUMMYFUNCTION("""COMPUTED_VALUE"""),535.53)</f>
        <v>535.53</v>
      </c>
      <c r="C2404" s="1">
        <f>IFERROR(__xludf.DUMMYFUNCTION("""COMPUTED_VALUE"""),535.54)</f>
        <v>535.54</v>
      </c>
      <c r="D2404" s="1">
        <f>IFERROR(__xludf.DUMMYFUNCTION("""COMPUTED_VALUE"""),531.66)</f>
        <v>531.66</v>
      </c>
      <c r="E2404" s="1">
        <f>IFERROR(__xludf.DUMMYFUNCTION("""COMPUTED_VALUE"""),533.13)</f>
        <v>533.13</v>
      </c>
      <c r="F2404" s="1">
        <f>IFERROR(__xludf.DUMMYFUNCTION("""COMPUTED_VALUE"""),5.1217188E7)</f>
        <v>51217188</v>
      </c>
    </row>
    <row r="2405">
      <c r="A2405" s="2">
        <f>IFERROR(__xludf.DUMMYFUNCTION("""COMPUTED_VALUE"""),34858.666666666664)</f>
        <v>34858.66667</v>
      </c>
      <c r="B2405" s="1">
        <f>IFERROR(__xludf.DUMMYFUNCTION("""COMPUTED_VALUE"""),533.13)</f>
        <v>533.13</v>
      </c>
      <c r="C2405" s="1">
        <f>IFERROR(__xludf.DUMMYFUNCTION("""COMPUTED_VALUE"""),533.56)</f>
        <v>533.56</v>
      </c>
      <c r="D2405" s="1">
        <f>IFERROR(__xludf.DUMMYFUNCTION("""COMPUTED_VALUE"""),531.65)</f>
        <v>531.65</v>
      </c>
      <c r="E2405" s="1">
        <f>IFERROR(__xludf.DUMMYFUNCTION("""COMPUTED_VALUE"""),532.35)</f>
        <v>532.35</v>
      </c>
      <c r="F2405" s="1">
        <f>IFERROR(__xludf.DUMMYFUNCTION("""COMPUTED_VALUE"""),4.5293752E7)</f>
        <v>45293752</v>
      </c>
    </row>
    <row r="2406">
      <c r="A2406" s="2">
        <f>IFERROR(__xludf.DUMMYFUNCTION("""COMPUTED_VALUE"""),34859.666666666664)</f>
        <v>34859.66667</v>
      </c>
      <c r="B2406" s="1">
        <f>IFERROR(__xludf.DUMMYFUNCTION("""COMPUTED_VALUE"""),532.35)</f>
        <v>532.35</v>
      </c>
      <c r="C2406" s="1">
        <f>IFERROR(__xludf.DUMMYFUNCTION("""COMPUTED_VALUE"""),532.35)</f>
        <v>532.35</v>
      </c>
      <c r="D2406" s="1">
        <f>IFERROR(__xludf.DUMMYFUNCTION("""COMPUTED_VALUE"""),526.0)</f>
        <v>526</v>
      </c>
      <c r="E2406" s="1">
        <f>IFERROR(__xludf.DUMMYFUNCTION("""COMPUTED_VALUE"""),527.94)</f>
        <v>527.94</v>
      </c>
      <c r="F2406" s="1">
        <f>IFERROR(__xludf.DUMMYFUNCTION("""COMPUTED_VALUE"""),5.1182812E7)</f>
        <v>51182812</v>
      </c>
    </row>
    <row r="2407">
      <c r="A2407" s="2">
        <f>IFERROR(__xludf.DUMMYFUNCTION("""COMPUTED_VALUE"""),34862.666666666664)</f>
        <v>34862.66667</v>
      </c>
      <c r="B2407" s="1">
        <f>IFERROR(__xludf.DUMMYFUNCTION("""COMPUTED_VALUE"""),527.94)</f>
        <v>527.94</v>
      </c>
      <c r="C2407" s="1">
        <f>IFERROR(__xludf.DUMMYFUNCTION("""COMPUTED_VALUE"""),532.54)</f>
        <v>532.54</v>
      </c>
      <c r="D2407" s="1">
        <f>IFERROR(__xludf.DUMMYFUNCTION("""COMPUTED_VALUE"""),527.94)</f>
        <v>527.94</v>
      </c>
      <c r="E2407" s="1">
        <f>IFERROR(__xludf.DUMMYFUNCTION("""COMPUTED_VALUE"""),530.88)</f>
        <v>530.88</v>
      </c>
      <c r="F2407" s="1">
        <f>IFERROR(__xludf.DUMMYFUNCTION("""COMPUTED_VALUE"""),4.53E7)</f>
        <v>45300000</v>
      </c>
    </row>
    <row r="2408">
      <c r="A2408" s="2">
        <f>IFERROR(__xludf.DUMMYFUNCTION("""COMPUTED_VALUE"""),34863.666666666664)</f>
        <v>34863.66667</v>
      </c>
      <c r="B2408" s="1">
        <f>IFERROR(__xludf.DUMMYFUNCTION("""COMPUTED_VALUE"""),531.0)</f>
        <v>531</v>
      </c>
      <c r="C2408" s="1">
        <f>IFERROR(__xludf.DUMMYFUNCTION("""COMPUTED_VALUE"""),536.23)</f>
        <v>536.23</v>
      </c>
      <c r="D2408" s="1">
        <f>IFERROR(__xludf.DUMMYFUNCTION("""COMPUTED_VALUE"""),531.0)</f>
        <v>531</v>
      </c>
      <c r="E2408" s="1">
        <f>IFERROR(__xludf.DUMMYFUNCTION("""COMPUTED_VALUE"""),536.05)</f>
        <v>536.05</v>
      </c>
      <c r="F2408" s="1">
        <f>IFERROR(__xludf.DUMMYFUNCTION("""COMPUTED_VALUE"""),5.3071876E7)</f>
        <v>53071876</v>
      </c>
    </row>
    <row r="2409">
      <c r="A2409" s="2">
        <f>IFERROR(__xludf.DUMMYFUNCTION("""COMPUTED_VALUE"""),34864.666666666664)</f>
        <v>34864.66667</v>
      </c>
      <c r="B2409" s="1">
        <f>IFERROR(__xludf.DUMMYFUNCTION("""COMPUTED_VALUE"""),535.96)</f>
        <v>535.96</v>
      </c>
      <c r="C2409" s="1">
        <f>IFERROR(__xludf.DUMMYFUNCTION("""COMPUTED_VALUE"""),536.48)</f>
        <v>536.48</v>
      </c>
      <c r="D2409" s="1">
        <f>IFERROR(__xludf.DUMMYFUNCTION("""COMPUTED_VALUE"""),533.83)</f>
        <v>533.83</v>
      </c>
      <c r="E2409" s="1">
        <f>IFERROR(__xludf.DUMMYFUNCTION("""COMPUTED_VALUE"""),536.47)</f>
        <v>536.47</v>
      </c>
      <c r="F2409" s="1">
        <f>IFERROR(__xludf.DUMMYFUNCTION("""COMPUTED_VALUE"""),5.1682812E7)</f>
        <v>51682812</v>
      </c>
    </row>
    <row r="2410">
      <c r="A2410" s="2">
        <f>IFERROR(__xludf.DUMMYFUNCTION("""COMPUTED_VALUE"""),34865.666666666664)</f>
        <v>34865.66667</v>
      </c>
      <c r="B2410" s="1">
        <f>IFERROR(__xludf.DUMMYFUNCTION("""COMPUTED_VALUE"""),536.48)</f>
        <v>536.48</v>
      </c>
      <c r="C2410" s="1">
        <f>IFERROR(__xludf.DUMMYFUNCTION("""COMPUTED_VALUE"""),539.07)</f>
        <v>539.07</v>
      </c>
      <c r="D2410" s="1">
        <f>IFERROR(__xludf.DUMMYFUNCTION("""COMPUTED_VALUE"""),535.56)</f>
        <v>535.56</v>
      </c>
      <c r="E2410" s="1">
        <f>IFERROR(__xludf.DUMMYFUNCTION("""COMPUTED_VALUE"""),537.12)</f>
        <v>537.12</v>
      </c>
      <c r="F2410" s="1">
        <f>IFERROR(__xludf.DUMMYFUNCTION("""COMPUTED_VALUE"""),5.2296876E7)</f>
        <v>52296876</v>
      </c>
    </row>
    <row r="2411">
      <c r="A2411" s="2">
        <f>IFERROR(__xludf.DUMMYFUNCTION("""COMPUTED_VALUE"""),34866.666666666664)</f>
        <v>34866.66667</v>
      </c>
      <c r="B2411" s="1">
        <f>IFERROR(__xludf.DUMMYFUNCTION("""COMPUTED_VALUE"""),537.24)</f>
        <v>537.24</v>
      </c>
      <c r="C2411" s="1">
        <f>IFERROR(__xludf.DUMMYFUNCTION("""COMPUTED_VALUE"""),539.98)</f>
        <v>539.98</v>
      </c>
      <c r="D2411" s="1">
        <f>IFERROR(__xludf.DUMMYFUNCTION("""COMPUTED_VALUE"""),537.24)</f>
        <v>537.24</v>
      </c>
      <c r="E2411" s="1">
        <f>IFERROR(__xludf.DUMMYFUNCTION("""COMPUTED_VALUE"""),539.83)</f>
        <v>539.83</v>
      </c>
      <c r="F2411" s="1">
        <f>IFERROR(__xludf.DUMMYFUNCTION("""COMPUTED_VALUE"""),6.9178128E7)</f>
        <v>69178128</v>
      </c>
    </row>
    <row r="2412">
      <c r="A2412" s="2">
        <f>IFERROR(__xludf.DUMMYFUNCTION("""COMPUTED_VALUE"""),34869.666666666664)</f>
        <v>34869.66667</v>
      </c>
      <c r="B2412" s="1">
        <f>IFERROR(__xludf.DUMMYFUNCTION("""COMPUTED_VALUE"""),539.93)</f>
        <v>539.93</v>
      </c>
      <c r="C2412" s="1">
        <f>IFERROR(__xludf.DUMMYFUNCTION("""COMPUTED_VALUE"""),545.22)</f>
        <v>545.22</v>
      </c>
      <c r="D2412" s="1">
        <f>IFERROR(__xludf.DUMMYFUNCTION("""COMPUTED_VALUE"""),539.86)</f>
        <v>539.86</v>
      </c>
      <c r="E2412" s="1">
        <f>IFERROR(__xludf.DUMMYFUNCTION("""COMPUTED_VALUE"""),545.22)</f>
        <v>545.22</v>
      </c>
      <c r="F2412" s="1">
        <f>IFERROR(__xludf.DUMMYFUNCTION("""COMPUTED_VALUE"""),5.0467188E7)</f>
        <v>50467188</v>
      </c>
    </row>
    <row r="2413">
      <c r="A2413" s="2">
        <f>IFERROR(__xludf.DUMMYFUNCTION("""COMPUTED_VALUE"""),34870.666666666664)</f>
        <v>34870.66667</v>
      </c>
      <c r="B2413" s="1">
        <f>IFERROR(__xludf.DUMMYFUNCTION("""COMPUTED_VALUE"""),545.24)</f>
        <v>545.24</v>
      </c>
      <c r="C2413" s="1">
        <f>IFERROR(__xludf.DUMMYFUNCTION("""COMPUTED_VALUE"""),545.44)</f>
        <v>545.44</v>
      </c>
      <c r="D2413" s="1">
        <f>IFERROR(__xludf.DUMMYFUNCTION("""COMPUTED_VALUE"""),543.43)</f>
        <v>543.43</v>
      </c>
      <c r="E2413" s="1">
        <f>IFERROR(__xludf.DUMMYFUNCTION("""COMPUTED_VALUE"""),544.98)</f>
        <v>544.98</v>
      </c>
      <c r="F2413" s="1">
        <f>IFERROR(__xludf.DUMMYFUNCTION("""COMPUTED_VALUE"""),5.9745312E7)</f>
        <v>59745312</v>
      </c>
    </row>
    <row r="2414">
      <c r="A2414" s="2">
        <f>IFERROR(__xludf.DUMMYFUNCTION("""COMPUTED_VALUE"""),34871.666666666664)</f>
        <v>34871.66667</v>
      </c>
      <c r="B2414" s="1">
        <f>IFERROR(__xludf.DUMMYFUNCTION("""COMPUTED_VALUE"""),544.99)</f>
        <v>544.99</v>
      </c>
      <c r="C2414" s="1">
        <f>IFERROR(__xludf.DUMMYFUNCTION("""COMPUTED_VALUE"""),545.93)</f>
        <v>545.93</v>
      </c>
      <c r="D2414" s="1">
        <f>IFERROR(__xludf.DUMMYFUNCTION("""COMPUTED_VALUE"""),543.9)</f>
        <v>543.9</v>
      </c>
      <c r="E2414" s="1">
        <f>IFERROR(__xludf.DUMMYFUNCTION("""COMPUTED_VALUE"""),543.98)</f>
        <v>543.98</v>
      </c>
      <c r="F2414" s="1">
        <f>IFERROR(__xludf.DUMMYFUNCTION("""COMPUTED_VALUE"""),6.2220312E7)</f>
        <v>62220312</v>
      </c>
    </row>
    <row r="2415">
      <c r="A2415" s="2">
        <f>IFERROR(__xludf.DUMMYFUNCTION("""COMPUTED_VALUE"""),34872.666666666664)</f>
        <v>34872.66667</v>
      </c>
      <c r="B2415" s="1">
        <f>IFERROR(__xludf.DUMMYFUNCTION("""COMPUTED_VALUE"""),544.04)</f>
        <v>544.04</v>
      </c>
      <c r="C2415" s="1">
        <f>IFERROR(__xludf.DUMMYFUNCTION("""COMPUTED_VALUE"""),551.07)</f>
        <v>551.07</v>
      </c>
      <c r="D2415" s="1">
        <f>IFERROR(__xludf.DUMMYFUNCTION("""COMPUTED_VALUE"""),544.04)</f>
        <v>544.04</v>
      </c>
      <c r="E2415" s="1">
        <f>IFERROR(__xludf.DUMMYFUNCTION("""COMPUTED_VALUE"""),551.07)</f>
        <v>551.07</v>
      </c>
      <c r="F2415" s="1">
        <f>IFERROR(__xludf.DUMMYFUNCTION("""COMPUTED_VALUE"""),6.5781248E7)</f>
        <v>65781248</v>
      </c>
    </row>
    <row r="2416">
      <c r="A2416" s="2">
        <f>IFERROR(__xludf.DUMMYFUNCTION("""COMPUTED_VALUE"""),34873.666666666664)</f>
        <v>34873.66667</v>
      </c>
      <c r="B2416" s="1">
        <f>IFERROR(__xludf.DUMMYFUNCTION("""COMPUTED_VALUE"""),551.04)</f>
        <v>551.04</v>
      </c>
      <c r="C2416" s="1">
        <f>IFERROR(__xludf.DUMMYFUNCTION("""COMPUTED_VALUE"""),551.04)</f>
        <v>551.04</v>
      </c>
      <c r="D2416" s="1">
        <f>IFERROR(__xludf.DUMMYFUNCTION("""COMPUTED_VALUE"""),548.23)</f>
        <v>548.23</v>
      </c>
      <c r="E2416" s="1">
        <f>IFERROR(__xludf.DUMMYFUNCTION("""COMPUTED_VALUE"""),549.71)</f>
        <v>549.71</v>
      </c>
      <c r="F2416" s="1">
        <f>IFERROR(__xludf.DUMMYFUNCTION("""COMPUTED_VALUE"""),5.0259376E7)</f>
        <v>50259376</v>
      </c>
    </row>
    <row r="2417">
      <c r="A2417" s="2">
        <f>IFERROR(__xludf.DUMMYFUNCTION("""COMPUTED_VALUE"""),34876.666666666664)</f>
        <v>34876.66667</v>
      </c>
      <c r="B2417" s="1">
        <f>IFERROR(__xludf.DUMMYFUNCTION("""COMPUTED_VALUE"""),549.74)</f>
        <v>549.74</v>
      </c>
      <c r="C2417" s="1">
        <f>IFERROR(__xludf.DUMMYFUNCTION("""COMPUTED_VALUE"""),549.79)</f>
        <v>549.79</v>
      </c>
      <c r="D2417" s="1">
        <f>IFERROR(__xludf.DUMMYFUNCTION("""COMPUTED_VALUE"""),544.06)</f>
        <v>544.06</v>
      </c>
      <c r="E2417" s="1">
        <f>IFERROR(__xludf.DUMMYFUNCTION("""COMPUTED_VALUE"""),544.13)</f>
        <v>544.13</v>
      </c>
      <c r="F2417" s="1">
        <f>IFERROR(__xludf.DUMMYFUNCTION("""COMPUTED_VALUE"""),4.63625E7)</f>
        <v>46362500</v>
      </c>
    </row>
    <row r="2418">
      <c r="A2418" s="2">
        <f>IFERROR(__xludf.DUMMYFUNCTION("""COMPUTED_VALUE"""),34877.666666666664)</f>
        <v>34877.66667</v>
      </c>
      <c r="B2418" s="1">
        <f>IFERROR(__xludf.DUMMYFUNCTION("""COMPUTED_VALUE"""),544.11)</f>
        <v>544.11</v>
      </c>
      <c r="C2418" s="1">
        <f>IFERROR(__xludf.DUMMYFUNCTION("""COMPUTED_VALUE"""),547.07)</f>
        <v>547.07</v>
      </c>
      <c r="D2418" s="1">
        <f>IFERROR(__xludf.DUMMYFUNCTION("""COMPUTED_VALUE"""),542.19)</f>
        <v>542.19</v>
      </c>
      <c r="E2418" s="1">
        <f>IFERROR(__xludf.DUMMYFUNCTION("""COMPUTED_VALUE"""),542.43)</f>
        <v>542.43</v>
      </c>
      <c r="F2418" s="1">
        <f>IFERROR(__xludf.DUMMYFUNCTION("""COMPUTED_VALUE"""),5.4210936E7)</f>
        <v>54210936</v>
      </c>
    </row>
    <row r="2419">
      <c r="A2419" s="2">
        <f>IFERROR(__xludf.DUMMYFUNCTION("""COMPUTED_VALUE"""),34878.666666666664)</f>
        <v>34878.66667</v>
      </c>
      <c r="B2419" s="1">
        <f>IFERROR(__xludf.DUMMYFUNCTION("""COMPUTED_VALUE"""),542.4)</f>
        <v>542.4</v>
      </c>
      <c r="C2419" s="1">
        <f>IFERROR(__xludf.DUMMYFUNCTION("""COMPUTED_VALUE"""),546.33)</f>
        <v>546.33</v>
      </c>
      <c r="D2419" s="1">
        <f>IFERROR(__xludf.DUMMYFUNCTION("""COMPUTED_VALUE"""),540.72)</f>
        <v>540.72</v>
      </c>
      <c r="E2419" s="1">
        <f>IFERROR(__xludf.DUMMYFUNCTION("""COMPUTED_VALUE"""),544.73)</f>
        <v>544.73</v>
      </c>
      <c r="F2419" s="1">
        <f>IFERROR(__xludf.DUMMYFUNCTION("""COMPUTED_VALUE"""),5.7509376E7)</f>
        <v>57509376</v>
      </c>
    </row>
    <row r="2420">
      <c r="A2420" s="2">
        <f>IFERROR(__xludf.DUMMYFUNCTION("""COMPUTED_VALUE"""),34879.666666666664)</f>
        <v>34879.66667</v>
      </c>
      <c r="B2420" s="1">
        <f>IFERROR(__xludf.DUMMYFUNCTION("""COMPUTED_VALUE"""),544.8)</f>
        <v>544.8</v>
      </c>
      <c r="C2420" s="1">
        <f>IFERROR(__xludf.DUMMYFUNCTION("""COMPUTED_VALUE"""),546.25)</f>
        <v>546.25</v>
      </c>
      <c r="D2420" s="1">
        <f>IFERROR(__xludf.DUMMYFUNCTION("""COMPUTED_VALUE"""),540.79)</f>
        <v>540.79</v>
      </c>
      <c r="E2420" s="1">
        <f>IFERROR(__xludf.DUMMYFUNCTION("""COMPUTED_VALUE"""),543.87)</f>
        <v>543.87</v>
      </c>
      <c r="F2420" s="1">
        <f>IFERROR(__xludf.DUMMYFUNCTION("""COMPUTED_VALUE"""),4.8918752E7)</f>
        <v>48918752</v>
      </c>
    </row>
    <row r="2421">
      <c r="A2421" s="2">
        <f>IFERROR(__xludf.DUMMYFUNCTION("""COMPUTED_VALUE"""),34880.666666666664)</f>
        <v>34880.66667</v>
      </c>
      <c r="B2421" s="1">
        <f>IFERROR(__xludf.DUMMYFUNCTION("""COMPUTED_VALUE"""),543.87)</f>
        <v>543.87</v>
      </c>
      <c r="C2421" s="1">
        <f>IFERROR(__xludf.DUMMYFUNCTION("""COMPUTED_VALUE"""),546.82)</f>
        <v>546.82</v>
      </c>
      <c r="D2421" s="1">
        <f>IFERROR(__xludf.DUMMYFUNCTION("""COMPUTED_VALUE"""),543.51)</f>
        <v>543.51</v>
      </c>
      <c r="E2421" s="1">
        <f>IFERROR(__xludf.DUMMYFUNCTION("""COMPUTED_VALUE"""),544.75)</f>
        <v>544.75</v>
      </c>
      <c r="F2421" s="1">
        <f>IFERROR(__xludf.DUMMYFUNCTION("""COMPUTED_VALUE"""),4.8695312E7)</f>
        <v>48695312</v>
      </c>
    </row>
    <row r="2422">
      <c r="A2422" s="2">
        <f>IFERROR(__xludf.DUMMYFUNCTION("""COMPUTED_VALUE"""),34883.666666666664)</f>
        <v>34883.66667</v>
      </c>
      <c r="B2422" s="1">
        <f>IFERROR(__xludf.DUMMYFUNCTION("""COMPUTED_VALUE"""),544.79)</f>
        <v>544.79</v>
      </c>
      <c r="C2422" s="1">
        <f>IFERROR(__xludf.DUMMYFUNCTION("""COMPUTED_VALUE"""),547.1)</f>
        <v>547.1</v>
      </c>
      <c r="D2422" s="1">
        <f>IFERROR(__xludf.DUMMYFUNCTION("""COMPUTED_VALUE"""),543.87)</f>
        <v>543.87</v>
      </c>
      <c r="E2422" s="1">
        <f>IFERROR(__xludf.DUMMYFUNCTION("""COMPUTED_VALUE"""),543.87)</f>
        <v>543.87</v>
      </c>
      <c r="F2422" s="1">
        <f>IFERROR(__xludf.DUMMYFUNCTION("""COMPUTED_VALUE"""),1.8421876E7)</f>
        <v>18421876</v>
      </c>
    </row>
    <row r="2423">
      <c r="A2423" s="2">
        <f>IFERROR(__xludf.DUMMYFUNCTION("""COMPUTED_VALUE"""),34884.666666666664)</f>
        <v>34884.66667</v>
      </c>
      <c r="B2423" s="1">
        <f>IFERROR(__xludf.DUMMYFUNCTION("""COMPUTED_VALUE"""),544.75)</f>
        <v>544.75</v>
      </c>
      <c r="C2423" s="1">
        <f>IFERROR(__xludf.DUMMYFUNCTION("""COMPUTED_VALUE"""),544.75)</f>
        <v>544.75</v>
      </c>
      <c r="D2423" s="1">
        <f>IFERROR(__xludf.DUMMYFUNCTION("""COMPUTED_VALUE"""),544.75)</f>
        <v>544.75</v>
      </c>
      <c r="E2423" s="1">
        <f>IFERROR(__xludf.DUMMYFUNCTION("""COMPUTED_VALUE"""),544.75)</f>
        <v>544.75</v>
      </c>
      <c r="F2423" s="1">
        <f>IFERROR(__xludf.DUMMYFUNCTION("""COMPUTED_VALUE"""),0.0)</f>
        <v>0</v>
      </c>
    </row>
    <row r="2424">
      <c r="A2424" s="2">
        <f>IFERROR(__xludf.DUMMYFUNCTION("""COMPUTED_VALUE"""),34885.666666666664)</f>
        <v>34885.66667</v>
      </c>
      <c r="B2424" s="1">
        <f>IFERROR(__xludf.DUMMYFUNCTION("""COMPUTED_VALUE"""),547.1)</f>
        <v>547.1</v>
      </c>
      <c r="C2424" s="1">
        <f>IFERROR(__xludf.DUMMYFUNCTION("""COMPUTED_VALUE"""),549.98)</f>
        <v>549.98</v>
      </c>
      <c r="D2424" s="1">
        <f>IFERROR(__xludf.DUMMYFUNCTION("""COMPUTED_VALUE"""),546.28)</f>
        <v>546.28</v>
      </c>
      <c r="E2424" s="1">
        <f>IFERROR(__xludf.DUMMYFUNCTION("""COMPUTED_VALUE"""),547.09)</f>
        <v>547.09</v>
      </c>
      <c r="F2424" s="1">
        <f>IFERROR(__xludf.DUMMYFUNCTION("""COMPUTED_VALUE"""),5.5914064E7)</f>
        <v>55914064</v>
      </c>
    </row>
    <row r="2425">
      <c r="A2425" s="2">
        <f>IFERROR(__xludf.DUMMYFUNCTION("""COMPUTED_VALUE"""),34886.666666666664)</f>
        <v>34886.66667</v>
      </c>
      <c r="B2425" s="1">
        <f>IFERROR(__xludf.DUMMYFUNCTION("""COMPUTED_VALUE"""),547.26)</f>
        <v>547.26</v>
      </c>
      <c r="C2425" s="1">
        <f>IFERROR(__xludf.DUMMYFUNCTION("""COMPUTED_VALUE"""),553.99)</f>
        <v>553.99</v>
      </c>
      <c r="D2425" s="1">
        <f>IFERROR(__xludf.DUMMYFUNCTION("""COMPUTED_VALUE"""),546.59)</f>
        <v>546.59</v>
      </c>
      <c r="E2425" s="1">
        <f>IFERROR(__xludf.DUMMYFUNCTION("""COMPUTED_VALUE"""),553.99)</f>
        <v>553.99</v>
      </c>
      <c r="F2425" s="1">
        <f>IFERROR(__xludf.DUMMYFUNCTION("""COMPUTED_VALUE"""),6.5703124E7)</f>
        <v>65703124</v>
      </c>
    </row>
    <row r="2426">
      <c r="A2426" s="2">
        <f>IFERROR(__xludf.DUMMYFUNCTION("""COMPUTED_VALUE"""),34887.666666666664)</f>
        <v>34887.66667</v>
      </c>
      <c r="B2426" s="1">
        <f>IFERROR(__xludf.DUMMYFUNCTION("""COMPUTED_VALUE"""),553.99)</f>
        <v>553.99</v>
      </c>
      <c r="C2426" s="1">
        <f>IFERROR(__xludf.DUMMYFUNCTION("""COMPUTED_VALUE"""),556.57)</f>
        <v>556.57</v>
      </c>
      <c r="D2426" s="1">
        <f>IFERROR(__xludf.DUMMYFUNCTION("""COMPUTED_VALUE"""),553.05)</f>
        <v>553.05</v>
      </c>
      <c r="E2426" s="1">
        <f>IFERROR(__xludf.DUMMYFUNCTION("""COMPUTED_VALUE"""),556.37)</f>
        <v>556.37</v>
      </c>
      <c r="F2426" s="1">
        <f>IFERROR(__xludf.DUMMYFUNCTION("""COMPUTED_VALUE"""),7.2896872E7)</f>
        <v>72896872</v>
      </c>
    </row>
    <row r="2427">
      <c r="A2427" s="2">
        <f>IFERROR(__xludf.DUMMYFUNCTION("""COMPUTED_VALUE"""),34890.666666666664)</f>
        <v>34890.66667</v>
      </c>
      <c r="B2427" s="1">
        <f>IFERROR(__xludf.DUMMYFUNCTION("""COMPUTED_VALUE"""),556.44)</f>
        <v>556.44</v>
      </c>
      <c r="C2427" s="1">
        <f>IFERROR(__xludf.DUMMYFUNCTION("""COMPUTED_VALUE"""),558.48)</f>
        <v>558.48</v>
      </c>
      <c r="D2427" s="1">
        <f>IFERROR(__xludf.DUMMYFUNCTION("""COMPUTED_VALUE"""),555.77)</f>
        <v>555.77</v>
      </c>
      <c r="E2427" s="1">
        <f>IFERROR(__xludf.DUMMYFUNCTION("""COMPUTED_VALUE"""),557.19)</f>
        <v>557.19</v>
      </c>
      <c r="F2427" s="1">
        <f>IFERROR(__xludf.DUMMYFUNCTION("""COMPUTED_VALUE"""),6.4015624E7)</f>
        <v>64015624</v>
      </c>
    </row>
    <row r="2428">
      <c r="A2428" s="2">
        <f>IFERROR(__xludf.DUMMYFUNCTION("""COMPUTED_VALUE"""),34891.666666666664)</f>
        <v>34891.66667</v>
      </c>
      <c r="B2428" s="1">
        <f>IFERROR(__xludf.DUMMYFUNCTION("""COMPUTED_VALUE"""),557.17)</f>
        <v>557.17</v>
      </c>
      <c r="C2428" s="1">
        <f>IFERROR(__xludf.DUMMYFUNCTION("""COMPUTED_VALUE"""),557.17)</f>
        <v>557.17</v>
      </c>
      <c r="D2428" s="1">
        <f>IFERROR(__xludf.DUMMYFUNCTION("""COMPUTED_VALUE"""),553.8)</f>
        <v>553.8</v>
      </c>
      <c r="E2428" s="1">
        <f>IFERROR(__xludf.DUMMYFUNCTION("""COMPUTED_VALUE"""),554.78)</f>
        <v>554.78</v>
      </c>
      <c r="F2428" s="1">
        <f>IFERROR(__xludf.DUMMYFUNCTION("""COMPUTED_VALUE"""),5.8870312E7)</f>
        <v>58870312</v>
      </c>
    </row>
    <row r="2429">
      <c r="A2429" s="2">
        <f>IFERROR(__xludf.DUMMYFUNCTION("""COMPUTED_VALUE"""),34892.666666666664)</f>
        <v>34892.66667</v>
      </c>
      <c r="B2429" s="1">
        <f>IFERROR(__xludf.DUMMYFUNCTION("""COMPUTED_VALUE"""),555.1)</f>
        <v>555.1</v>
      </c>
      <c r="C2429" s="1">
        <f>IFERROR(__xludf.DUMMYFUNCTION("""COMPUTED_VALUE"""),561.56)</f>
        <v>561.56</v>
      </c>
      <c r="D2429" s="1">
        <f>IFERROR(__xludf.DUMMYFUNCTION("""COMPUTED_VALUE"""),554.27)</f>
        <v>554.27</v>
      </c>
      <c r="E2429" s="1">
        <f>IFERROR(__xludf.DUMMYFUNCTION("""COMPUTED_VALUE"""),560.89)</f>
        <v>560.89</v>
      </c>
      <c r="F2429" s="1">
        <f>IFERROR(__xludf.DUMMYFUNCTION("""COMPUTED_VALUE"""),6.5056248E7)</f>
        <v>65056248</v>
      </c>
    </row>
    <row r="2430">
      <c r="A2430" s="2">
        <f>IFERROR(__xludf.DUMMYFUNCTION("""COMPUTED_VALUE"""),34893.666666666664)</f>
        <v>34893.66667</v>
      </c>
      <c r="B2430" s="1">
        <f>IFERROR(__xludf.DUMMYFUNCTION("""COMPUTED_VALUE"""),560.87)</f>
        <v>560.87</v>
      </c>
      <c r="C2430" s="1">
        <f>IFERROR(__xludf.DUMMYFUNCTION("""COMPUTED_VALUE"""),562.0)</f>
        <v>562</v>
      </c>
      <c r="D2430" s="1">
        <f>IFERROR(__xludf.DUMMYFUNCTION("""COMPUTED_VALUE"""),559.07)</f>
        <v>559.07</v>
      </c>
      <c r="E2430" s="1">
        <f>IFERROR(__xludf.DUMMYFUNCTION("""COMPUTED_VALUE"""),561.0)</f>
        <v>561</v>
      </c>
      <c r="F2430" s="1">
        <f>IFERROR(__xludf.DUMMYFUNCTION("""COMPUTED_VALUE"""),6.0546876E7)</f>
        <v>60546876</v>
      </c>
    </row>
    <row r="2431">
      <c r="A2431" s="2">
        <f>IFERROR(__xludf.DUMMYFUNCTION("""COMPUTED_VALUE"""),34894.666666666664)</f>
        <v>34894.66667</v>
      </c>
      <c r="B2431" s="1">
        <f>IFERROR(__xludf.DUMMYFUNCTION("""COMPUTED_VALUE"""),561.0)</f>
        <v>561</v>
      </c>
      <c r="C2431" s="1">
        <f>IFERROR(__xludf.DUMMYFUNCTION("""COMPUTED_VALUE"""),561.0)</f>
        <v>561</v>
      </c>
      <c r="D2431" s="1">
        <f>IFERROR(__xludf.DUMMYFUNCTION("""COMPUTED_VALUE"""),556.41)</f>
        <v>556.41</v>
      </c>
      <c r="E2431" s="1">
        <f>IFERROR(__xludf.DUMMYFUNCTION("""COMPUTED_VALUE"""),559.88)</f>
        <v>559.88</v>
      </c>
      <c r="F2431" s="1">
        <f>IFERROR(__xludf.DUMMYFUNCTION("""COMPUTED_VALUE"""),4.8895312E7)</f>
        <v>48895312</v>
      </c>
    </row>
    <row r="2432">
      <c r="A2432" s="2">
        <f>IFERROR(__xludf.DUMMYFUNCTION("""COMPUTED_VALUE"""),34897.666666666664)</f>
        <v>34897.66667</v>
      </c>
      <c r="B2432" s="1">
        <f>IFERROR(__xludf.DUMMYFUNCTION("""COMPUTED_VALUE"""),559.89)</f>
        <v>559.89</v>
      </c>
      <c r="C2432" s="1">
        <f>IFERROR(__xludf.DUMMYFUNCTION("""COMPUTED_VALUE"""),562.94)</f>
        <v>562.94</v>
      </c>
      <c r="D2432" s="1">
        <f>IFERROR(__xludf.DUMMYFUNCTION("""COMPUTED_VALUE"""),559.45)</f>
        <v>559.45</v>
      </c>
      <c r="E2432" s="1">
        <f>IFERROR(__xludf.DUMMYFUNCTION("""COMPUTED_VALUE"""),562.72)</f>
        <v>562.72</v>
      </c>
      <c r="F2432" s="1">
        <f>IFERROR(__xludf.DUMMYFUNCTION("""COMPUTED_VALUE"""),5.0396876E7)</f>
        <v>50396876</v>
      </c>
    </row>
    <row r="2433">
      <c r="A2433" s="2">
        <f>IFERROR(__xludf.DUMMYFUNCTION("""COMPUTED_VALUE"""),34898.666666666664)</f>
        <v>34898.66667</v>
      </c>
      <c r="B2433" s="1">
        <f>IFERROR(__xludf.DUMMYFUNCTION("""COMPUTED_VALUE"""),562.57)</f>
        <v>562.57</v>
      </c>
      <c r="C2433" s="1">
        <f>IFERROR(__xludf.DUMMYFUNCTION("""COMPUTED_VALUE"""),562.6)</f>
        <v>562.6</v>
      </c>
      <c r="D2433" s="1">
        <f>IFERROR(__xludf.DUMMYFUNCTION("""COMPUTED_VALUE"""),556.86)</f>
        <v>556.86</v>
      </c>
      <c r="E2433" s="1">
        <f>IFERROR(__xludf.DUMMYFUNCTION("""COMPUTED_VALUE"""),558.46)</f>
        <v>558.46</v>
      </c>
      <c r="F2433" s="1">
        <f>IFERROR(__xludf.DUMMYFUNCTION("""COMPUTED_VALUE"""),5.8160936E7)</f>
        <v>58160936</v>
      </c>
    </row>
    <row r="2434">
      <c r="A2434" s="2">
        <f>IFERROR(__xludf.DUMMYFUNCTION("""COMPUTED_VALUE"""),34899.666666666664)</f>
        <v>34899.66667</v>
      </c>
      <c r="B2434" s="1">
        <f>IFERROR(__xludf.DUMMYFUNCTION("""COMPUTED_VALUE"""),558.46)</f>
        <v>558.46</v>
      </c>
      <c r="C2434" s="1">
        <f>IFERROR(__xludf.DUMMYFUNCTION("""COMPUTED_VALUE"""),558.46)</f>
        <v>558.46</v>
      </c>
      <c r="D2434" s="1">
        <f>IFERROR(__xludf.DUMMYFUNCTION("""COMPUTED_VALUE"""),542.51)</f>
        <v>542.51</v>
      </c>
      <c r="E2434" s="1">
        <f>IFERROR(__xludf.DUMMYFUNCTION("""COMPUTED_VALUE"""),550.98)</f>
        <v>550.98</v>
      </c>
      <c r="F2434" s="1">
        <f>IFERROR(__xludf.DUMMYFUNCTION("""COMPUTED_VALUE"""),7.6539064E7)</f>
        <v>76539064</v>
      </c>
    </row>
    <row r="2435">
      <c r="A2435" s="2">
        <f>IFERROR(__xludf.DUMMYFUNCTION("""COMPUTED_VALUE"""),34900.666666666664)</f>
        <v>34900.66667</v>
      </c>
      <c r="B2435" s="1">
        <f>IFERROR(__xludf.DUMMYFUNCTION("""COMPUTED_VALUE"""),551.1)</f>
        <v>551.1</v>
      </c>
      <c r="C2435" s="1">
        <f>IFERROR(__xludf.DUMMYFUNCTION("""COMPUTED_VALUE"""),554.43)</f>
        <v>554.43</v>
      </c>
      <c r="D2435" s="1">
        <f>IFERROR(__xludf.DUMMYFUNCTION("""COMPUTED_VALUE"""),549.1)</f>
        <v>549.1</v>
      </c>
      <c r="E2435" s="1">
        <f>IFERROR(__xludf.DUMMYFUNCTION("""COMPUTED_VALUE"""),553.54)</f>
        <v>553.54</v>
      </c>
      <c r="F2435" s="1">
        <f>IFERROR(__xludf.DUMMYFUNCTION("""COMPUTED_VALUE"""),5.9903124E7)</f>
        <v>59903124</v>
      </c>
    </row>
    <row r="2436">
      <c r="A2436" s="2">
        <f>IFERROR(__xludf.DUMMYFUNCTION("""COMPUTED_VALUE"""),34901.666666666664)</f>
        <v>34901.66667</v>
      </c>
      <c r="B2436" s="1">
        <f>IFERROR(__xludf.DUMMYFUNCTION("""COMPUTED_VALUE"""),553.48)</f>
        <v>553.48</v>
      </c>
      <c r="C2436" s="1">
        <f>IFERROR(__xludf.DUMMYFUNCTION("""COMPUTED_VALUE"""),554.73)</f>
        <v>554.73</v>
      </c>
      <c r="D2436" s="1">
        <f>IFERROR(__xludf.DUMMYFUNCTION("""COMPUTED_VALUE"""),550.91)</f>
        <v>550.91</v>
      </c>
      <c r="E2436" s="1">
        <f>IFERROR(__xludf.DUMMYFUNCTION("""COMPUTED_VALUE"""),553.62)</f>
        <v>553.62</v>
      </c>
      <c r="F2436" s="1">
        <f>IFERROR(__xludf.DUMMYFUNCTION("""COMPUTED_VALUE"""),6.747344E7)</f>
        <v>67473440</v>
      </c>
    </row>
    <row r="2437">
      <c r="A2437" s="2">
        <f>IFERROR(__xludf.DUMMYFUNCTION("""COMPUTED_VALUE"""),34904.666666666664)</f>
        <v>34904.66667</v>
      </c>
      <c r="B2437" s="1">
        <f>IFERROR(__xludf.DUMMYFUNCTION("""COMPUTED_VALUE"""),553.67)</f>
        <v>553.67</v>
      </c>
      <c r="C2437" s="1">
        <f>IFERROR(__xludf.DUMMYFUNCTION("""COMPUTED_VALUE"""),557.21)</f>
        <v>557.21</v>
      </c>
      <c r="D2437" s="1">
        <f>IFERROR(__xludf.DUMMYFUNCTION("""COMPUTED_VALUE"""),553.67)</f>
        <v>553.67</v>
      </c>
      <c r="E2437" s="1">
        <f>IFERROR(__xludf.DUMMYFUNCTION("""COMPUTED_VALUE"""),556.63)</f>
        <v>556.63</v>
      </c>
      <c r="F2437" s="1">
        <f>IFERROR(__xludf.DUMMYFUNCTION("""COMPUTED_VALUE"""),4.9265624E7)</f>
        <v>49265624</v>
      </c>
    </row>
    <row r="2438">
      <c r="A2438" s="2">
        <f>IFERROR(__xludf.DUMMYFUNCTION("""COMPUTED_VALUE"""),34905.666666666664)</f>
        <v>34905.66667</v>
      </c>
      <c r="B2438" s="1">
        <f>IFERROR(__xludf.DUMMYFUNCTION("""COMPUTED_VALUE"""),556.79)</f>
        <v>556.79</v>
      </c>
      <c r="C2438" s="1">
        <f>IFERROR(__xludf.DUMMYFUNCTION("""COMPUTED_VALUE"""),561.75)</f>
        <v>561.75</v>
      </c>
      <c r="D2438" s="1">
        <f>IFERROR(__xludf.DUMMYFUNCTION("""COMPUTED_VALUE"""),556.34)</f>
        <v>556.34</v>
      </c>
      <c r="E2438" s="1">
        <f>IFERROR(__xludf.DUMMYFUNCTION("""COMPUTED_VALUE"""),561.1)</f>
        <v>561.1</v>
      </c>
      <c r="F2438" s="1">
        <f>IFERROR(__xludf.DUMMYFUNCTION("""COMPUTED_VALUE"""),5.83125E7)</f>
        <v>58312500</v>
      </c>
    </row>
    <row r="2439">
      <c r="A2439" s="2">
        <f>IFERROR(__xludf.DUMMYFUNCTION("""COMPUTED_VALUE"""),34906.666666666664)</f>
        <v>34906.66667</v>
      </c>
      <c r="B2439" s="1">
        <f>IFERROR(__xludf.DUMMYFUNCTION("""COMPUTED_VALUE"""),561.3)</f>
        <v>561.3</v>
      </c>
      <c r="C2439" s="1">
        <f>IFERROR(__xludf.DUMMYFUNCTION("""COMPUTED_VALUE"""),563.78)</f>
        <v>563.78</v>
      </c>
      <c r="D2439" s="1">
        <f>IFERROR(__xludf.DUMMYFUNCTION("""COMPUTED_VALUE"""),560.85)</f>
        <v>560.85</v>
      </c>
      <c r="E2439" s="1">
        <f>IFERROR(__xludf.DUMMYFUNCTION("""COMPUTED_VALUE"""),561.61)</f>
        <v>561.61</v>
      </c>
      <c r="F2439" s="1">
        <f>IFERROR(__xludf.DUMMYFUNCTION("""COMPUTED_VALUE"""),6.1479688E7)</f>
        <v>61479688</v>
      </c>
    </row>
    <row r="2440">
      <c r="A2440" s="2">
        <f>IFERROR(__xludf.DUMMYFUNCTION("""COMPUTED_VALUE"""),34907.666666666664)</f>
        <v>34907.66667</v>
      </c>
      <c r="B2440" s="1">
        <f>IFERROR(__xludf.DUMMYFUNCTION("""COMPUTED_VALUE"""),561.61)</f>
        <v>561.61</v>
      </c>
      <c r="C2440" s="1">
        <f>IFERROR(__xludf.DUMMYFUNCTION("""COMPUTED_VALUE"""),565.29)</f>
        <v>565.29</v>
      </c>
      <c r="D2440" s="1">
        <f>IFERROR(__xludf.DUMMYFUNCTION("""COMPUTED_VALUE"""),561.61)</f>
        <v>561.61</v>
      </c>
      <c r="E2440" s="1">
        <f>IFERROR(__xludf.DUMMYFUNCTION("""COMPUTED_VALUE"""),565.22)</f>
        <v>565.22</v>
      </c>
      <c r="F2440" s="1">
        <f>IFERROR(__xludf.DUMMYFUNCTION("""COMPUTED_VALUE"""),5.5714064E7)</f>
        <v>55714064</v>
      </c>
    </row>
    <row r="2441">
      <c r="A2441" s="2">
        <f>IFERROR(__xludf.DUMMYFUNCTION("""COMPUTED_VALUE"""),34908.666666666664)</f>
        <v>34908.66667</v>
      </c>
      <c r="B2441" s="1">
        <f>IFERROR(__xludf.DUMMYFUNCTION("""COMPUTED_VALUE"""),565.22)</f>
        <v>565.22</v>
      </c>
      <c r="C2441" s="1">
        <f>IFERROR(__xludf.DUMMYFUNCTION("""COMPUTED_VALUE"""),565.4)</f>
        <v>565.4</v>
      </c>
      <c r="D2441" s="1">
        <f>IFERROR(__xludf.DUMMYFUNCTION("""COMPUTED_VALUE"""),562.04)</f>
        <v>562.04</v>
      </c>
      <c r="E2441" s="1">
        <f>IFERROR(__xludf.DUMMYFUNCTION("""COMPUTED_VALUE"""),562.93)</f>
        <v>562.93</v>
      </c>
      <c r="F2441" s="1">
        <f>IFERROR(__xludf.DUMMYFUNCTION("""COMPUTED_VALUE"""),4.8685936E7)</f>
        <v>48685936</v>
      </c>
    </row>
    <row r="2442">
      <c r="A2442" s="2">
        <f>IFERROR(__xludf.DUMMYFUNCTION("""COMPUTED_VALUE"""),34911.666666666664)</f>
        <v>34911.66667</v>
      </c>
      <c r="B2442" s="1">
        <f>IFERROR(__xludf.DUMMYFUNCTION("""COMPUTED_VALUE"""),562.93)</f>
        <v>562.93</v>
      </c>
      <c r="C2442" s="1">
        <f>IFERROR(__xludf.DUMMYFUNCTION("""COMPUTED_VALUE"""),563.49)</f>
        <v>563.49</v>
      </c>
      <c r="D2442" s="1">
        <f>IFERROR(__xludf.DUMMYFUNCTION("""COMPUTED_VALUE"""),560.06)</f>
        <v>560.06</v>
      </c>
      <c r="E2442" s="1">
        <f>IFERROR(__xludf.DUMMYFUNCTION("""COMPUTED_VALUE"""),562.06)</f>
        <v>562.06</v>
      </c>
      <c r="F2442" s="1">
        <f>IFERROR(__xludf.DUMMYFUNCTION("""COMPUTED_VALUE"""),4.5617188E7)</f>
        <v>45617188</v>
      </c>
    </row>
    <row r="2443">
      <c r="A2443" s="2">
        <f>IFERROR(__xludf.DUMMYFUNCTION("""COMPUTED_VALUE"""),34912.666666666664)</f>
        <v>34912.66667</v>
      </c>
      <c r="B2443" s="1">
        <f>IFERROR(__xludf.DUMMYFUNCTION("""COMPUTED_VALUE"""),562.06)</f>
        <v>562.06</v>
      </c>
      <c r="C2443" s="1">
        <f>IFERROR(__xludf.DUMMYFUNCTION("""COMPUTED_VALUE"""),562.11)</f>
        <v>562.11</v>
      </c>
      <c r="D2443" s="1">
        <f>IFERROR(__xludf.DUMMYFUNCTION("""COMPUTED_VALUE"""),556.67)</f>
        <v>556.67</v>
      </c>
      <c r="E2443" s="1">
        <f>IFERROR(__xludf.DUMMYFUNCTION("""COMPUTED_VALUE"""),559.64)</f>
        <v>559.64</v>
      </c>
      <c r="F2443" s="1">
        <f>IFERROR(__xludf.DUMMYFUNCTION("""COMPUTED_VALUE"""),5.1907812E7)</f>
        <v>51907812</v>
      </c>
    </row>
    <row r="2444">
      <c r="A2444" s="2">
        <f>IFERROR(__xludf.DUMMYFUNCTION("""COMPUTED_VALUE"""),34913.666666666664)</f>
        <v>34913.66667</v>
      </c>
      <c r="B2444" s="1">
        <f>IFERROR(__xludf.DUMMYFUNCTION("""COMPUTED_VALUE"""),560.06)</f>
        <v>560.06</v>
      </c>
      <c r="C2444" s="1">
        <f>IFERROR(__xludf.DUMMYFUNCTION("""COMPUTED_VALUE"""),565.62)</f>
        <v>565.62</v>
      </c>
      <c r="D2444" s="1">
        <f>IFERROR(__xludf.DUMMYFUNCTION("""COMPUTED_VALUE"""),557.87)</f>
        <v>557.87</v>
      </c>
      <c r="E2444" s="1">
        <f>IFERROR(__xludf.DUMMYFUNCTION("""COMPUTED_VALUE"""),558.8)</f>
        <v>558.8</v>
      </c>
      <c r="F2444" s="1">
        <f>IFERROR(__xludf.DUMMYFUNCTION("""COMPUTED_VALUE"""),5.8489064E7)</f>
        <v>58489064</v>
      </c>
    </row>
    <row r="2445">
      <c r="A2445" s="2">
        <f>IFERROR(__xludf.DUMMYFUNCTION("""COMPUTED_VALUE"""),34914.666666666664)</f>
        <v>34914.66667</v>
      </c>
      <c r="B2445" s="1">
        <f>IFERROR(__xludf.DUMMYFUNCTION("""COMPUTED_VALUE"""),558.8)</f>
        <v>558.8</v>
      </c>
      <c r="C2445" s="1">
        <f>IFERROR(__xludf.DUMMYFUNCTION("""COMPUTED_VALUE"""),558.8)</f>
        <v>558.8</v>
      </c>
      <c r="D2445" s="1">
        <f>IFERROR(__xludf.DUMMYFUNCTION("""COMPUTED_VALUE"""),554.1)</f>
        <v>554.1</v>
      </c>
      <c r="E2445" s="1">
        <f>IFERROR(__xludf.DUMMYFUNCTION("""COMPUTED_VALUE"""),558.75)</f>
        <v>558.75</v>
      </c>
      <c r="F2445" s="1">
        <f>IFERROR(__xludf.DUMMYFUNCTION("""COMPUTED_VALUE"""),5.5173436E7)</f>
        <v>55173436</v>
      </c>
    </row>
    <row r="2446">
      <c r="A2446" s="2">
        <f>IFERROR(__xludf.DUMMYFUNCTION("""COMPUTED_VALUE"""),34915.666666666664)</f>
        <v>34915.66667</v>
      </c>
      <c r="B2446" s="1">
        <f>IFERROR(__xludf.DUMMYFUNCTION("""COMPUTED_VALUE"""),558.75)</f>
        <v>558.75</v>
      </c>
      <c r="C2446" s="1">
        <f>IFERROR(__xludf.DUMMYFUNCTION("""COMPUTED_VALUE"""),559.57)</f>
        <v>559.57</v>
      </c>
      <c r="D2446" s="1">
        <f>IFERROR(__xludf.DUMMYFUNCTION("""COMPUTED_VALUE"""),557.91)</f>
        <v>557.91</v>
      </c>
      <c r="E2446" s="1">
        <f>IFERROR(__xludf.DUMMYFUNCTION("""COMPUTED_VALUE"""),558.94)</f>
        <v>558.94</v>
      </c>
      <c r="F2446" s="1">
        <f>IFERROR(__xludf.DUMMYFUNCTION("""COMPUTED_VALUE"""),4.9178124E7)</f>
        <v>49178124</v>
      </c>
    </row>
    <row r="2447">
      <c r="A2447" s="2">
        <f>IFERROR(__xludf.DUMMYFUNCTION("""COMPUTED_VALUE"""),34918.666666666664)</f>
        <v>34918.66667</v>
      </c>
      <c r="B2447" s="1">
        <f>IFERROR(__xludf.DUMMYFUNCTION("""COMPUTED_VALUE"""),558.94)</f>
        <v>558.94</v>
      </c>
      <c r="C2447" s="1">
        <f>IFERROR(__xludf.DUMMYFUNCTION("""COMPUTED_VALUE"""),561.24)</f>
        <v>561.24</v>
      </c>
      <c r="D2447" s="1">
        <f>IFERROR(__xludf.DUMMYFUNCTION("""COMPUTED_VALUE"""),558.94)</f>
        <v>558.94</v>
      </c>
      <c r="E2447" s="1">
        <f>IFERROR(__xludf.DUMMYFUNCTION("""COMPUTED_VALUE"""),560.03)</f>
        <v>560.03</v>
      </c>
      <c r="F2447" s="1">
        <f>IFERROR(__xludf.DUMMYFUNCTION("""COMPUTED_VALUE"""),4.3289064E7)</f>
        <v>43289064</v>
      </c>
    </row>
    <row r="2448">
      <c r="A2448" s="2">
        <f>IFERROR(__xludf.DUMMYFUNCTION("""COMPUTED_VALUE"""),34919.666666666664)</f>
        <v>34919.66667</v>
      </c>
      <c r="B2448" s="1">
        <f>IFERROR(__xludf.DUMMYFUNCTION("""COMPUTED_VALUE"""),560.03)</f>
        <v>560.03</v>
      </c>
      <c r="C2448" s="1">
        <f>IFERROR(__xludf.DUMMYFUNCTION("""COMPUTED_VALUE"""),561.52)</f>
        <v>561.52</v>
      </c>
      <c r="D2448" s="1">
        <f>IFERROR(__xludf.DUMMYFUNCTION("""COMPUTED_VALUE"""),558.31)</f>
        <v>558.31</v>
      </c>
      <c r="E2448" s="1">
        <f>IFERROR(__xludf.DUMMYFUNCTION("""COMPUTED_VALUE"""),560.39)</f>
        <v>560.39</v>
      </c>
      <c r="F2448" s="1">
        <f>IFERROR(__xludf.DUMMYFUNCTION("""COMPUTED_VALUE"""),4.7826564E7)</f>
        <v>47826564</v>
      </c>
    </row>
    <row r="2449">
      <c r="A2449" s="2">
        <f>IFERROR(__xludf.DUMMYFUNCTION("""COMPUTED_VALUE"""),34920.666666666664)</f>
        <v>34920.66667</v>
      </c>
      <c r="B2449" s="1">
        <f>IFERROR(__xludf.DUMMYFUNCTION("""COMPUTED_VALUE"""),560.39)</f>
        <v>560.39</v>
      </c>
      <c r="C2449" s="1">
        <f>IFERROR(__xludf.DUMMYFUNCTION("""COMPUTED_VALUE"""),561.59)</f>
        <v>561.59</v>
      </c>
      <c r="D2449" s="1">
        <f>IFERROR(__xludf.DUMMYFUNCTION("""COMPUTED_VALUE"""),559.29)</f>
        <v>559.29</v>
      </c>
      <c r="E2449" s="1">
        <f>IFERROR(__xludf.DUMMYFUNCTION("""COMPUTED_VALUE"""),559.71)</f>
        <v>559.71</v>
      </c>
      <c r="F2449" s="1">
        <f>IFERROR(__xludf.DUMMYFUNCTION("""COMPUTED_VALUE"""),4.7404688E7)</f>
        <v>47404688</v>
      </c>
    </row>
    <row r="2450">
      <c r="A2450" s="2">
        <f>IFERROR(__xludf.DUMMYFUNCTION("""COMPUTED_VALUE"""),34921.666666666664)</f>
        <v>34921.66667</v>
      </c>
      <c r="B2450" s="1">
        <f>IFERROR(__xludf.DUMMYFUNCTION("""COMPUTED_VALUE"""),559.71)</f>
        <v>559.71</v>
      </c>
      <c r="C2450" s="1">
        <f>IFERROR(__xludf.DUMMYFUNCTION("""COMPUTED_VALUE"""),560.63)</f>
        <v>560.63</v>
      </c>
      <c r="D2450" s="1">
        <f>IFERROR(__xludf.DUMMYFUNCTION("""COMPUTED_VALUE"""),556.05)</f>
        <v>556.05</v>
      </c>
      <c r="E2450" s="1">
        <f>IFERROR(__xludf.DUMMYFUNCTION("""COMPUTED_VALUE"""),557.45)</f>
        <v>557.45</v>
      </c>
      <c r="F2450" s="1">
        <f>IFERROR(__xludf.DUMMYFUNCTION("""COMPUTED_VALUE"""),4.7915624E7)</f>
        <v>47915624</v>
      </c>
    </row>
    <row r="2451">
      <c r="A2451" s="2">
        <f>IFERROR(__xludf.DUMMYFUNCTION("""COMPUTED_VALUE"""),34922.666666666664)</f>
        <v>34922.66667</v>
      </c>
      <c r="B2451" s="1">
        <f>IFERROR(__xludf.DUMMYFUNCTION("""COMPUTED_VALUE"""),557.45)</f>
        <v>557.45</v>
      </c>
      <c r="C2451" s="1">
        <f>IFERROR(__xludf.DUMMYFUNCTION("""COMPUTED_VALUE"""),558.5)</f>
        <v>558.5</v>
      </c>
      <c r="D2451" s="1">
        <f>IFERROR(__xludf.DUMMYFUNCTION("""COMPUTED_VALUE"""),553.04)</f>
        <v>553.04</v>
      </c>
      <c r="E2451" s="1">
        <f>IFERROR(__xludf.DUMMYFUNCTION("""COMPUTED_VALUE"""),555.11)</f>
        <v>555.11</v>
      </c>
      <c r="F2451" s="1">
        <f>IFERROR(__xludf.DUMMYFUNCTION("""COMPUTED_VALUE"""),4.1851564E7)</f>
        <v>41851564</v>
      </c>
    </row>
    <row r="2452">
      <c r="A2452" s="2">
        <f>IFERROR(__xludf.DUMMYFUNCTION("""COMPUTED_VALUE"""),34925.666666666664)</f>
        <v>34925.66667</v>
      </c>
      <c r="B2452" s="1">
        <f>IFERROR(__xludf.DUMMYFUNCTION("""COMPUTED_VALUE"""),555.14)</f>
        <v>555.14</v>
      </c>
      <c r="C2452" s="1">
        <f>IFERROR(__xludf.DUMMYFUNCTION("""COMPUTED_VALUE"""),559.74)</f>
        <v>559.74</v>
      </c>
      <c r="D2452" s="1">
        <f>IFERROR(__xludf.DUMMYFUNCTION("""COMPUTED_VALUE"""),554.76)</f>
        <v>554.76</v>
      </c>
      <c r="E2452" s="1">
        <f>IFERROR(__xludf.DUMMYFUNCTION("""COMPUTED_VALUE"""),559.74)</f>
        <v>559.74</v>
      </c>
      <c r="F2452" s="1">
        <f>IFERROR(__xludf.DUMMYFUNCTION("""COMPUTED_VALUE"""),4.1393752E7)</f>
        <v>41393752</v>
      </c>
    </row>
    <row r="2453">
      <c r="A2453" s="2">
        <f>IFERROR(__xludf.DUMMYFUNCTION("""COMPUTED_VALUE"""),34926.666666666664)</f>
        <v>34926.66667</v>
      </c>
      <c r="B2453" s="1">
        <f>IFERROR(__xludf.DUMMYFUNCTION("""COMPUTED_VALUE"""),559.74)</f>
        <v>559.74</v>
      </c>
      <c r="C2453" s="1">
        <f>IFERROR(__xludf.DUMMYFUNCTION("""COMPUTED_VALUE"""),559.98)</f>
        <v>559.98</v>
      </c>
      <c r="D2453" s="1">
        <f>IFERROR(__xludf.DUMMYFUNCTION("""COMPUTED_VALUE"""),555.22)</f>
        <v>555.22</v>
      </c>
      <c r="E2453" s="1">
        <f>IFERROR(__xludf.DUMMYFUNCTION("""COMPUTED_VALUE"""),558.57)</f>
        <v>558.57</v>
      </c>
      <c r="F2453" s="1">
        <f>IFERROR(__xludf.DUMMYFUNCTION("""COMPUTED_VALUE"""),5.1573436E7)</f>
        <v>51573436</v>
      </c>
    </row>
    <row r="2454">
      <c r="A2454" s="2">
        <f>IFERROR(__xludf.DUMMYFUNCTION("""COMPUTED_VALUE"""),34927.666666666664)</f>
        <v>34927.66667</v>
      </c>
      <c r="B2454" s="1">
        <f>IFERROR(__xludf.DUMMYFUNCTION("""COMPUTED_VALUE"""),558.84)</f>
        <v>558.84</v>
      </c>
      <c r="C2454" s="1">
        <f>IFERROR(__xludf.DUMMYFUNCTION("""COMPUTED_VALUE"""),559.98)</f>
        <v>559.98</v>
      </c>
      <c r="D2454" s="1">
        <f>IFERROR(__xludf.DUMMYFUNCTION("""COMPUTED_VALUE"""),557.37)</f>
        <v>557.37</v>
      </c>
      <c r="E2454" s="1">
        <f>IFERROR(__xludf.DUMMYFUNCTION("""COMPUTED_VALUE"""),559.97)</f>
        <v>559.97</v>
      </c>
      <c r="F2454" s="1">
        <f>IFERROR(__xludf.DUMMYFUNCTION("""COMPUTED_VALUE"""),6.0964064E7)</f>
        <v>60964064</v>
      </c>
    </row>
    <row r="2455">
      <c r="A2455" s="2">
        <f>IFERROR(__xludf.DUMMYFUNCTION("""COMPUTED_VALUE"""),34928.666666666664)</f>
        <v>34928.66667</v>
      </c>
      <c r="B2455" s="1">
        <f>IFERROR(__xludf.DUMMYFUNCTION("""COMPUTED_VALUE"""),559.97)</f>
        <v>559.97</v>
      </c>
      <c r="C2455" s="1">
        <f>IFERROR(__xludf.DUMMYFUNCTION("""COMPUTED_VALUE"""),559.97)</f>
        <v>559.97</v>
      </c>
      <c r="D2455" s="1">
        <f>IFERROR(__xludf.DUMMYFUNCTION("""COMPUTED_VALUE"""),557.42)</f>
        <v>557.42</v>
      </c>
      <c r="E2455" s="1">
        <f>IFERROR(__xludf.DUMMYFUNCTION("""COMPUTED_VALUE"""),559.04)</f>
        <v>559.04</v>
      </c>
      <c r="F2455" s="1">
        <f>IFERROR(__xludf.DUMMYFUNCTION("""COMPUTED_VALUE"""),5.5384376E7)</f>
        <v>55384376</v>
      </c>
    </row>
    <row r="2456">
      <c r="A2456" s="2">
        <f>IFERROR(__xludf.DUMMYFUNCTION("""COMPUTED_VALUE"""),34929.666666666664)</f>
        <v>34929.66667</v>
      </c>
      <c r="B2456" s="1">
        <f>IFERROR(__xludf.DUMMYFUNCTION("""COMPUTED_VALUE"""),559.18)</f>
        <v>559.18</v>
      </c>
      <c r="C2456" s="1">
        <f>IFERROR(__xludf.DUMMYFUNCTION("""COMPUTED_VALUE"""),561.24)</f>
        <v>561.24</v>
      </c>
      <c r="D2456" s="1">
        <f>IFERROR(__xludf.DUMMYFUNCTION("""COMPUTED_VALUE"""),558.34)</f>
        <v>558.34</v>
      </c>
      <c r="E2456" s="1">
        <f>IFERROR(__xludf.DUMMYFUNCTION("""COMPUTED_VALUE"""),559.21)</f>
        <v>559.21</v>
      </c>
      <c r="F2456" s="1">
        <f>IFERROR(__xludf.DUMMYFUNCTION("""COMPUTED_VALUE"""),5.0076564E7)</f>
        <v>50076564</v>
      </c>
    </row>
    <row r="2457">
      <c r="A2457" s="2">
        <f>IFERROR(__xludf.DUMMYFUNCTION("""COMPUTED_VALUE"""),34932.666666666664)</f>
        <v>34932.66667</v>
      </c>
      <c r="B2457" s="1">
        <f>IFERROR(__xludf.DUMMYFUNCTION("""COMPUTED_VALUE"""),559.21)</f>
        <v>559.21</v>
      </c>
      <c r="C2457" s="1">
        <f>IFERROR(__xludf.DUMMYFUNCTION("""COMPUTED_VALUE"""),563.34)</f>
        <v>563.34</v>
      </c>
      <c r="D2457" s="1">
        <f>IFERROR(__xludf.DUMMYFUNCTION("""COMPUTED_VALUE"""),557.89)</f>
        <v>557.89</v>
      </c>
      <c r="E2457" s="1">
        <f>IFERROR(__xludf.DUMMYFUNCTION("""COMPUTED_VALUE"""),558.11)</f>
        <v>558.11</v>
      </c>
      <c r="F2457" s="1">
        <f>IFERROR(__xludf.DUMMYFUNCTION("""COMPUTED_VALUE"""),4.7375E7)</f>
        <v>47375000</v>
      </c>
    </row>
    <row r="2458">
      <c r="A2458" s="2">
        <f>IFERROR(__xludf.DUMMYFUNCTION("""COMPUTED_VALUE"""),34933.666666666664)</f>
        <v>34933.66667</v>
      </c>
      <c r="B2458" s="1">
        <f>IFERROR(__xludf.DUMMYFUNCTION("""COMPUTED_VALUE"""),558.29)</f>
        <v>558.29</v>
      </c>
      <c r="C2458" s="1">
        <f>IFERROR(__xludf.DUMMYFUNCTION("""COMPUTED_VALUE"""),559.52)</f>
        <v>559.52</v>
      </c>
      <c r="D2458" s="1">
        <f>IFERROR(__xludf.DUMMYFUNCTION("""COMPUTED_VALUE"""),555.87)</f>
        <v>555.87</v>
      </c>
      <c r="E2458" s="1">
        <f>IFERROR(__xludf.DUMMYFUNCTION("""COMPUTED_VALUE"""),559.52)</f>
        <v>559.52</v>
      </c>
      <c r="F2458" s="1">
        <f>IFERROR(__xludf.DUMMYFUNCTION("""COMPUTED_VALUE"""),4.5451564E7)</f>
        <v>45451564</v>
      </c>
    </row>
    <row r="2459">
      <c r="A2459" s="2">
        <f>IFERROR(__xludf.DUMMYFUNCTION("""COMPUTED_VALUE"""),34934.666666666664)</f>
        <v>34934.66667</v>
      </c>
      <c r="B2459" s="1">
        <f>IFERROR(__xludf.DUMMYFUNCTION("""COMPUTED_VALUE"""),559.52)</f>
        <v>559.52</v>
      </c>
      <c r="C2459" s="1">
        <f>IFERROR(__xludf.DUMMYFUNCTION("""COMPUTED_VALUE"""),560.0)</f>
        <v>560</v>
      </c>
      <c r="D2459" s="1">
        <f>IFERROR(__xludf.DUMMYFUNCTION("""COMPUTED_VALUE"""),557.08)</f>
        <v>557.08</v>
      </c>
      <c r="E2459" s="1">
        <f>IFERROR(__xludf.DUMMYFUNCTION("""COMPUTED_VALUE"""),557.14)</f>
        <v>557.14</v>
      </c>
      <c r="F2459" s="1">
        <f>IFERROR(__xludf.DUMMYFUNCTION("""COMPUTED_VALUE"""),4.5607812E7)</f>
        <v>45607812</v>
      </c>
    </row>
    <row r="2460">
      <c r="A2460" s="2">
        <f>IFERROR(__xludf.DUMMYFUNCTION("""COMPUTED_VALUE"""),34935.666666666664)</f>
        <v>34935.66667</v>
      </c>
      <c r="B2460" s="1">
        <f>IFERROR(__xludf.DUMMYFUNCTION("""COMPUTED_VALUE"""),557.14)</f>
        <v>557.14</v>
      </c>
      <c r="C2460" s="1">
        <f>IFERROR(__xludf.DUMMYFUNCTION("""COMPUTED_VALUE"""),558.63)</f>
        <v>558.63</v>
      </c>
      <c r="D2460" s="1">
        <f>IFERROR(__xludf.DUMMYFUNCTION("""COMPUTED_VALUE"""),555.2)</f>
        <v>555.2</v>
      </c>
      <c r="E2460" s="1">
        <f>IFERROR(__xludf.DUMMYFUNCTION("""COMPUTED_VALUE"""),557.46)</f>
        <v>557.46</v>
      </c>
      <c r="F2460" s="1">
        <f>IFERROR(__xludf.DUMMYFUNCTION("""COMPUTED_VALUE"""),4.675E7)</f>
        <v>46750000</v>
      </c>
    </row>
    <row r="2461">
      <c r="A2461" s="2">
        <f>IFERROR(__xludf.DUMMYFUNCTION("""COMPUTED_VALUE"""),34936.666666666664)</f>
        <v>34936.66667</v>
      </c>
      <c r="B2461" s="1">
        <f>IFERROR(__xludf.DUMMYFUNCTION("""COMPUTED_VALUE"""),557.54)</f>
        <v>557.54</v>
      </c>
      <c r="C2461" s="1">
        <f>IFERROR(__xludf.DUMMYFUNCTION("""COMPUTED_VALUE"""),561.31)</f>
        <v>561.31</v>
      </c>
      <c r="D2461" s="1">
        <f>IFERROR(__xludf.DUMMYFUNCTION("""COMPUTED_VALUE"""),557.54)</f>
        <v>557.54</v>
      </c>
      <c r="E2461" s="1">
        <f>IFERROR(__xludf.DUMMYFUNCTION("""COMPUTED_VALUE"""),560.1)</f>
        <v>560.1</v>
      </c>
      <c r="F2461" s="1">
        <f>IFERROR(__xludf.DUMMYFUNCTION("""COMPUTED_VALUE"""),3.9998436E7)</f>
        <v>39998436</v>
      </c>
    </row>
    <row r="2462">
      <c r="A2462" s="2">
        <f>IFERROR(__xludf.DUMMYFUNCTION("""COMPUTED_VALUE"""),34939.666666666664)</f>
        <v>34939.66667</v>
      </c>
      <c r="B2462" s="1">
        <f>IFERROR(__xludf.DUMMYFUNCTION("""COMPUTED_VALUE"""),560.13)</f>
        <v>560.13</v>
      </c>
      <c r="C2462" s="1">
        <f>IFERROR(__xludf.DUMMYFUNCTION("""COMPUTED_VALUE"""),562.22)</f>
        <v>562.22</v>
      </c>
      <c r="D2462" s="1">
        <f>IFERROR(__xludf.DUMMYFUNCTION("""COMPUTED_VALUE"""),557.99)</f>
        <v>557.99</v>
      </c>
      <c r="E2462" s="1">
        <f>IFERROR(__xludf.DUMMYFUNCTION("""COMPUTED_VALUE"""),559.05)</f>
        <v>559.05</v>
      </c>
      <c r="F2462" s="1">
        <f>IFERROR(__xludf.DUMMYFUNCTION("""COMPUTED_VALUE"""),4.1853124E7)</f>
        <v>41853124</v>
      </c>
    </row>
    <row r="2463">
      <c r="A2463" s="2">
        <f>IFERROR(__xludf.DUMMYFUNCTION("""COMPUTED_VALUE"""),34940.666666666664)</f>
        <v>34940.66667</v>
      </c>
      <c r="B2463" s="1">
        <f>IFERROR(__xludf.DUMMYFUNCTION("""COMPUTED_VALUE"""),559.07)</f>
        <v>559.07</v>
      </c>
      <c r="C2463" s="1">
        <f>IFERROR(__xludf.DUMMYFUNCTION("""COMPUTED_VALUE"""),560.01)</f>
        <v>560.01</v>
      </c>
      <c r="D2463" s="1">
        <f>IFERROR(__xludf.DUMMYFUNCTION("""COMPUTED_VALUE"""),555.71)</f>
        <v>555.71</v>
      </c>
      <c r="E2463" s="1">
        <f>IFERROR(__xludf.DUMMYFUNCTION("""COMPUTED_VALUE"""),560.0)</f>
        <v>560</v>
      </c>
      <c r="F2463" s="1">
        <f>IFERROR(__xludf.DUMMYFUNCTION("""COMPUTED_VALUE"""),4.8639064E7)</f>
        <v>48639064</v>
      </c>
    </row>
    <row r="2464">
      <c r="A2464" s="2">
        <f>IFERROR(__xludf.DUMMYFUNCTION("""COMPUTED_VALUE"""),34941.666666666664)</f>
        <v>34941.66667</v>
      </c>
      <c r="B2464" s="1">
        <f>IFERROR(__xludf.DUMMYFUNCTION("""COMPUTED_VALUE"""),560.0)</f>
        <v>560</v>
      </c>
      <c r="C2464" s="1">
        <f>IFERROR(__xludf.DUMMYFUNCTION("""COMPUTED_VALUE"""),561.52)</f>
        <v>561.52</v>
      </c>
      <c r="D2464" s="1">
        <f>IFERROR(__xludf.DUMMYFUNCTION("""COMPUTED_VALUE"""),559.5)</f>
        <v>559.5</v>
      </c>
      <c r="E2464" s="1">
        <f>IFERROR(__xludf.DUMMYFUNCTION("""COMPUTED_VALUE"""),560.92)</f>
        <v>560.92</v>
      </c>
      <c r="F2464" s="1">
        <f>IFERROR(__xludf.DUMMYFUNCTION("""COMPUTED_VALUE"""),5.15375E7)</f>
        <v>51537500</v>
      </c>
    </row>
    <row r="2465">
      <c r="A2465" s="2">
        <f>IFERROR(__xludf.DUMMYFUNCTION("""COMPUTED_VALUE"""),34942.666666666664)</f>
        <v>34942.66667</v>
      </c>
      <c r="B2465" s="1">
        <f>IFERROR(__xludf.DUMMYFUNCTION("""COMPUTED_VALUE"""),561.0)</f>
        <v>561</v>
      </c>
      <c r="C2465" s="1">
        <f>IFERROR(__xludf.DUMMYFUNCTION("""COMPUTED_VALUE"""),562.36)</f>
        <v>562.36</v>
      </c>
      <c r="D2465" s="1">
        <f>IFERROR(__xludf.DUMMYFUNCTION("""COMPUTED_VALUE"""),560.49)</f>
        <v>560.49</v>
      </c>
      <c r="E2465" s="1">
        <f>IFERROR(__xludf.DUMMYFUNCTION("""COMPUTED_VALUE"""),561.88)</f>
        <v>561.88</v>
      </c>
      <c r="F2465" s="1">
        <f>IFERROR(__xludf.DUMMYFUNCTION("""COMPUTED_VALUE"""),4.7018752E7)</f>
        <v>47018752</v>
      </c>
    </row>
    <row r="2466">
      <c r="A2466" s="2">
        <f>IFERROR(__xludf.DUMMYFUNCTION("""COMPUTED_VALUE"""),34943.666666666664)</f>
        <v>34943.66667</v>
      </c>
      <c r="B2466" s="1">
        <f>IFERROR(__xludf.DUMMYFUNCTION("""COMPUTED_VALUE"""),561.83)</f>
        <v>561.83</v>
      </c>
      <c r="C2466" s="1">
        <f>IFERROR(__xludf.DUMMYFUNCTION("""COMPUTED_VALUE"""),564.62)</f>
        <v>564.62</v>
      </c>
      <c r="D2466" s="1">
        <f>IFERROR(__xludf.DUMMYFUNCTION("""COMPUTED_VALUE"""),561.01)</f>
        <v>561.01</v>
      </c>
      <c r="E2466" s="1">
        <f>IFERROR(__xludf.DUMMYFUNCTION("""COMPUTED_VALUE"""),563.84)</f>
        <v>563.84</v>
      </c>
      <c r="F2466" s="1">
        <f>IFERROR(__xludf.DUMMYFUNCTION("""COMPUTED_VALUE"""),4.0114064E7)</f>
        <v>40114064</v>
      </c>
    </row>
    <row r="2467">
      <c r="A2467" s="2">
        <f>IFERROR(__xludf.DUMMYFUNCTION("""COMPUTED_VALUE"""),34947.666666666664)</f>
        <v>34947.66667</v>
      </c>
      <c r="B2467" s="1">
        <f>IFERROR(__xludf.DUMMYFUNCTION("""COMPUTED_VALUE"""),563.86)</f>
        <v>563.86</v>
      </c>
      <c r="C2467" s="1">
        <f>IFERROR(__xludf.DUMMYFUNCTION("""COMPUTED_VALUE"""),569.2)</f>
        <v>569.2</v>
      </c>
      <c r="D2467" s="1">
        <f>IFERROR(__xludf.DUMMYFUNCTION("""COMPUTED_VALUE"""),563.84)</f>
        <v>563.84</v>
      </c>
      <c r="E2467" s="1">
        <f>IFERROR(__xludf.DUMMYFUNCTION("""COMPUTED_VALUE"""),569.17)</f>
        <v>569.17</v>
      </c>
      <c r="F2467" s="1">
        <f>IFERROR(__xludf.DUMMYFUNCTION("""COMPUTED_VALUE"""),5.1979688E7)</f>
        <v>51979688</v>
      </c>
    </row>
    <row r="2468">
      <c r="A2468" s="2">
        <f>IFERROR(__xludf.DUMMYFUNCTION("""COMPUTED_VALUE"""),34948.666666666664)</f>
        <v>34948.66667</v>
      </c>
      <c r="B2468" s="1">
        <f>IFERROR(__xludf.DUMMYFUNCTION("""COMPUTED_VALUE"""),569.17)</f>
        <v>569.17</v>
      </c>
      <c r="C2468" s="1">
        <f>IFERROR(__xludf.DUMMYFUNCTION("""COMPUTED_VALUE"""),570.53)</f>
        <v>570.53</v>
      </c>
      <c r="D2468" s="1">
        <f>IFERROR(__xludf.DUMMYFUNCTION("""COMPUTED_VALUE"""),569.0)</f>
        <v>569</v>
      </c>
      <c r="E2468" s="1">
        <f>IFERROR(__xludf.DUMMYFUNCTION("""COMPUTED_VALUE"""),570.17)</f>
        <v>570.17</v>
      </c>
      <c r="F2468" s="1">
        <f>IFERROR(__xludf.DUMMYFUNCTION("""COMPUTED_VALUE"""),5.7740624E7)</f>
        <v>57740624</v>
      </c>
    </row>
    <row r="2469">
      <c r="A2469" s="2">
        <f>IFERROR(__xludf.DUMMYFUNCTION("""COMPUTED_VALUE"""),34949.666666666664)</f>
        <v>34949.66667</v>
      </c>
      <c r="B2469" s="1">
        <f>IFERROR(__xludf.DUMMYFUNCTION("""COMPUTED_VALUE"""),570.17)</f>
        <v>570.17</v>
      </c>
      <c r="C2469" s="1">
        <f>IFERROR(__xludf.DUMMYFUNCTION("""COMPUTED_VALUE"""),571.11)</f>
        <v>571.11</v>
      </c>
      <c r="D2469" s="1">
        <f>IFERROR(__xludf.DUMMYFUNCTION("""COMPUTED_VALUE"""),569.23)</f>
        <v>569.23</v>
      </c>
      <c r="E2469" s="1">
        <f>IFERROR(__xludf.DUMMYFUNCTION("""COMPUTED_VALUE"""),570.29)</f>
        <v>570.29</v>
      </c>
      <c r="F2469" s="1">
        <f>IFERROR(__xludf.DUMMYFUNCTION("""COMPUTED_VALUE"""),5.0268752E7)</f>
        <v>50268752</v>
      </c>
    </row>
    <row r="2470">
      <c r="A2470" s="2">
        <f>IFERROR(__xludf.DUMMYFUNCTION("""COMPUTED_VALUE"""),34950.666666666664)</f>
        <v>34950.66667</v>
      </c>
      <c r="B2470" s="1">
        <f>IFERROR(__xludf.DUMMYFUNCTION("""COMPUTED_VALUE"""),570.29)</f>
        <v>570.29</v>
      </c>
      <c r="C2470" s="1">
        <f>IFERROR(__xludf.DUMMYFUNCTION("""COMPUTED_VALUE"""),572.68)</f>
        <v>572.68</v>
      </c>
      <c r="D2470" s="1">
        <f>IFERROR(__xludf.DUMMYFUNCTION("""COMPUTED_VALUE"""),569.27)</f>
        <v>569.27</v>
      </c>
      <c r="E2470" s="1">
        <f>IFERROR(__xludf.DUMMYFUNCTION("""COMPUTED_VALUE"""),572.68)</f>
        <v>572.68</v>
      </c>
      <c r="F2470" s="1">
        <f>IFERROR(__xludf.DUMMYFUNCTION("""COMPUTED_VALUE"""),4.9678124E7)</f>
        <v>49678124</v>
      </c>
    </row>
    <row r="2471">
      <c r="A2471" s="2">
        <f>IFERROR(__xludf.DUMMYFUNCTION("""COMPUTED_VALUE"""),34953.666666666664)</f>
        <v>34953.66667</v>
      </c>
      <c r="B2471" s="1">
        <f>IFERROR(__xludf.DUMMYFUNCTION("""COMPUTED_VALUE"""),572.68)</f>
        <v>572.68</v>
      </c>
      <c r="C2471" s="1">
        <f>IFERROR(__xludf.DUMMYFUNCTION("""COMPUTED_VALUE"""),575.15)</f>
        <v>575.15</v>
      </c>
      <c r="D2471" s="1">
        <f>IFERROR(__xludf.DUMMYFUNCTION("""COMPUTED_VALUE"""),572.68)</f>
        <v>572.68</v>
      </c>
      <c r="E2471" s="1">
        <f>IFERROR(__xludf.DUMMYFUNCTION("""COMPUTED_VALUE"""),573.91)</f>
        <v>573.91</v>
      </c>
      <c r="F2471" s="1">
        <f>IFERROR(__xludf.DUMMYFUNCTION("""COMPUTED_VALUE"""),4.6381248E7)</f>
        <v>46381248</v>
      </c>
    </row>
    <row r="2472">
      <c r="A2472" s="2">
        <f>IFERROR(__xludf.DUMMYFUNCTION("""COMPUTED_VALUE"""),34954.666666666664)</f>
        <v>34954.66667</v>
      </c>
      <c r="B2472" s="1">
        <f>IFERROR(__xludf.DUMMYFUNCTION("""COMPUTED_VALUE"""),573.91)</f>
        <v>573.91</v>
      </c>
      <c r="C2472" s="1">
        <f>IFERROR(__xludf.DUMMYFUNCTION("""COMPUTED_VALUE"""),576.51)</f>
        <v>576.51</v>
      </c>
      <c r="D2472" s="1">
        <f>IFERROR(__xludf.DUMMYFUNCTION("""COMPUTED_VALUE"""),573.11)</f>
        <v>573.11</v>
      </c>
      <c r="E2472" s="1">
        <f>IFERROR(__xludf.DUMMYFUNCTION("""COMPUTED_VALUE"""),576.51)</f>
        <v>576.51</v>
      </c>
      <c r="F2472" s="1">
        <f>IFERROR(__xludf.DUMMYFUNCTION("""COMPUTED_VALUE"""),5.3834376E7)</f>
        <v>53834376</v>
      </c>
    </row>
    <row r="2473">
      <c r="A2473" s="2">
        <f>IFERROR(__xludf.DUMMYFUNCTION("""COMPUTED_VALUE"""),34955.666666666664)</f>
        <v>34955.66667</v>
      </c>
      <c r="B2473" s="1">
        <f>IFERROR(__xludf.DUMMYFUNCTION("""COMPUTED_VALUE"""),576.51)</f>
        <v>576.51</v>
      </c>
      <c r="C2473" s="1">
        <f>IFERROR(__xludf.DUMMYFUNCTION("""COMPUTED_VALUE"""),579.72)</f>
        <v>579.72</v>
      </c>
      <c r="D2473" s="1">
        <f>IFERROR(__xludf.DUMMYFUNCTION("""COMPUTED_VALUE"""),575.47)</f>
        <v>575.47</v>
      </c>
      <c r="E2473" s="1">
        <f>IFERROR(__xludf.DUMMYFUNCTION("""COMPUTED_VALUE"""),578.77)</f>
        <v>578.77</v>
      </c>
      <c r="F2473" s="1">
        <f>IFERROR(__xludf.DUMMYFUNCTION("""COMPUTED_VALUE"""),6.0059376E7)</f>
        <v>60059376</v>
      </c>
    </row>
    <row r="2474">
      <c r="A2474" s="2">
        <f>IFERROR(__xludf.DUMMYFUNCTION("""COMPUTED_VALUE"""),34956.666666666664)</f>
        <v>34956.66667</v>
      </c>
      <c r="B2474" s="1">
        <f>IFERROR(__xludf.DUMMYFUNCTION("""COMPUTED_VALUE"""),578.77)</f>
        <v>578.77</v>
      </c>
      <c r="C2474" s="1">
        <f>IFERROR(__xludf.DUMMYFUNCTION("""COMPUTED_VALUE"""),583.99)</f>
        <v>583.99</v>
      </c>
      <c r="D2474" s="1">
        <f>IFERROR(__xludf.DUMMYFUNCTION("""COMPUTED_VALUE"""),578.77)</f>
        <v>578.77</v>
      </c>
      <c r="E2474" s="1">
        <f>IFERROR(__xludf.DUMMYFUNCTION("""COMPUTED_VALUE"""),583.61)</f>
        <v>583.61</v>
      </c>
      <c r="F2474" s="1">
        <f>IFERROR(__xludf.DUMMYFUNCTION("""COMPUTED_VALUE"""),5.9825E7)</f>
        <v>59825000</v>
      </c>
    </row>
    <row r="2475">
      <c r="A2475" s="2">
        <f>IFERROR(__xludf.DUMMYFUNCTION("""COMPUTED_VALUE"""),34957.666666666664)</f>
        <v>34957.66667</v>
      </c>
      <c r="B2475" s="1">
        <f>IFERROR(__xludf.DUMMYFUNCTION("""COMPUTED_VALUE"""),583.61)</f>
        <v>583.61</v>
      </c>
      <c r="C2475" s="1">
        <f>IFERROR(__xludf.DUMMYFUNCTION("""COMPUTED_VALUE"""),585.07)</f>
        <v>585.07</v>
      </c>
      <c r="D2475" s="1">
        <f>IFERROR(__xludf.DUMMYFUNCTION("""COMPUTED_VALUE"""),581.79)</f>
        <v>581.79</v>
      </c>
      <c r="E2475" s="1">
        <f>IFERROR(__xludf.DUMMYFUNCTION("""COMPUTED_VALUE"""),583.35)</f>
        <v>583.35</v>
      </c>
      <c r="F2475" s="1">
        <f>IFERROR(__xludf.DUMMYFUNCTION("""COMPUTED_VALUE"""),7.177656E7)</f>
        <v>71776560</v>
      </c>
    </row>
    <row r="2476">
      <c r="A2476" s="2">
        <f>IFERROR(__xludf.DUMMYFUNCTION("""COMPUTED_VALUE"""),34960.666666666664)</f>
        <v>34960.66667</v>
      </c>
      <c r="B2476" s="1">
        <f>IFERROR(__xludf.DUMMYFUNCTION("""COMPUTED_VALUE"""),583.35)</f>
        <v>583.35</v>
      </c>
      <c r="C2476" s="1">
        <f>IFERROR(__xludf.DUMMYFUNCTION("""COMPUTED_VALUE"""),583.37)</f>
        <v>583.37</v>
      </c>
      <c r="D2476" s="1">
        <f>IFERROR(__xludf.DUMMYFUNCTION("""COMPUTED_VALUE"""),579.36)</f>
        <v>579.36</v>
      </c>
      <c r="E2476" s="1">
        <f>IFERROR(__xludf.DUMMYFUNCTION("""COMPUTED_VALUE"""),582.77)</f>
        <v>582.77</v>
      </c>
      <c r="F2476" s="1">
        <f>IFERROR(__xludf.DUMMYFUNCTION("""COMPUTED_VALUE"""),5.0951564E7)</f>
        <v>50951564</v>
      </c>
    </row>
    <row r="2477">
      <c r="A2477" s="2">
        <f>IFERROR(__xludf.DUMMYFUNCTION("""COMPUTED_VALUE"""),34961.666666666664)</f>
        <v>34961.66667</v>
      </c>
      <c r="B2477" s="1">
        <f>IFERROR(__xludf.DUMMYFUNCTION("""COMPUTED_VALUE"""),582.78)</f>
        <v>582.78</v>
      </c>
      <c r="C2477" s="1">
        <f>IFERROR(__xludf.DUMMYFUNCTION("""COMPUTED_VALUE"""),584.24)</f>
        <v>584.24</v>
      </c>
      <c r="D2477" s="1">
        <f>IFERROR(__xludf.DUMMYFUNCTION("""COMPUTED_VALUE"""),580.75)</f>
        <v>580.75</v>
      </c>
      <c r="E2477" s="1">
        <f>IFERROR(__xludf.DUMMYFUNCTION("""COMPUTED_VALUE"""),584.2)</f>
        <v>584.2</v>
      </c>
      <c r="F2477" s="1">
        <f>IFERROR(__xludf.DUMMYFUNCTION("""COMPUTED_VALUE"""),5.7995312E7)</f>
        <v>57995312</v>
      </c>
    </row>
    <row r="2478">
      <c r="A2478" s="2">
        <f>IFERROR(__xludf.DUMMYFUNCTION("""COMPUTED_VALUE"""),34962.666666666664)</f>
        <v>34962.66667</v>
      </c>
      <c r="B2478" s="1">
        <f>IFERROR(__xludf.DUMMYFUNCTION("""COMPUTED_VALUE"""),584.2)</f>
        <v>584.2</v>
      </c>
      <c r="C2478" s="1">
        <f>IFERROR(__xludf.DUMMYFUNCTION("""COMPUTED_VALUE"""),586.77)</f>
        <v>586.77</v>
      </c>
      <c r="D2478" s="1">
        <f>IFERROR(__xludf.DUMMYFUNCTION("""COMPUTED_VALUE"""),584.18)</f>
        <v>584.18</v>
      </c>
      <c r="E2478" s="1">
        <f>IFERROR(__xludf.DUMMYFUNCTION("""COMPUTED_VALUE"""),586.77)</f>
        <v>586.77</v>
      </c>
      <c r="F2478" s="1">
        <f>IFERROR(__xludf.DUMMYFUNCTION("""COMPUTED_VALUE"""),6.2507812E7)</f>
        <v>62507812</v>
      </c>
    </row>
    <row r="2479">
      <c r="A2479" s="2">
        <f>IFERROR(__xludf.DUMMYFUNCTION("""COMPUTED_VALUE"""),34963.666666666664)</f>
        <v>34963.66667</v>
      </c>
      <c r="B2479" s="1">
        <f>IFERROR(__xludf.DUMMYFUNCTION("""COMPUTED_VALUE"""),586.77)</f>
        <v>586.77</v>
      </c>
      <c r="C2479" s="1">
        <f>IFERROR(__xludf.DUMMYFUNCTION("""COMPUTED_VALUE"""),586.79)</f>
        <v>586.79</v>
      </c>
      <c r="D2479" s="1">
        <f>IFERROR(__xludf.DUMMYFUNCTION("""COMPUTED_VALUE"""),580.91)</f>
        <v>580.91</v>
      </c>
      <c r="E2479" s="1">
        <f>IFERROR(__xludf.DUMMYFUNCTION("""COMPUTED_VALUE"""),583.0)</f>
        <v>583</v>
      </c>
      <c r="F2479" s="1">
        <f>IFERROR(__xludf.DUMMYFUNCTION("""COMPUTED_VALUE"""),5.7359376E7)</f>
        <v>57359376</v>
      </c>
    </row>
    <row r="2480">
      <c r="A2480" s="2">
        <f>IFERROR(__xludf.DUMMYFUNCTION("""COMPUTED_VALUE"""),34964.666666666664)</f>
        <v>34964.66667</v>
      </c>
      <c r="B2480" s="1">
        <f>IFERROR(__xludf.DUMMYFUNCTION("""COMPUTED_VALUE"""),583.0)</f>
        <v>583</v>
      </c>
      <c r="C2480" s="1">
        <f>IFERROR(__xludf.DUMMYFUNCTION("""COMPUTED_VALUE"""),583.0)</f>
        <v>583</v>
      </c>
      <c r="D2480" s="1">
        <f>IFERROR(__xludf.DUMMYFUNCTION("""COMPUTED_VALUE"""),578.25)</f>
        <v>578.25</v>
      </c>
      <c r="E2480" s="1">
        <f>IFERROR(__xludf.DUMMYFUNCTION("""COMPUTED_VALUE"""),581.73)</f>
        <v>581.73</v>
      </c>
      <c r="F2480" s="1">
        <f>IFERROR(__xludf.DUMMYFUNCTION("""COMPUTED_VALUE"""),5.7935936E7)</f>
        <v>57935936</v>
      </c>
    </row>
    <row r="2481">
      <c r="A2481" s="2">
        <f>IFERROR(__xludf.DUMMYFUNCTION("""COMPUTED_VALUE"""),34967.666666666664)</f>
        <v>34967.66667</v>
      </c>
      <c r="B2481" s="1">
        <f>IFERROR(__xludf.DUMMYFUNCTION("""COMPUTED_VALUE"""),581.87)</f>
        <v>581.87</v>
      </c>
      <c r="C2481" s="1">
        <f>IFERROR(__xludf.DUMMYFUNCTION("""COMPUTED_VALUE"""),582.14)</f>
        <v>582.14</v>
      </c>
      <c r="D2481" s="1">
        <f>IFERROR(__xludf.DUMMYFUNCTION("""COMPUTED_VALUE"""),579.5)</f>
        <v>579.5</v>
      </c>
      <c r="E2481" s="1">
        <f>IFERROR(__xludf.DUMMYFUNCTION("""COMPUTED_VALUE"""),581.81)</f>
        <v>581.81</v>
      </c>
      <c r="F2481" s="1">
        <f>IFERROR(__xludf.DUMMYFUNCTION("""COMPUTED_VALUE"""),4.2675E7)</f>
        <v>42675000</v>
      </c>
    </row>
    <row r="2482">
      <c r="A2482" s="2">
        <f>IFERROR(__xludf.DUMMYFUNCTION("""COMPUTED_VALUE"""),34968.666666666664)</f>
        <v>34968.66667</v>
      </c>
      <c r="B2482" s="1">
        <f>IFERROR(__xludf.DUMMYFUNCTION("""COMPUTED_VALUE"""),581.89)</f>
        <v>581.89</v>
      </c>
      <c r="C2482" s="1">
        <f>IFERROR(__xludf.DUMMYFUNCTION("""COMPUTED_VALUE"""),584.66)</f>
        <v>584.66</v>
      </c>
      <c r="D2482" s="1">
        <f>IFERROR(__xludf.DUMMYFUNCTION("""COMPUTED_VALUE"""),580.65)</f>
        <v>580.65</v>
      </c>
      <c r="E2482" s="1">
        <f>IFERROR(__xludf.DUMMYFUNCTION("""COMPUTED_VALUE"""),581.41)</f>
        <v>581.41</v>
      </c>
      <c r="F2482" s="1">
        <f>IFERROR(__xludf.DUMMYFUNCTION("""COMPUTED_VALUE"""),5.6817188E7)</f>
        <v>56817188</v>
      </c>
    </row>
    <row r="2483">
      <c r="A2483" s="2">
        <f>IFERROR(__xludf.DUMMYFUNCTION("""COMPUTED_VALUE"""),34969.666666666664)</f>
        <v>34969.66667</v>
      </c>
      <c r="B2483" s="1">
        <f>IFERROR(__xludf.DUMMYFUNCTION("""COMPUTED_VALUE"""),581.42)</f>
        <v>581.42</v>
      </c>
      <c r="C2483" s="1">
        <f>IFERROR(__xludf.DUMMYFUNCTION("""COMPUTED_VALUE"""),581.42)</f>
        <v>581.42</v>
      </c>
      <c r="D2483" s="1">
        <f>IFERROR(__xludf.DUMMYFUNCTION("""COMPUTED_VALUE"""),574.68)</f>
        <v>574.68</v>
      </c>
      <c r="E2483" s="1">
        <f>IFERROR(__xludf.DUMMYFUNCTION("""COMPUTED_VALUE"""),581.04)</f>
        <v>581.04</v>
      </c>
      <c r="F2483" s="1">
        <f>IFERROR(__xludf.DUMMYFUNCTION("""COMPUTED_VALUE"""),6.4265624E7)</f>
        <v>64265624</v>
      </c>
    </row>
    <row r="2484">
      <c r="A2484" s="2">
        <f>IFERROR(__xludf.DUMMYFUNCTION("""COMPUTED_VALUE"""),34970.666666666664)</f>
        <v>34970.66667</v>
      </c>
      <c r="B2484" s="1">
        <f>IFERROR(__xludf.DUMMYFUNCTION("""COMPUTED_VALUE"""),581.13)</f>
        <v>581.13</v>
      </c>
      <c r="C2484" s="1">
        <f>IFERROR(__xludf.DUMMYFUNCTION("""COMPUTED_VALUE"""),585.87)</f>
        <v>585.87</v>
      </c>
      <c r="D2484" s="1">
        <f>IFERROR(__xludf.DUMMYFUNCTION("""COMPUTED_VALUE"""),580.7)</f>
        <v>580.7</v>
      </c>
      <c r="E2484" s="1">
        <f>IFERROR(__xludf.DUMMYFUNCTION("""COMPUTED_VALUE"""),585.87)</f>
        <v>585.87</v>
      </c>
      <c r="F2484" s="1">
        <f>IFERROR(__xludf.DUMMYFUNCTION("""COMPUTED_VALUE"""),5.7456248E7)</f>
        <v>57456248</v>
      </c>
    </row>
    <row r="2485">
      <c r="A2485" s="2">
        <f>IFERROR(__xludf.DUMMYFUNCTION("""COMPUTED_VALUE"""),34971.666666666664)</f>
        <v>34971.66667</v>
      </c>
      <c r="B2485" s="1">
        <f>IFERROR(__xludf.DUMMYFUNCTION("""COMPUTED_VALUE"""),585.87)</f>
        <v>585.87</v>
      </c>
      <c r="C2485" s="1">
        <f>IFERROR(__xludf.DUMMYFUNCTION("""COMPUTED_VALUE"""),587.61)</f>
        <v>587.61</v>
      </c>
      <c r="D2485" s="1">
        <f>IFERROR(__xludf.DUMMYFUNCTION("""COMPUTED_VALUE"""),584.0)</f>
        <v>584</v>
      </c>
      <c r="E2485" s="1">
        <f>IFERROR(__xludf.DUMMYFUNCTION("""COMPUTED_VALUE"""),584.41)</f>
        <v>584.41</v>
      </c>
      <c r="F2485" s="1">
        <f>IFERROR(__xludf.DUMMYFUNCTION("""COMPUTED_VALUE"""),5.2382812E7)</f>
        <v>52382812</v>
      </c>
    </row>
    <row r="2486">
      <c r="A2486" s="2">
        <f>IFERROR(__xludf.DUMMYFUNCTION("""COMPUTED_VALUE"""),34974.666666666664)</f>
        <v>34974.66667</v>
      </c>
      <c r="B2486" s="1">
        <f>IFERROR(__xludf.DUMMYFUNCTION("""COMPUTED_VALUE"""),584.43)</f>
        <v>584.43</v>
      </c>
      <c r="C2486" s="1">
        <f>IFERROR(__xludf.DUMMYFUNCTION("""COMPUTED_VALUE"""),585.05)</f>
        <v>585.05</v>
      </c>
      <c r="D2486" s="1">
        <f>IFERROR(__xludf.DUMMYFUNCTION("""COMPUTED_VALUE"""),580.54)</f>
        <v>580.54</v>
      </c>
      <c r="E2486" s="1">
        <f>IFERROR(__xludf.DUMMYFUNCTION("""COMPUTED_VALUE"""),581.72)</f>
        <v>581.72</v>
      </c>
      <c r="F2486" s="1">
        <f>IFERROR(__xludf.DUMMYFUNCTION("""COMPUTED_VALUE"""),4.7654688E7)</f>
        <v>47654688</v>
      </c>
    </row>
    <row r="2487">
      <c r="A2487" s="2">
        <f>IFERROR(__xludf.DUMMYFUNCTION("""COMPUTED_VALUE"""),34975.666666666664)</f>
        <v>34975.66667</v>
      </c>
      <c r="B2487" s="1">
        <f>IFERROR(__xludf.DUMMYFUNCTION("""COMPUTED_VALUE"""),581.72)</f>
        <v>581.72</v>
      </c>
      <c r="C2487" s="1">
        <f>IFERROR(__xludf.DUMMYFUNCTION("""COMPUTED_VALUE"""),582.34)</f>
        <v>582.34</v>
      </c>
      <c r="D2487" s="1">
        <f>IFERROR(__xludf.DUMMYFUNCTION("""COMPUTED_VALUE"""),578.48)</f>
        <v>578.48</v>
      </c>
      <c r="E2487" s="1">
        <f>IFERROR(__xludf.DUMMYFUNCTION("""COMPUTED_VALUE"""),582.34)</f>
        <v>582.34</v>
      </c>
      <c r="F2487" s="1">
        <f>IFERROR(__xludf.DUMMYFUNCTION("""COMPUTED_VALUE"""),6.0303124E7)</f>
        <v>60303124</v>
      </c>
    </row>
    <row r="2488">
      <c r="A2488" s="2">
        <f>IFERROR(__xludf.DUMMYFUNCTION("""COMPUTED_VALUE"""),34976.666666666664)</f>
        <v>34976.66667</v>
      </c>
      <c r="B2488" s="1">
        <f>IFERROR(__xludf.DUMMYFUNCTION("""COMPUTED_VALUE"""),582.24)</f>
        <v>582.24</v>
      </c>
      <c r="C2488" s="1">
        <f>IFERROR(__xludf.DUMMYFUNCTION("""COMPUTED_VALUE"""),582.24)</f>
        <v>582.24</v>
      </c>
      <c r="D2488" s="1">
        <f>IFERROR(__xludf.DUMMYFUNCTION("""COMPUTED_VALUE"""),579.91)</f>
        <v>579.91</v>
      </c>
      <c r="E2488" s="1">
        <f>IFERROR(__xludf.DUMMYFUNCTION("""COMPUTED_VALUE"""),581.47)</f>
        <v>581.47</v>
      </c>
      <c r="F2488" s="1">
        <f>IFERROR(__xludf.DUMMYFUNCTION("""COMPUTED_VALUE"""),5.3028124E7)</f>
        <v>53028124</v>
      </c>
    </row>
    <row r="2489">
      <c r="A2489" s="2">
        <f>IFERROR(__xludf.DUMMYFUNCTION("""COMPUTED_VALUE"""),34977.666666666664)</f>
        <v>34977.66667</v>
      </c>
      <c r="B2489" s="1">
        <f>IFERROR(__xludf.DUMMYFUNCTION("""COMPUTED_VALUE"""),581.47)</f>
        <v>581.47</v>
      </c>
      <c r="C2489" s="1">
        <f>IFERROR(__xludf.DUMMYFUNCTION("""COMPUTED_VALUE"""),582.63)</f>
        <v>582.63</v>
      </c>
      <c r="D2489" s="1">
        <f>IFERROR(__xludf.DUMMYFUNCTION("""COMPUTED_VALUE"""),579.58)</f>
        <v>579.58</v>
      </c>
      <c r="E2489" s="1">
        <f>IFERROR(__xludf.DUMMYFUNCTION("""COMPUTED_VALUE"""),582.63)</f>
        <v>582.63</v>
      </c>
      <c r="F2489" s="1">
        <f>IFERROR(__xludf.DUMMYFUNCTION("""COMPUTED_VALUE"""),5.7418752E7)</f>
        <v>57418752</v>
      </c>
    </row>
    <row r="2490">
      <c r="A2490" s="2">
        <f>IFERROR(__xludf.DUMMYFUNCTION("""COMPUTED_VALUE"""),34978.666666666664)</f>
        <v>34978.66667</v>
      </c>
      <c r="B2490" s="1">
        <f>IFERROR(__xludf.DUMMYFUNCTION("""COMPUTED_VALUE"""),582.65)</f>
        <v>582.65</v>
      </c>
      <c r="C2490" s="1">
        <f>IFERROR(__xludf.DUMMYFUNCTION("""COMPUTED_VALUE"""),584.5)</f>
        <v>584.5</v>
      </c>
      <c r="D2490" s="1">
        <f>IFERROR(__xludf.DUMMYFUNCTION("""COMPUTED_VALUE"""),582.11)</f>
        <v>582.11</v>
      </c>
      <c r="E2490" s="1">
        <f>IFERROR(__xludf.DUMMYFUNCTION("""COMPUTED_VALUE"""),582.49)</f>
        <v>582.49</v>
      </c>
      <c r="F2490" s="1">
        <f>IFERROR(__xludf.DUMMYFUNCTION("""COMPUTED_VALUE"""),4.90125E7)</f>
        <v>49012500</v>
      </c>
    </row>
    <row r="2491">
      <c r="A2491" s="2">
        <f>IFERROR(__xludf.DUMMYFUNCTION("""COMPUTED_VALUE"""),34981.666666666664)</f>
        <v>34981.66667</v>
      </c>
      <c r="B2491" s="1">
        <f>IFERROR(__xludf.DUMMYFUNCTION("""COMPUTED_VALUE"""),582.1)</f>
        <v>582.1</v>
      </c>
      <c r="C2491" s="1">
        <f>IFERROR(__xludf.DUMMYFUNCTION("""COMPUTED_VALUE"""),582.1)</f>
        <v>582.1</v>
      </c>
      <c r="D2491" s="1">
        <f>IFERROR(__xludf.DUMMYFUNCTION("""COMPUTED_VALUE"""),576.35)</f>
        <v>576.35</v>
      </c>
      <c r="E2491" s="1">
        <f>IFERROR(__xludf.DUMMYFUNCTION("""COMPUTED_VALUE"""),578.37)</f>
        <v>578.37</v>
      </c>
      <c r="F2491" s="1">
        <f>IFERROR(__xludf.DUMMYFUNCTION("""COMPUTED_VALUE"""),4.3018752E7)</f>
        <v>43018752</v>
      </c>
    </row>
    <row r="2492">
      <c r="A2492" s="2">
        <f>IFERROR(__xludf.DUMMYFUNCTION("""COMPUTED_VALUE"""),34982.666666666664)</f>
        <v>34982.66667</v>
      </c>
      <c r="B2492" s="1">
        <f>IFERROR(__xludf.DUMMYFUNCTION("""COMPUTED_VALUE"""),578.37)</f>
        <v>578.37</v>
      </c>
      <c r="C2492" s="1">
        <f>IFERROR(__xludf.DUMMYFUNCTION("""COMPUTED_VALUE"""),586.03)</f>
        <v>586.03</v>
      </c>
      <c r="D2492" s="1">
        <f>IFERROR(__xludf.DUMMYFUNCTION("""COMPUTED_VALUE"""),571.55)</f>
        <v>571.55</v>
      </c>
      <c r="E2492" s="1">
        <f>IFERROR(__xludf.DUMMYFUNCTION("""COMPUTED_VALUE"""),577.52)</f>
        <v>577.52</v>
      </c>
      <c r="F2492" s="1">
        <f>IFERROR(__xludf.DUMMYFUNCTION("""COMPUTED_VALUE"""),6.4485936E7)</f>
        <v>64485936</v>
      </c>
    </row>
    <row r="2493">
      <c r="A2493" s="2">
        <f>IFERROR(__xludf.DUMMYFUNCTION("""COMPUTED_VALUE"""),34983.666666666664)</f>
        <v>34983.66667</v>
      </c>
      <c r="B2493" s="1">
        <f>IFERROR(__xludf.DUMMYFUNCTION("""COMPUTED_VALUE"""),577.52)</f>
        <v>577.52</v>
      </c>
      <c r="C2493" s="1">
        <f>IFERROR(__xludf.DUMMYFUNCTION("""COMPUTED_VALUE"""),579.52)</f>
        <v>579.52</v>
      </c>
      <c r="D2493" s="1">
        <f>IFERROR(__xludf.DUMMYFUNCTION("""COMPUTED_VALUE"""),577.08)</f>
        <v>577.08</v>
      </c>
      <c r="E2493" s="1">
        <f>IFERROR(__xludf.DUMMYFUNCTION("""COMPUTED_VALUE"""),579.46)</f>
        <v>579.46</v>
      </c>
      <c r="F2493" s="1">
        <f>IFERROR(__xludf.DUMMYFUNCTION("""COMPUTED_VALUE"""),5.3240624E7)</f>
        <v>53240624</v>
      </c>
    </row>
    <row r="2494">
      <c r="A2494" s="2">
        <f>IFERROR(__xludf.DUMMYFUNCTION("""COMPUTED_VALUE"""),34984.666666666664)</f>
        <v>34984.66667</v>
      </c>
      <c r="B2494" s="1">
        <f>IFERROR(__xludf.DUMMYFUNCTION("""COMPUTED_VALUE"""),579.56)</f>
        <v>579.56</v>
      </c>
      <c r="C2494" s="1">
        <f>IFERROR(__xludf.DUMMYFUNCTION("""COMPUTED_VALUE"""),583.12)</f>
        <v>583.12</v>
      </c>
      <c r="D2494" s="1">
        <f>IFERROR(__xludf.DUMMYFUNCTION("""COMPUTED_VALUE"""),579.53)</f>
        <v>579.53</v>
      </c>
      <c r="E2494" s="1">
        <f>IFERROR(__xludf.DUMMYFUNCTION("""COMPUTED_VALUE"""),583.1)</f>
        <v>583.1</v>
      </c>
      <c r="F2494" s="1">
        <f>IFERROR(__xludf.DUMMYFUNCTION("""COMPUTED_VALUE"""),5.3759376E7)</f>
        <v>53759376</v>
      </c>
    </row>
    <row r="2495">
      <c r="A2495" s="2">
        <f>IFERROR(__xludf.DUMMYFUNCTION("""COMPUTED_VALUE"""),34985.666666666664)</f>
        <v>34985.66667</v>
      </c>
      <c r="B2495" s="1">
        <f>IFERROR(__xludf.DUMMYFUNCTION("""COMPUTED_VALUE"""),583.1)</f>
        <v>583.1</v>
      </c>
      <c r="C2495" s="1">
        <f>IFERROR(__xludf.DUMMYFUNCTION("""COMPUTED_VALUE"""),587.39)</f>
        <v>587.39</v>
      </c>
      <c r="D2495" s="1">
        <f>IFERROR(__xludf.DUMMYFUNCTION("""COMPUTED_VALUE"""),583.1)</f>
        <v>583.1</v>
      </c>
      <c r="E2495" s="1">
        <f>IFERROR(__xludf.DUMMYFUNCTION("""COMPUTED_VALUE"""),584.5)</f>
        <v>584.5</v>
      </c>
      <c r="F2495" s="1">
        <f>IFERROR(__xludf.DUMMYFUNCTION("""COMPUTED_VALUE"""),5.8543752E7)</f>
        <v>58543752</v>
      </c>
    </row>
    <row r="2496">
      <c r="A2496" s="2">
        <f>IFERROR(__xludf.DUMMYFUNCTION("""COMPUTED_VALUE"""),34988.666666666664)</f>
        <v>34988.66667</v>
      </c>
      <c r="B2496" s="1">
        <f>IFERROR(__xludf.DUMMYFUNCTION("""COMPUTED_VALUE"""),584.48)</f>
        <v>584.48</v>
      </c>
      <c r="C2496" s="1">
        <f>IFERROR(__xludf.DUMMYFUNCTION("""COMPUTED_VALUE"""),584.86)</f>
        <v>584.86</v>
      </c>
      <c r="D2496" s="1">
        <f>IFERROR(__xludf.DUMMYFUNCTION("""COMPUTED_VALUE"""),582.63)</f>
        <v>582.63</v>
      </c>
      <c r="E2496" s="1">
        <f>IFERROR(__xludf.DUMMYFUNCTION("""COMPUTED_VALUE"""),583.03)</f>
        <v>583.03</v>
      </c>
      <c r="F2496" s="1">
        <f>IFERROR(__xludf.DUMMYFUNCTION("""COMPUTED_VALUE"""),4.6992188E7)</f>
        <v>46992188</v>
      </c>
    </row>
    <row r="2497">
      <c r="A2497" s="2">
        <f>IFERROR(__xludf.DUMMYFUNCTION("""COMPUTED_VALUE"""),34989.666666666664)</f>
        <v>34989.66667</v>
      </c>
      <c r="B2497" s="1">
        <f>IFERROR(__xludf.DUMMYFUNCTION("""COMPUTED_VALUE"""),583.03)</f>
        <v>583.03</v>
      </c>
      <c r="C2497" s="1">
        <f>IFERROR(__xludf.DUMMYFUNCTION("""COMPUTED_VALUE"""),586.78)</f>
        <v>586.78</v>
      </c>
      <c r="D2497" s="1">
        <f>IFERROR(__xludf.DUMMYFUNCTION("""COMPUTED_VALUE"""),581.9)</f>
        <v>581.9</v>
      </c>
      <c r="E2497" s="1">
        <f>IFERROR(__xludf.DUMMYFUNCTION("""COMPUTED_VALUE"""),586.78)</f>
        <v>586.78</v>
      </c>
      <c r="F2497" s="1">
        <f>IFERROR(__xludf.DUMMYFUNCTION("""COMPUTED_VALUE"""),5.5684376E7)</f>
        <v>55684376</v>
      </c>
    </row>
    <row r="2498">
      <c r="A2498" s="2">
        <f>IFERROR(__xludf.DUMMYFUNCTION("""COMPUTED_VALUE"""),34990.666666666664)</f>
        <v>34990.66667</v>
      </c>
      <c r="B2498" s="1">
        <f>IFERROR(__xludf.DUMMYFUNCTION("""COMPUTED_VALUE"""),586.84)</f>
        <v>586.84</v>
      </c>
      <c r="C2498" s="1">
        <f>IFERROR(__xludf.DUMMYFUNCTION("""COMPUTED_VALUE"""),589.76)</f>
        <v>589.76</v>
      </c>
      <c r="D2498" s="1">
        <f>IFERROR(__xludf.DUMMYFUNCTION("""COMPUTED_VALUE"""),586.28)</f>
        <v>586.28</v>
      </c>
      <c r="E2498" s="1">
        <f>IFERROR(__xludf.DUMMYFUNCTION("""COMPUTED_VALUE"""),587.44)</f>
        <v>587.44</v>
      </c>
      <c r="F2498" s="1">
        <f>IFERROR(__xludf.DUMMYFUNCTION("""COMPUTED_VALUE"""),6.4260936E7)</f>
        <v>64260936</v>
      </c>
    </row>
    <row r="2499">
      <c r="A2499" s="2">
        <f>IFERROR(__xludf.DUMMYFUNCTION("""COMPUTED_VALUE"""),34991.666666666664)</f>
        <v>34991.66667</v>
      </c>
      <c r="B2499" s="1">
        <f>IFERROR(__xludf.DUMMYFUNCTION("""COMPUTED_VALUE"""),587.42)</f>
        <v>587.42</v>
      </c>
      <c r="C2499" s="1">
        <f>IFERROR(__xludf.DUMMYFUNCTION("""COMPUTED_VALUE"""),590.66)</f>
        <v>590.66</v>
      </c>
      <c r="D2499" s="1">
        <f>IFERROR(__xludf.DUMMYFUNCTION("""COMPUTED_VALUE"""),586.34)</f>
        <v>586.34</v>
      </c>
      <c r="E2499" s="1">
        <f>IFERROR(__xludf.DUMMYFUNCTION("""COMPUTED_VALUE"""),590.65)</f>
        <v>590.65</v>
      </c>
      <c r="F2499" s="1">
        <f>IFERROR(__xludf.DUMMYFUNCTION("""COMPUTED_VALUE"""),6.3534376E7)</f>
        <v>63534376</v>
      </c>
    </row>
    <row r="2500">
      <c r="A2500" s="2">
        <f>IFERROR(__xludf.DUMMYFUNCTION("""COMPUTED_VALUE"""),34992.666666666664)</f>
        <v>34992.66667</v>
      </c>
      <c r="B2500" s="1">
        <f>IFERROR(__xludf.DUMMYFUNCTION("""COMPUTED_VALUE"""),590.65)</f>
        <v>590.65</v>
      </c>
      <c r="C2500" s="1">
        <f>IFERROR(__xludf.DUMMYFUNCTION("""COMPUTED_VALUE"""),590.66)</f>
        <v>590.66</v>
      </c>
      <c r="D2500" s="1">
        <f>IFERROR(__xludf.DUMMYFUNCTION("""COMPUTED_VALUE"""),586.78)</f>
        <v>586.78</v>
      </c>
      <c r="E2500" s="1">
        <f>IFERROR(__xludf.DUMMYFUNCTION("""COMPUTED_VALUE"""),587.46)</f>
        <v>587.46</v>
      </c>
      <c r="F2500" s="1">
        <f>IFERROR(__xludf.DUMMYFUNCTION("""COMPUTED_VALUE"""),6.08375E7)</f>
        <v>60837500</v>
      </c>
    </row>
    <row r="2501">
      <c r="A2501" s="2">
        <f>IFERROR(__xludf.DUMMYFUNCTION("""COMPUTED_VALUE"""),34995.666666666664)</f>
        <v>34995.66667</v>
      </c>
      <c r="B2501" s="1">
        <f>IFERROR(__xludf.DUMMYFUNCTION("""COMPUTED_VALUE"""),587.46)</f>
        <v>587.46</v>
      </c>
      <c r="C2501" s="1">
        <f>IFERROR(__xludf.DUMMYFUNCTION("""COMPUTED_VALUE"""),587.46)</f>
        <v>587.46</v>
      </c>
      <c r="D2501" s="1">
        <f>IFERROR(__xludf.DUMMYFUNCTION("""COMPUTED_VALUE"""),583.73)</f>
        <v>583.73</v>
      </c>
      <c r="E2501" s="1">
        <f>IFERROR(__xludf.DUMMYFUNCTION("""COMPUTED_VALUE"""),585.06)</f>
        <v>585.06</v>
      </c>
      <c r="F2501" s="1">
        <f>IFERROR(__xludf.DUMMYFUNCTION("""COMPUTED_VALUE"""),5.1679688E7)</f>
        <v>51679688</v>
      </c>
    </row>
    <row r="2502">
      <c r="A2502" s="2">
        <f>IFERROR(__xludf.DUMMYFUNCTION("""COMPUTED_VALUE"""),34996.666666666664)</f>
        <v>34996.66667</v>
      </c>
      <c r="B2502" s="1">
        <f>IFERROR(__xludf.DUMMYFUNCTION("""COMPUTED_VALUE"""),585.05)</f>
        <v>585.05</v>
      </c>
      <c r="C2502" s="1">
        <f>IFERROR(__xludf.DUMMYFUNCTION("""COMPUTED_VALUE"""),587.31)</f>
        <v>587.31</v>
      </c>
      <c r="D2502" s="1">
        <f>IFERROR(__xludf.DUMMYFUNCTION("""COMPUTED_VALUE"""),584.75)</f>
        <v>584.75</v>
      </c>
      <c r="E2502" s="1">
        <f>IFERROR(__xludf.DUMMYFUNCTION("""COMPUTED_VALUE"""),586.54)</f>
        <v>586.54</v>
      </c>
      <c r="F2502" s="1">
        <f>IFERROR(__xludf.DUMMYFUNCTION("""COMPUTED_VALUE"""),6.4928124E7)</f>
        <v>64928124</v>
      </c>
    </row>
    <row r="2503">
      <c r="A2503" s="2">
        <f>IFERROR(__xludf.DUMMYFUNCTION("""COMPUTED_VALUE"""),34997.666666666664)</f>
        <v>34997.66667</v>
      </c>
      <c r="B2503" s="1">
        <f>IFERROR(__xludf.DUMMYFUNCTION("""COMPUTED_VALUE"""),586.59)</f>
        <v>586.59</v>
      </c>
      <c r="C2503" s="1">
        <f>IFERROR(__xludf.DUMMYFUNCTION("""COMPUTED_VALUE"""),587.19)</f>
        <v>587.19</v>
      </c>
      <c r="D2503" s="1">
        <f>IFERROR(__xludf.DUMMYFUNCTION("""COMPUTED_VALUE"""),581.41)</f>
        <v>581.41</v>
      </c>
      <c r="E2503" s="1">
        <f>IFERROR(__xludf.DUMMYFUNCTION("""COMPUTED_VALUE"""),582.47)</f>
        <v>582.47</v>
      </c>
      <c r="F2503" s="1">
        <f>IFERROR(__xludf.DUMMYFUNCTION("""COMPUTED_VALUE"""),6.7753128E7)</f>
        <v>67753128</v>
      </c>
    </row>
    <row r="2504">
      <c r="A2504" s="2">
        <f>IFERROR(__xludf.DUMMYFUNCTION("""COMPUTED_VALUE"""),34998.666666666664)</f>
        <v>34998.66667</v>
      </c>
      <c r="B2504" s="1">
        <f>IFERROR(__xludf.DUMMYFUNCTION("""COMPUTED_VALUE"""),582.47)</f>
        <v>582.47</v>
      </c>
      <c r="C2504" s="1">
        <f>IFERROR(__xludf.DUMMYFUNCTION("""COMPUTED_VALUE"""),582.63)</f>
        <v>582.63</v>
      </c>
      <c r="D2504" s="1">
        <f>IFERROR(__xludf.DUMMYFUNCTION("""COMPUTED_VALUE"""),572.52)</f>
        <v>572.52</v>
      </c>
      <c r="E2504" s="1">
        <f>IFERROR(__xludf.DUMMYFUNCTION("""COMPUTED_VALUE"""),576.72)</f>
        <v>576.72</v>
      </c>
      <c r="F2504" s="1">
        <f>IFERROR(__xludf.DUMMYFUNCTION("""COMPUTED_VALUE"""),7.2542184E7)</f>
        <v>72542184</v>
      </c>
    </row>
    <row r="2505">
      <c r="A2505" s="2">
        <f>IFERROR(__xludf.DUMMYFUNCTION("""COMPUTED_VALUE"""),34999.666666666664)</f>
        <v>34999.66667</v>
      </c>
      <c r="B2505" s="1">
        <f>IFERROR(__xludf.DUMMYFUNCTION("""COMPUTED_VALUE"""),576.72)</f>
        <v>576.72</v>
      </c>
      <c r="C2505" s="1">
        <f>IFERROR(__xludf.DUMMYFUNCTION("""COMPUTED_VALUE"""),579.71)</f>
        <v>579.71</v>
      </c>
      <c r="D2505" s="1">
        <f>IFERROR(__xludf.DUMMYFUNCTION("""COMPUTED_VALUE"""),573.21)</f>
        <v>573.21</v>
      </c>
      <c r="E2505" s="1">
        <f>IFERROR(__xludf.DUMMYFUNCTION("""COMPUTED_VALUE"""),579.7)</f>
        <v>579.7</v>
      </c>
      <c r="F2505" s="1">
        <f>IFERROR(__xludf.DUMMYFUNCTION("""COMPUTED_VALUE"""),5.9254688E7)</f>
        <v>59254688</v>
      </c>
    </row>
    <row r="2506">
      <c r="A2506" s="2">
        <f>IFERROR(__xludf.DUMMYFUNCTION("""COMPUTED_VALUE"""),35002.666666666664)</f>
        <v>35002.66667</v>
      </c>
      <c r="B2506" s="1">
        <f>IFERROR(__xludf.DUMMYFUNCTION("""COMPUTED_VALUE"""),579.87)</f>
        <v>579.87</v>
      </c>
      <c r="C2506" s="1">
        <f>IFERROR(__xludf.DUMMYFUNCTION("""COMPUTED_VALUE"""),583.79)</f>
        <v>583.79</v>
      </c>
      <c r="D2506" s="1">
        <f>IFERROR(__xludf.DUMMYFUNCTION("""COMPUTED_VALUE"""),579.87)</f>
        <v>579.87</v>
      </c>
      <c r="E2506" s="1">
        <f>IFERROR(__xludf.DUMMYFUNCTION("""COMPUTED_VALUE"""),583.25)</f>
        <v>583.25</v>
      </c>
      <c r="F2506" s="1">
        <f>IFERROR(__xludf.DUMMYFUNCTION("""COMPUTED_VALUE"""),4.9868752E7)</f>
        <v>49868752</v>
      </c>
    </row>
    <row r="2507">
      <c r="A2507" s="2">
        <f>IFERROR(__xludf.DUMMYFUNCTION("""COMPUTED_VALUE"""),35003.666666666664)</f>
        <v>35003.66667</v>
      </c>
      <c r="B2507" s="1">
        <f>IFERROR(__xludf.DUMMYFUNCTION("""COMPUTED_VALUE"""),583.25)</f>
        <v>583.25</v>
      </c>
      <c r="C2507" s="1">
        <f>IFERROR(__xludf.DUMMYFUNCTION("""COMPUTED_VALUE"""),586.71)</f>
        <v>586.71</v>
      </c>
      <c r="D2507" s="1">
        <f>IFERROR(__xludf.DUMMYFUNCTION("""COMPUTED_VALUE"""),581.49)</f>
        <v>581.49</v>
      </c>
      <c r="E2507" s="1">
        <f>IFERROR(__xludf.DUMMYFUNCTION("""COMPUTED_VALUE"""),581.5)</f>
        <v>581.5</v>
      </c>
      <c r="F2507" s="1">
        <f>IFERROR(__xludf.DUMMYFUNCTION("""COMPUTED_VALUE"""),5.8967188E7)</f>
        <v>58967188</v>
      </c>
    </row>
    <row r="2508">
      <c r="A2508" s="2">
        <f>IFERROR(__xludf.DUMMYFUNCTION("""COMPUTED_VALUE"""),35004.666666666664)</f>
        <v>35004.66667</v>
      </c>
      <c r="B2508" s="1">
        <f>IFERROR(__xludf.DUMMYFUNCTION("""COMPUTED_VALUE"""),581.61)</f>
        <v>581.61</v>
      </c>
      <c r="C2508" s="1">
        <f>IFERROR(__xludf.DUMMYFUNCTION("""COMPUTED_VALUE"""),584.24)</f>
        <v>584.24</v>
      </c>
      <c r="D2508" s="1">
        <f>IFERROR(__xludf.DUMMYFUNCTION("""COMPUTED_VALUE"""),581.04)</f>
        <v>581.04</v>
      </c>
      <c r="E2508" s="1">
        <f>IFERROR(__xludf.DUMMYFUNCTION("""COMPUTED_VALUE"""),584.22)</f>
        <v>584.22</v>
      </c>
      <c r="F2508" s="1">
        <f>IFERROR(__xludf.DUMMYFUNCTION("""COMPUTED_VALUE"""),5.9076564E7)</f>
        <v>59076564</v>
      </c>
    </row>
    <row r="2509">
      <c r="A2509" s="2">
        <f>IFERROR(__xludf.DUMMYFUNCTION("""COMPUTED_VALUE"""),35005.666666666664)</f>
        <v>35005.66667</v>
      </c>
      <c r="B2509" s="1">
        <f>IFERROR(__xludf.DUMMYFUNCTION("""COMPUTED_VALUE"""),584.22)</f>
        <v>584.22</v>
      </c>
      <c r="C2509" s="1">
        <f>IFERROR(__xludf.DUMMYFUNCTION("""COMPUTED_VALUE"""),589.72)</f>
        <v>589.72</v>
      </c>
      <c r="D2509" s="1">
        <f>IFERROR(__xludf.DUMMYFUNCTION("""COMPUTED_VALUE"""),584.22)</f>
        <v>584.22</v>
      </c>
      <c r="E2509" s="1">
        <f>IFERROR(__xludf.DUMMYFUNCTION("""COMPUTED_VALUE"""),589.72)</f>
        <v>589.72</v>
      </c>
      <c r="F2509" s="1">
        <f>IFERROR(__xludf.DUMMYFUNCTION("""COMPUTED_VALUE"""),6.2042188E7)</f>
        <v>62042188</v>
      </c>
    </row>
    <row r="2510">
      <c r="A2510" s="2">
        <f>IFERROR(__xludf.DUMMYFUNCTION("""COMPUTED_VALUE"""),35006.666666666664)</f>
        <v>35006.66667</v>
      </c>
      <c r="B2510" s="1">
        <f>IFERROR(__xludf.DUMMYFUNCTION("""COMPUTED_VALUE"""),589.72)</f>
        <v>589.72</v>
      </c>
      <c r="C2510" s="1">
        <f>IFERROR(__xludf.DUMMYFUNCTION("""COMPUTED_VALUE"""),590.57)</f>
        <v>590.57</v>
      </c>
      <c r="D2510" s="1">
        <f>IFERROR(__xludf.DUMMYFUNCTION("""COMPUTED_VALUE"""),588.65)</f>
        <v>588.65</v>
      </c>
      <c r="E2510" s="1">
        <f>IFERROR(__xludf.DUMMYFUNCTION("""COMPUTED_VALUE"""),590.57)</f>
        <v>590.57</v>
      </c>
      <c r="F2510" s="1">
        <f>IFERROR(__xludf.DUMMYFUNCTION("""COMPUTED_VALUE"""),5.4453124E7)</f>
        <v>54453124</v>
      </c>
    </row>
    <row r="2511">
      <c r="A2511" s="2">
        <f>IFERROR(__xludf.DUMMYFUNCTION("""COMPUTED_VALUE"""),35009.666666666664)</f>
        <v>35009.66667</v>
      </c>
      <c r="B2511" s="1">
        <f>IFERROR(__xludf.DUMMYFUNCTION("""COMPUTED_VALUE"""),590.47)</f>
        <v>590.47</v>
      </c>
      <c r="C2511" s="1">
        <f>IFERROR(__xludf.DUMMYFUNCTION("""COMPUTED_VALUE"""),590.64)</f>
        <v>590.64</v>
      </c>
      <c r="D2511" s="1">
        <f>IFERROR(__xludf.DUMMYFUNCTION("""COMPUTED_VALUE"""),588.31)</f>
        <v>588.31</v>
      </c>
      <c r="E2511" s="1">
        <f>IFERROR(__xludf.DUMMYFUNCTION("""COMPUTED_VALUE"""),588.46)</f>
        <v>588.46</v>
      </c>
      <c r="F2511" s="1">
        <f>IFERROR(__xludf.DUMMYFUNCTION("""COMPUTED_VALUE"""),4.8296876E7)</f>
        <v>48296876</v>
      </c>
    </row>
    <row r="2512">
      <c r="A2512" s="2">
        <f>IFERROR(__xludf.DUMMYFUNCTION("""COMPUTED_VALUE"""),35010.666666666664)</f>
        <v>35010.66667</v>
      </c>
      <c r="B2512" s="1">
        <f>IFERROR(__xludf.DUMMYFUNCTION("""COMPUTED_VALUE"""),588.39)</f>
        <v>588.39</v>
      </c>
      <c r="C2512" s="1">
        <f>IFERROR(__xludf.DUMMYFUNCTION("""COMPUTED_VALUE"""),588.39)</f>
        <v>588.39</v>
      </c>
      <c r="D2512" s="1">
        <f>IFERROR(__xludf.DUMMYFUNCTION("""COMPUTED_VALUE"""),584.24)</f>
        <v>584.24</v>
      </c>
      <c r="E2512" s="1">
        <f>IFERROR(__xludf.DUMMYFUNCTION("""COMPUTED_VALUE"""),586.32)</f>
        <v>586.32</v>
      </c>
      <c r="F2512" s="1">
        <f>IFERROR(__xludf.DUMMYFUNCTION("""COMPUTED_VALUE"""),5.6981248E7)</f>
        <v>56981248</v>
      </c>
    </row>
    <row r="2513">
      <c r="A2513" s="2">
        <f>IFERROR(__xludf.DUMMYFUNCTION("""COMPUTED_VALUE"""),35011.666666666664)</f>
        <v>35011.66667</v>
      </c>
      <c r="B2513" s="1">
        <f>IFERROR(__xludf.DUMMYFUNCTION("""COMPUTED_VALUE"""),586.32)</f>
        <v>586.32</v>
      </c>
      <c r="C2513" s="1">
        <f>IFERROR(__xludf.DUMMYFUNCTION("""COMPUTED_VALUE"""),591.71)</f>
        <v>591.71</v>
      </c>
      <c r="D2513" s="1">
        <f>IFERROR(__xludf.DUMMYFUNCTION("""COMPUTED_VALUE"""),586.32)</f>
        <v>586.32</v>
      </c>
      <c r="E2513" s="1">
        <f>IFERROR(__xludf.DUMMYFUNCTION("""COMPUTED_VALUE"""),591.71)</f>
        <v>591.71</v>
      </c>
      <c r="F2513" s="1">
        <f>IFERROR(__xludf.DUMMYFUNCTION("""COMPUTED_VALUE"""),5.6215624E7)</f>
        <v>56215624</v>
      </c>
    </row>
    <row r="2514">
      <c r="A2514" s="2">
        <f>IFERROR(__xludf.DUMMYFUNCTION("""COMPUTED_VALUE"""),35012.666666666664)</f>
        <v>35012.66667</v>
      </c>
      <c r="B2514" s="1">
        <f>IFERROR(__xludf.DUMMYFUNCTION("""COMPUTED_VALUE"""),592.23)</f>
        <v>592.23</v>
      </c>
      <c r="C2514" s="1">
        <f>IFERROR(__xludf.DUMMYFUNCTION("""COMPUTED_VALUE"""),593.9)</f>
        <v>593.9</v>
      </c>
      <c r="D2514" s="1">
        <f>IFERROR(__xludf.DUMMYFUNCTION("""COMPUTED_VALUE"""),590.89)</f>
        <v>590.89</v>
      </c>
      <c r="E2514" s="1">
        <f>IFERROR(__xludf.DUMMYFUNCTION("""COMPUTED_VALUE"""),593.26)</f>
        <v>593.26</v>
      </c>
      <c r="F2514" s="1">
        <f>IFERROR(__xludf.DUMMYFUNCTION("""COMPUTED_VALUE"""),5.9493752E7)</f>
        <v>59493752</v>
      </c>
    </row>
    <row r="2515">
      <c r="A2515" s="2">
        <f>IFERROR(__xludf.DUMMYFUNCTION("""COMPUTED_VALUE"""),35013.666666666664)</f>
        <v>35013.66667</v>
      </c>
      <c r="B2515" s="1">
        <f>IFERROR(__xludf.DUMMYFUNCTION("""COMPUTED_VALUE"""),593.12)</f>
        <v>593.12</v>
      </c>
      <c r="C2515" s="1">
        <f>IFERROR(__xludf.DUMMYFUNCTION("""COMPUTED_VALUE"""),593.25)</f>
        <v>593.25</v>
      </c>
      <c r="D2515" s="1">
        <f>IFERROR(__xludf.DUMMYFUNCTION("""COMPUTED_VALUE"""),590.39)</f>
        <v>590.39</v>
      </c>
      <c r="E2515" s="1">
        <f>IFERROR(__xludf.DUMMYFUNCTION("""COMPUTED_VALUE"""),592.72)</f>
        <v>592.72</v>
      </c>
      <c r="F2515" s="1">
        <f>IFERROR(__xludf.DUMMYFUNCTION("""COMPUTED_VALUE"""),4.6670312E7)</f>
        <v>46670312</v>
      </c>
    </row>
    <row r="2516">
      <c r="A2516" s="2">
        <f>IFERROR(__xludf.DUMMYFUNCTION("""COMPUTED_VALUE"""),35016.666666666664)</f>
        <v>35016.66667</v>
      </c>
      <c r="B2516" s="1">
        <f>IFERROR(__xludf.DUMMYFUNCTION("""COMPUTED_VALUE"""),592.67)</f>
        <v>592.67</v>
      </c>
      <c r="C2516" s="1">
        <f>IFERROR(__xludf.DUMMYFUNCTION("""COMPUTED_VALUE"""),593.71)</f>
        <v>593.71</v>
      </c>
      <c r="D2516" s="1">
        <f>IFERROR(__xludf.DUMMYFUNCTION("""COMPUTED_VALUE"""),590.58)</f>
        <v>590.58</v>
      </c>
      <c r="E2516" s="1">
        <f>IFERROR(__xludf.DUMMYFUNCTION("""COMPUTED_VALUE"""),592.3)</f>
        <v>592.3</v>
      </c>
      <c r="F2516" s="1">
        <f>IFERROR(__xludf.DUMMYFUNCTION("""COMPUTED_VALUE"""),4.6225E7)</f>
        <v>46225000</v>
      </c>
    </row>
    <row r="2517">
      <c r="A2517" s="2">
        <f>IFERROR(__xludf.DUMMYFUNCTION("""COMPUTED_VALUE"""),35017.666666666664)</f>
        <v>35017.66667</v>
      </c>
      <c r="B2517" s="1">
        <f>IFERROR(__xludf.DUMMYFUNCTION("""COMPUTED_VALUE"""),592.29)</f>
        <v>592.29</v>
      </c>
      <c r="C2517" s="1">
        <f>IFERROR(__xludf.DUMMYFUNCTION("""COMPUTED_VALUE"""),592.29)</f>
        <v>592.29</v>
      </c>
      <c r="D2517" s="1">
        <f>IFERROR(__xludf.DUMMYFUNCTION("""COMPUTED_VALUE"""),588.98)</f>
        <v>588.98</v>
      </c>
      <c r="E2517" s="1">
        <f>IFERROR(__xludf.DUMMYFUNCTION("""COMPUTED_VALUE"""),589.29)</f>
        <v>589.29</v>
      </c>
      <c r="F2517" s="1">
        <f>IFERROR(__xludf.DUMMYFUNCTION("""COMPUTED_VALUE"""),5.5378124E7)</f>
        <v>55378124</v>
      </c>
    </row>
    <row r="2518">
      <c r="A2518" s="2">
        <f>IFERROR(__xludf.DUMMYFUNCTION("""COMPUTED_VALUE"""),35018.666666666664)</f>
        <v>35018.66667</v>
      </c>
      <c r="B2518" s="1">
        <f>IFERROR(__xludf.DUMMYFUNCTION("""COMPUTED_VALUE"""),589.29)</f>
        <v>589.29</v>
      </c>
      <c r="C2518" s="1">
        <f>IFERROR(__xludf.DUMMYFUNCTION("""COMPUTED_VALUE"""),593.97)</f>
        <v>593.97</v>
      </c>
      <c r="D2518" s="1">
        <f>IFERROR(__xludf.DUMMYFUNCTION("""COMPUTED_VALUE"""),588.36)</f>
        <v>588.36</v>
      </c>
      <c r="E2518" s="1">
        <f>IFERROR(__xludf.DUMMYFUNCTION("""COMPUTED_VALUE"""),593.96)</f>
        <v>593.96</v>
      </c>
      <c r="F2518" s="1">
        <f>IFERROR(__xludf.DUMMYFUNCTION("""COMPUTED_VALUE"""),5.8765624E7)</f>
        <v>58765624</v>
      </c>
    </row>
    <row r="2519">
      <c r="A2519" s="2">
        <f>IFERROR(__xludf.DUMMYFUNCTION("""COMPUTED_VALUE"""),35019.666666666664)</f>
        <v>35019.66667</v>
      </c>
      <c r="B2519" s="1">
        <f>IFERROR(__xludf.DUMMYFUNCTION("""COMPUTED_VALUE"""),593.57)</f>
        <v>593.57</v>
      </c>
      <c r="C2519" s="1">
        <f>IFERROR(__xludf.DUMMYFUNCTION("""COMPUTED_VALUE"""),597.91)</f>
        <v>597.91</v>
      </c>
      <c r="D2519" s="1">
        <f>IFERROR(__xludf.DUMMYFUNCTION("""COMPUTED_VALUE"""),593.52)</f>
        <v>593.52</v>
      </c>
      <c r="E2519" s="1">
        <f>IFERROR(__xludf.DUMMYFUNCTION("""COMPUTED_VALUE"""),597.34)</f>
        <v>597.34</v>
      </c>
      <c r="F2519" s="1">
        <f>IFERROR(__xludf.DUMMYFUNCTION("""COMPUTED_VALUE"""),6.61375E7)</f>
        <v>66137500</v>
      </c>
    </row>
    <row r="2520">
      <c r="A2520" s="2">
        <f>IFERROR(__xludf.DUMMYFUNCTION("""COMPUTED_VALUE"""),35020.666666666664)</f>
        <v>35020.66667</v>
      </c>
      <c r="B2520" s="1">
        <f>IFERROR(__xludf.DUMMYFUNCTION("""COMPUTED_VALUE"""),597.34)</f>
        <v>597.34</v>
      </c>
      <c r="C2520" s="1">
        <f>IFERROR(__xludf.DUMMYFUNCTION("""COMPUTED_VALUE"""),600.14)</f>
        <v>600.14</v>
      </c>
      <c r="D2520" s="1">
        <f>IFERROR(__xludf.DUMMYFUNCTION("""COMPUTED_VALUE"""),597.3)</f>
        <v>597.3</v>
      </c>
      <c r="E2520" s="1">
        <f>IFERROR(__xludf.DUMMYFUNCTION("""COMPUTED_VALUE"""),600.07)</f>
        <v>600.07</v>
      </c>
      <c r="F2520" s="1">
        <f>IFERROR(__xludf.DUMMYFUNCTION("""COMPUTED_VALUE"""),6.8312496E7)</f>
        <v>68312496</v>
      </c>
    </row>
    <row r="2521">
      <c r="A2521" s="2">
        <f>IFERROR(__xludf.DUMMYFUNCTION("""COMPUTED_VALUE"""),35023.666666666664)</f>
        <v>35023.66667</v>
      </c>
      <c r="B2521" s="1">
        <f>IFERROR(__xludf.DUMMYFUNCTION("""COMPUTED_VALUE"""),600.08)</f>
        <v>600.08</v>
      </c>
      <c r="C2521" s="1">
        <f>IFERROR(__xludf.DUMMYFUNCTION("""COMPUTED_VALUE"""),600.4)</f>
        <v>600.4</v>
      </c>
      <c r="D2521" s="1">
        <f>IFERROR(__xludf.DUMMYFUNCTION("""COMPUTED_VALUE"""),596.17)</f>
        <v>596.17</v>
      </c>
      <c r="E2521" s="1">
        <f>IFERROR(__xludf.DUMMYFUNCTION("""COMPUTED_VALUE"""),596.85)</f>
        <v>596.85</v>
      </c>
      <c r="F2521" s="1">
        <f>IFERROR(__xludf.DUMMYFUNCTION("""COMPUTED_VALUE"""),5.2054688E7)</f>
        <v>52054688</v>
      </c>
    </row>
    <row r="2522">
      <c r="A2522" s="2">
        <f>IFERROR(__xludf.DUMMYFUNCTION("""COMPUTED_VALUE"""),35024.666666666664)</f>
        <v>35024.66667</v>
      </c>
      <c r="B2522" s="1">
        <f>IFERROR(__xludf.DUMMYFUNCTION("""COMPUTED_VALUE"""),596.85)</f>
        <v>596.85</v>
      </c>
      <c r="C2522" s="1">
        <f>IFERROR(__xludf.DUMMYFUNCTION("""COMPUTED_VALUE"""),600.27)</f>
        <v>600.27</v>
      </c>
      <c r="D2522" s="1">
        <f>IFERROR(__xludf.DUMMYFUNCTION("""COMPUTED_VALUE"""),595.42)</f>
        <v>595.42</v>
      </c>
      <c r="E2522" s="1">
        <f>IFERROR(__xludf.DUMMYFUNCTION("""COMPUTED_VALUE"""),600.24)</f>
        <v>600.24</v>
      </c>
      <c r="F2522" s="1">
        <f>IFERROR(__xludf.DUMMYFUNCTION("""COMPUTED_VALUE"""),6.38E7)</f>
        <v>63800000</v>
      </c>
    </row>
    <row r="2523">
      <c r="A2523" s="2">
        <f>IFERROR(__xludf.DUMMYFUNCTION("""COMPUTED_VALUE"""),35025.666666666664)</f>
        <v>35025.66667</v>
      </c>
      <c r="B2523" s="1">
        <f>IFERROR(__xludf.DUMMYFUNCTION("""COMPUTED_VALUE"""),600.24)</f>
        <v>600.24</v>
      </c>
      <c r="C2523" s="1">
        <f>IFERROR(__xludf.DUMMYFUNCTION("""COMPUTED_VALUE"""),600.71)</f>
        <v>600.71</v>
      </c>
      <c r="D2523" s="1">
        <f>IFERROR(__xludf.DUMMYFUNCTION("""COMPUTED_VALUE"""),598.4)</f>
        <v>598.4</v>
      </c>
      <c r="E2523" s="1">
        <f>IFERROR(__xludf.DUMMYFUNCTION("""COMPUTED_VALUE"""),598.4)</f>
        <v>598.4</v>
      </c>
      <c r="F2523" s="1">
        <f>IFERROR(__xludf.DUMMYFUNCTION("""COMPUTED_VALUE"""),6.3278124E7)</f>
        <v>63278124</v>
      </c>
    </row>
    <row r="2524">
      <c r="A2524" s="2">
        <f>IFERROR(__xludf.DUMMYFUNCTION("""COMPUTED_VALUE"""),35027.666666666664)</f>
        <v>35027.66667</v>
      </c>
      <c r="B2524" s="1">
        <f>IFERROR(__xludf.DUMMYFUNCTION("""COMPUTED_VALUE"""),598.4)</f>
        <v>598.4</v>
      </c>
      <c r="C2524" s="1">
        <f>IFERROR(__xludf.DUMMYFUNCTION("""COMPUTED_VALUE"""),600.24)</f>
        <v>600.24</v>
      </c>
      <c r="D2524" s="1">
        <f>IFERROR(__xludf.DUMMYFUNCTION("""COMPUTED_VALUE"""),598.4)</f>
        <v>598.4</v>
      </c>
      <c r="E2524" s="1">
        <f>IFERROR(__xludf.DUMMYFUNCTION("""COMPUTED_VALUE"""),599.97)</f>
        <v>599.97</v>
      </c>
      <c r="F2524" s="1">
        <f>IFERROR(__xludf.DUMMYFUNCTION("""COMPUTED_VALUE"""),1.9667188E7)</f>
        <v>19667188</v>
      </c>
    </row>
    <row r="2525">
      <c r="A2525" s="2">
        <f>IFERROR(__xludf.DUMMYFUNCTION("""COMPUTED_VALUE"""),35030.666666666664)</f>
        <v>35030.66667</v>
      </c>
      <c r="B2525" s="1">
        <f>IFERROR(__xludf.DUMMYFUNCTION("""COMPUTED_VALUE"""),600.19)</f>
        <v>600.19</v>
      </c>
      <c r="C2525" s="1">
        <f>IFERROR(__xludf.DUMMYFUNCTION("""COMPUTED_VALUE"""),603.35)</f>
        <v>603.35</v>
      </c>
      <c r="D2525" s="1">
        <f>IFERROR(__xludf.DUMMYFUNCTION("""COMPUTED_VALUE"""),600.19)</f>
        <v>600.19</v>
      </c>
      <c r="E2525" s="1">
        <f>IFERROR(__xludf.DUMMYFUNCTION("""COMPUTED_VALUE"""),601.32)</f>
        <v>601.32</v>
      </c>
      <c r="F2525" s="1">
        <f>IFERROR(__xludf.DUMMYFUNCTION("""COMPUTED_VALUE"""),5.6114064E7)</f>
        <v>56114064</v>
      </c>
    </row>
    <row r="2526">
      <c r="A2526" s="2">
        <f>IFERROR(__xludf.DUMMYFUNCTION("""COMPUTED_VALUE"""),35031.666666666664)</f>
        <v>35031.66667</v>
      </c>
      <c r="B2526" s="1">
        <f>IFERROR(__xludf.DUMMYFUNCTION("""COMPUTED_VALUE"""),601.32)</f>
        <v>601.32</v>
      </c>
      <c r="C2526" s="1">
        <f>IFERROR(__xludf.DUMMYFUNCTION("""COMPUTED_VALUE"""),606.45)</f>
        <v>606.45</v>
      </c>
      <c r="D2526" s="1">
        <f>IFERROR(__xludf.DUMMYFUNCTION("""COMPUTED_VALUE"""),599.02)</f>
        <v>599.02</v>
      </c>
      <c r="E2526" s="1">
        <f>IFERROR(__xludf.DUMMYFUNCTION("""COMPUTED_VALUE"""),606.45)</f>
        <v>606.45</v>
      </c>
      <c r="F2526" s="1">
        <f>IFERROR(__xludf.DUMMYFUNCTION("""COMPUTED_VALUE"""),6.3884376E7)</f>
        <v>63884376</v>
      </c>
    </row>
    <row r="2527">
      <c r="A2527" s="2">
        <f>IFERROR(__xludf.DUMMYFUNCTION("""COMPUTED_VALUE"""),35032.666666666664)</f>
        <v>35032.66667</v>
      </c>
      <c r="B2527" s="1">
        <f>IFERROR(__xludf.DUMMYFUNCTION("""COMPUTED_VALUE"""),601.32)</f>
        <v>601.32</v>
      </c>
      <c r="C2527" s="1">
        <f>IFERROR(__xludf.DUMMYFUNCTION("""COMPUTED_VALUE"""),607.64)</f>
        <v>607.64</v>
      </c>
      <c r="D2527" s="1">
        <f>IFERROR(__xludf.DUMMYFUNCTION("""COMPUTED_VALUE"""),599.02)</f>
        <v>599.02</v>
      </c>
      <c r="E2527" s="1">
        <f>IFERROR(__xludf.DUMMYFUNCTION("""COMPUTED_VALUE"""),607.64)</f>
        <v>607.64</v>
      </c>
      <c r="F2527" s="1">
        <f>IFERROR(__xludf.DUMMYFUNCTION("""COMPUTED_VALUE"""),6.2231248E7)</f>
        <v>62231248</v>
      </c>
    </row>
    <row r="2528">
      <c r="A2528" s="2">
        <f>IFERROR(__xludf.DUMMYFUNCTION("""COMPUTED_VALUE"""),35033.666666666664)</f>
        <v>35033.66667</v>
      </c>
      <c r="B2528" s="1">
        <f>IFERROR(__xludf.DUMMYFUNCTION("""COMPUTED_VALUE"""),607.64)</f>
        <v>607.64</v>
      </c>
      <c r="C2528" s="1">
        <f>IFERROR(__xludf.DUMMYFUNCTION("""COMPUTED_VALUE"""),608.69)</f>
        <v>608.69</v>
      </c>
      <c r="D2528" s="1">
        <f>IFERROR(__xludf.DUMMYFUNCTION("""COMPUTED_VALUE"""),605.37)</f>
        <v>605.37</v>
      </c>
      <c r="E2528" s="1">
        <f>IFERROR(__xludf.DUMMYFUNCTION("""COMPUTED_VALUE"""),605.37)</f>
        <v>605.37</v>
      </c>
      <c r="F2528" s="1">
        <f>IFERROR(__xludf.DUMMYFUNCTION("""COMPUTED_VALUE"""),6.8757816E7)</f>
        <v>68757816</v>
      </c>
    </row>
    <row r="2529">
      <c r="A2529" s="2">
        <f>IFERROR(__xludf.DUMMYFUNCTION("""COMPUTED_VALUE"""),35034.666666666664)</f>
        <v>35034.66667</v>
      </c>
      <c r="B2529" s="1">
        <f>IFERROR(__xludf.DUMMYFUNCTION("""COMPUTED_VALUE"""),606.98)</f>
        <v>606.98</v>
      </c>
      <c r="C2529" s="1">
        <f>IFERROR(__xludf.DUMMYFUNCTION("""COMPUTED_VALUE"""),613.83)</f>
        <v>613.83</v>
      </c>
      <c r="D2529" s="1">
        <f>IFERROR(__xludf.DUMMYFUNCTION("""COMPUTED_VALUE"""),606.84)</f>
        <v>606.84</v>
      </c>
      <c r="E2529" s="1">
        <f>IFERROR(__xludf.DUMMYFUNCTION("""COMPUTED_VALUE"""),606.98)</f>
        <v>606.98</v>
      </c>
      <c r="F2529" s="1">
        <f>IFERROR(__xludf.DUMMYFUNCTION("""COMPUTED_VALUE"""),6.1454688E7)</f>
        <v>61454688</v>
      </c>
    </row>
    <row r="2530">
      <c r="A2530" s="2">
        <f>IFERROR(__xludf.DUMMYFUNCTION("""COMPUTED_VALUE"""),35037.666666666664)</f>
        <v>35037.66667</v>
      </c>
      <c r="B2530" s="1">
        <f>IFERROR(__xludf.DUMMYFUNCTION("""COMPUTED_VALUE"""),606.98)</f>
        <v>606.98</v>
      </c>
      <c r="C2530" s="1">
        <f>IFERROR(__xludf.DUMMYFUNCTION("""COMPUTED_VALUE"""),613.83)</f>
        <v>613.83</v>
      </c>
      <c r="D2530" s="1">
        <f>IFERROR(__xludf.DUMMYFUNCTION("""COMPUTED_VALUE"""),606.84)</f>
        <v>606.84</v>
      </c>
      <c r="E2530" s="1">
        <f>IFERROR(__xludf.DUMMYFUNCTION("""COMPUTED_VALUE"""),613.68)</f>
        <v>613.68</v>
      </c>
      <c r="F2530" s="1">
        <f>IFERROR(__xludf.DUMMYFUNCTION("""COMPUTED_VALUE"""),6.3356248E7)</f>
        <v>63356248</v>
      </c>
    </row>
    <row r="2531">
      <c r="A2531" s="2">
        <f>IFERROR(__xludf.DUMMYFUNCTION("""COMPUTED_VALUE"""),35038.666666666664)</f>
        <v>35038.66667</v>
      </c>
      <c r="B2531" s="1">
        <f>IFERROR(__xludf.DUMMYFUNCTION("""COMPUTED_VALUE"""),613.68)</f>
        <v>613.68</v>
      </c>
      <c r="C2531" s="1">
        <f>IFERROR(__xludf.DUMMYFUNCTION("""COMPUTED_VALUE"""),618.48)</f>
        <v>618.48</v>
      </c>
      <c r="D2531" s="1">
        <f>IFERROR(__xludf.DUMMYFUNCTION("""COMPUTED_VALUE"""),613.14)</f>
        <v>613.14</v>
      </c>
      <c r="E2531" s="1">
        <f>IFERROR(__xludf.DUMMYFUNCTION("""COMPUTED_VALUE"""),617.68)</f>
        <v>617.68</v>
      </c>
      <c r="F2531" s="1">
        <f>IFERROR(__xludf.DUMMYFUNCTION("""COMPUTED_VALUE"""),6.8337504E7)</f>
        <v>68337504</v>
      </c>
    </row>
    <row r="2532">
      <c r="A2532" s="2">
        <f>IFERROR(__xludf.DUMMYFUNCTION("""COMPUTED_VALUE"""),35039.666666666664)</f>
        <v>35039.66667</v>
      </c>
      <c r="B2532" s="1">
        <f>IFERROR(__xludf.DUMMYFUNCTION("""COMPUTED_VALUE"""),617.72)</f>
        <v>617.72</v>
      </c>
      <c r="C2532" s="1">
        <f>IFERROR(__xludf.DUMMYFUNCTION("""COMPUTED_VALUE"""),621.11)</f>
        <v>621.11</v>
      </c>
      <c r="D2532" s="1">
        <f>IFERROR(__xludf.DUMMYFUNCTION("""COMPUTED_VALUE"""),616.69)</f>
        <v>616.69</v>
      </c>
      <c r="E2532" s="1">
        <f>IFERROR(__xludf.DUMMYFUNCTION("""COMPUTED_VALUE"""),620.18)</f>
        <v>620.18</v>
      </c>
      <c r="F2532" s="1">
        <f>IFERROR(__xludf.DUMMYFUNCTION("""COMPUTED_VALUE"""),6.5278124E7)</f>
        <v>65278124</v>
      </c>
    </row>
    <row r="2533">
      <c r="A2533" s="2">
        <f>IFERROR(__xludf.DUMMYFUNCTION("""COMPUTED_VALUE"""),35040.666666666664)</f>
        <v>35040.66667</v>
      </c>
      <c r="B2533" s="1">
        <f>IFERROR(__xludf.DUMMYFUNCTION("""COMPUTED_VALUE"""),620.18)</f>
        <v>620.18</v>
      </c>
      <c r="C2533" s="1">
        <f>IFERROR(__xludf.DUMMYFUNCTION("""COMPUTED_VALUE"""),620.19)</f>
        <v>620.19</v>
      </c>
      <c r="D2533" s="1">
        <f>IFERROR(__xludf.DUMMYFUNCTION("""COMPUTED_VALUE"""),615.21)</f>
        <v>615.21</v>
      </c>
      <c r="E2533" s="1">
        <f>IFERROR(__xludf.DUMMYFUNCTION("""COMPUTED_VALUE"""),616.17)</f>
        <v>616.17</v>
      </c>
      <c r="F2533" s="1">
        <f>IFERROR(__xludf.DUMMYFUNCTION("""COMPUTED_VALUE"""),5.9259376E7)</f>
        <v>59259376</v>
      </c>
    </row>
    <row r="2534">
      <c r="A2534" s="2">
        <f>IFERROR(__xludf.DUMMYFUNCTION("""COMPUTED_VALUE"""),35041.666666666664)</f>
        <v>35041.66667</v>
      </c>
      <c r="B2534" s="1">
        <f>IFERROR(__xludf.DUMMYFUNCTION("""COMPUTED_VALUE"""),616.52)</f>
        <v>616.52</v>
      </c>
      <c r="C2534" s="1">
        <f>IFERROR(__xludf.DUMMYFUNCTION("""COMPUTED_VALUE"""),617.82)</f>
        <v>617.82</v>
      </c>
      <c r="D2534" s="1">
        <f>IFERROR(__xludf.DUMMYFUNCTION("""COMPUTED_VALUE"""),614.32)</f>
        <v>614.32</v>
      </c>
      <c r="E2534" s="1">
        <f>IFERROR(__xludf.DUMMYFUNCTION("""COMPUTED_VALUE"""),617.48)</f>
        <v>617.48</v>
      </c>
      <c r="F2534" s="1">
        <f>IFERROR(__xludf.DUMMYFUNCTION("""COMPUTED_VALUE"""),5.1234376E7)</f>
        <v>51234376</v>
      </c>
    </row>
    <row r="2535">
      <c r="A2535" s="2">
        <f>IFERROR(__xludf.DUMMYFUNCTION("""COMPUTED_VALUE"""),35044.666666666664)</f>
        <v>35044.66667</v>
      </c>
      <c r="B2535" s="1">
        <f>IFERROR(__xludf.DUMMYFUNCTION("""COMPUTED_VALUE"""),619.52)</f>
        <v>619.52</v>
      </c>
      <c r="C2535" s="1">
        <f>IFERROR(__xludf.DUMMYFUNCTION("""COMPUTED_VALUE"""),619.55)</f>
        <v>619.55</v>
      </c>
      <c r="D2535" s="1">
        <f>IFERROR(__xludf.DUMMYFUNCTION("""COMPUTED_VALUE"""),617.71)</f>
        <v>617.71</v>
      </c>
      <c r="E2535" s="1">
        <f>IFERROR(__xludf.DUMMYFUNCTION("""COMPUTED_VALUE"""),619.52)</f>
        <v>619.52</v>
      </c>
      <c r="F2535" s="1">
        <f>IFERROR(__xludf.DUMMYFUNCTION("""COMPUTED_VALUE"""),5.3448436E7)</f>
        <v>53448436</v>
      </c>
    </row>
    <row r="2536">
      <c r="A2536" s="2">
        <f>IFERROR(__xludf.DUMMYFUNCTION("""COMPUTED_VALUE"""),35045.666666666664)</f>
        <v>35045.66667</v>
      </c>
      <c r="B2536" s="1">
        <f>IFERROR(__xludf.DUMMYFUNCTION("""COMPUTED_VALUE"""),619.52)</f>
        <v>619.52</v>
      </c>
      <c r="C2536" s="1">
        <f>IFERROR(__xludf.DUMMYFUNCTION("""COMPUTED_VALUE"""),619.55)</f>
        <v>619.55</v>
      </c>
      <c r="D2536" s="1">
        <f>IFERROR(__xludf.DUMMYFUNCTION("""COMPUTED_VALUE"""),617.71)</f>
        <v>617.71</v>
      </c>
      <c r="E2536" s="1">
        <f>IFERROR(__xludf.DUMMYFUNCTION("""COMPUTED_VALUE"""),618.78)</f>
        <v>618.78</v>
      </c>
      <c r="F2536" s="1">
        <f>IFERROR(__xludf.DUMMYFUNCTION("""COMPUTED_VALUE"""),5.4665624E7)</f>
        <v>54665624</v>
      </c>
    </row>
    <row r="2537">
      <c r="A2537" s="2">
        <f>IFERROR(__xludf.DUMMYFUNCTION("""COMPUTED_VALUE"""),35046.666666666664)</f>
        <v>35046.66667</v>
      </c>
      <c r="B2537" s="1">
        <f>IFERROR(__xludf.DUMMYFUNCTION("""COMPUTED_VALUE"""),618.78)</f>
        <v>618.78</v>
      </c>
      <c r="C2537" s="1">
        <f>IFERROR(__xludf.DUMMYFUNCTION("""COMPUTED_VALUE"""),622.04)</f>
        <v>622.04</v>
      </c>
      <c r="D2537" s="1">
        <f>IFERROR(__xludf.DUMMYFUNCTION("""COMPUTED_VALUE"""),618.27)</f>
        <v>618.27</v>
      </c>
      <c r="E2537" s="1">
        <f>IFERROR(__xludf.DUMMYFUNCTION("""COMPUTED_VALUE"""),621.69)</f>
        <v>621.69</v>
      </c>
      <c r="F2537" s="1">
        <f>IFERROR(__xludf.DUMMYFUNCTION("""COMPUTED_VALUE"""),6.4889064E7)</f>
        <v>64889064</v>
      </c>
    </row>
    <row r="2538">
      <c r="A2538" s="2">
        <f>IFERROR(__xludf.DUMMYFUNCTION("""COMPUTED_VALUE"""),35047.666666666664)</f>
        <v>35047.66667</v>
      </c>
      <c r="B2538" s="1">
        <f>IFERROR(__xludf.DUMMYFUNCTION("""COMPUTED_VALUE"""),621.69)</f>
        <v>621.69</v>
      </c>
      <c r="C2538" s="1">
        <f>IFERROR(__xludf.DUMMYFUNCTION("""COMPUTED_VALUE"""),622.88)</f>
        <v>622.88</v>
      </c>
      <c r="D2538" s="1">
        <f>IFERROR(__xludf.DUMMYFUNCTION("""COMPUTED_VALUE"""),616.13)</f>
        <v>616.13</v>
      </c>
      <c r="E2538" s="1">
        <f>IFERROR(__xludf.DUMMYFUNCTION("""COMPUTED_VALUE"""),616.92)</f>
        <v>616.92</v>
      </c>
      <c r="F2538" s="1">
        <f>IFERROR(__xludf.DUMMYFUNCTION("""COMPUTED_VALUE"""),7.2703128E7)</f>
        <v>72703128</v>
      </c>
    </row>
    <row r="2539">
      <c r="A2539" s="2">
        <f>IFERROR(__xludf.DUMMYFUNCTION("""COMPUTED_VALUE"""),35048.666666666664)</f>
        <v>35048.66667</v>
      </c>
      <c r="B2539" s="1">
        <f>IFERROR(__xludf.DUMMYFUNCTION("""COMPUTED_VALUE"""),617.1)</f>
        <v>617.1</v>
      </c>
      <c r="C2539" s="1">
        <f>IFERROR(__xludf.DUMMYFUNCTION("""COMPUTED_VALUE"""),617.7)</f>
        <v>617.7</v>
      </c>
      <c r="D2539" s="1">
        <f>IFERROR(__xludf.DUMMYFUNCTION("""COMPUTED_VALUE"""),614.44)</f>
        <v>614.44</v>
      </c>
      <c r="E2539" s="1">
        <f>IFERROR(__xludf.DUMMYFUNCTION("""COMPUTED_VALUE"""),616.34)</f>
        <v>616.34</v>
      </c>
      <c r="F2539" s="1">
        <f>IFERROR(__xludf.DUMMYFUNCTION("""COMPUTED_VALUE"""),9.95E7)</f>
        <v>99500000</v>
      </c>
    </row>
    <row r="2540">
      <c r="A2540" s="2">
        <f>IFERROR(__xludf.DUMMYFUNCTION("""COMPUTED_VALUE"""),35051.666666666664)</f>
        <v>35051.66667</v>
      </c>
      <c r="B2540" s="1">
        <f>IFERROR(__xludf.DUMMYFUNCTION("""COMPUTED_VALUE"""),616.32)</f>
        <v>616.32</v>
      </c>
      <c r="C2540" s="1">
        <f>IFERROR(__xludf.DUMMYFUNCTION("""COMPUTED_VALUE"""),616.32)</f>
        <v>616.32</v>
      </c>
      <c r="D2540" s="1">
        <f>IFERROR(__xludf.DUMMYFUNCTION("""COMPUTED_VALUE"""),606.13)</f>
        <v>606.13</v>
      </c>
      <c r="E2540" s="1">
        <f>IFERROR(__xludf.DUMMYFUNCTION("""COMPUTED_VALUE"""),606.81)</f>
        <v>606.81</v>
      </c>
      <c r="F2540" s="1">
        <f>IFERROR(__xludf.DUMMYFUNCTION("""COMPUTED_VALUE"""),6.6604688E7)</f>
        <v>66604688</v>
      </c>
    </row>
    <row r="2541">
      <c r="A2541" s="2">
        <f>IFERROR(__xludf.DUMMYFUNCTION("""COMPUTED_VALUE"""),35052.666666666664)</f>
        <v>35052.66667</v>
      </c>
      <c r="B2541" s="1">
        <f>IFERROR(__xludf.DUMMYFUNCTION("""COMPUTED_VALUE"""),607.01)</f>
        <v>607.01</v>
      </c>
      <c r="C2541" s="1">
        <f>IFERROR(__xludf.DUMMYFUNCTION("""COMPUTED_VALUE"""),611.94)</f>
        <v>611.94</v>
      </c>
      <c r="D2541" s="1">
        <f>IFERROR(__xludf.DUMMYFUNCTION("""COMPUTED_VALUE"""),605.05)</f>
        <v>605.05</v>
      </c>
      <c r="E2541" s="1">
        <f>IFERROR(__xludf.DUMMYFUNCTION("""COMPUTED_VALUE"""),611.93)</f>
        <v>611.93</v>
      </c>
      <c r="F2541" s="1">
        <f>IFERROR(__xludf.DUMMYFUNCTION("""COMPUTED_VALUE"""),7.4731248E7)</f>
        <v>74731248</v>
      </c>
    </row>
    <row r="2542">
      <c r="A2542" s="2">
        <f>IFERROR(__xludf.DUMMYFUNCTION("""COMPUTED_VALUE"""),35053.666666666664)</f>
        <v>35053.66667</v>
      </c>
      <c r="B2542" s="1">
        <f>IFERROR(__xludf.DUMMYFUNCTION("""COMPUTED_VALUE"""),606.08)</f>
        <v>606.08</v>
      </c>
      <c r="C2542" s="1">
        <f>IFERROR(__xludf.DUMMYFUNCTION("""COMPUTED_VALUE"""),610.52)</f>
        <v>610.52</v>
      </c>
      <c r="D2542" s="1">
        <f>IFERROR(__xludf.DUMMYFUNCTION("""COMPUTED_VALUE"""),605.94)</f>
        <v>605.94</v>
      </c>
      <c r="E2542" s="1">
        <f>IFERROR(__xludf.DUMMYFUNCTION("""COMPUTED_VALUE"""),605.94)</f>
        <v>605.94</v>
      </c>
      <c r="F2542" s="1">
        <f>IFERROR(__xludf.DUMMYFUNCTION("""COMPUTED_VALUE"""),6.8387504E7)</f>
        <v>68387504</v>
      </c>
    </row>
    <row r="2543">
      <c r="A2543" s="2">
        <f>IFERROR(__xludf.DUMMYFUNCTION("""COMPUTED_VALUE"""),35054.666666666664)</f>
        <v>35054.66667</v>
      </c>
      <c r="B2543" s="1">
        <f>IFERROR(__xludf.DUMMYFUNCTION("""COMPUTED_VALUE"""),606.08)</f>
        <v>606.08</v>
      </c>
      <c r="C2543" s="1">
        <f>IFERROR(__xludf.DUMMYFUNCTION("""COMPUTED_VALUE"""),610.52)</f>
        <v>610.52</v>
      </c>
      <c r="D2543" s="1">
        <f>IFERROR(__xludf.DUMMYFUNCTION("""COMPUTED_VALUE"""),606.08)</f>
        <v>606.08</v>
      </c>
      <c r="E2543" s="1">
        <f>IFERROR(__xludf.DUMMYFUNCTION("""COMPUTED_VALUE"""),610.49)</f>
        <v>610.49</v>
      </c>
      <c r="F2543" s="1">
        <f>IFERROR(__xludf.DUMMYFUNCTION("""COMPUTED_VALUE"""),6.4970312E7)</f>
        <v>64970312</v>
      </c>
    </row>
    <row r="2544">
      <c r="A2544" s="2">
        <f>IFERROR(__xludf.DUMMYFUNCTION("""COMPUTED_VALUE"""),35055.666666666664)</f>
        <v>35055.66667</v>
      </c>
      <c r="B2544" s="1">
        <f>IFERROR(__xludf.DUMMYFUNCTION("""COMPUTED_VALUE"""),611.97)</f>
        <v>611.97</v>
      </c>
      <c r="C2544" s="1">
        <f>IFERROR(__xludf.DUMMYFUNCTION("""COMPUTED_VALUE"""),614.42)</f>
        <v>614.42</v>
      </c>
      <c r="D2544" s="1">
        <f>IFERROR(__xludf.DUMMYFUNCTION("""COMPUTED_VALUE"""),611.96)</f>
        <v>611.96</v>
      </c>
      <c r="E2544" s="1">
        <f>IFERROR(__xludf.DUMMYFUNCTION("""COMPUTED_VALUE"""),611.96)</f>
        <v>611.96</v>
      </c>
      <c r="F2544" s="1">
        <f>IFERROR(__xludf.DUMMYFUNCTION("""COMPUTED_VALUE"""),4.525E7)</f>
        <v>45250000</v>
      </c>
    </row>
    <row r="2545">
      <c r="A2545" s="2">
        <f>IFERROR(__xludf.DUMMYFUNCTION("""COMPUTED_VALUE"""),35059.666666666664)</f>
        <v>35059.66667</v>
      </c>
      <c r="B2545" s="1">
        <f>IFERROR(__xludf.DUMMYFUNCTION("""COMPUTED_VALUE"""),611.97)</f>
        <v>611.97</v>
      </c>
      <c r="C2545" s="1">
        <f>IFERROR(__xludf.DUMMYFUNCTION("""COMPUTED_VALUE"""),614.5)</f>
        <v>614.5</v>
      </c>
      <c r="D2545" s="1">
        <f>IFERROR(__xludf.DUMMYFUNCTION("""COMPUTED_VALUE"""),611.97)</f>
        <v>611.97</v>
      </c>
      <c r="E2545" s="1">
        <f>IFERROR(__xludf.DUMMYFUNCTION("""COMPUTED_VALUE"""),614.3)</f>
        <v>614.3</v>
      </c>
      <c r="F2545" s="1">
        <f>IFERROR(__xludf.DUMMYFUNCTION("""COMPUTED_VALUE"""),3.395E7)</f>
        <v>33950000</v>
      </c>
    </row>
    <row r="2546">
      <c r="A2546" s="2">
        <f>IFERROR(__xludf.DUMMYFUNCTION("""COMPUTED_VALUE"""),35060.666666666664)</f>
        <v>35060.66667</v>
      </c>
      <c r="B2546" s="1">
        <f>IFERROR(__xludf.DUMMYFUNCTION("""COMPUTED_VALUE"""),614.27)</f>
        <v>614.27</v>
      </c>
      <c r="C2546" s="1">
        <f>IFERROR(__xludf.DUMMYFUNCTION("""COMPUTED_VALUE"""),615.73)</f>
        <v>615.73</v>
      </c>
      <c r="D2546" s="1">
        <f>IFERROR(__xludf.DUMMYFUNCTION("""COMPUTED_VALUE"""),613.75)</f>
        <v>613.75</v>
      </c>
      <c r="E2546" s="1">
        <f>IFERROR(__xludf.DUMMYFUNCTION("""COMPUTED_VALUE"""),614.53)</f>
        <v>614.53</v>
      </c>
      <c r="F2546" s="1">
        <f>IFERROR(__xludf.DUMMYFUNCTION("""COMPUTED_VALUE"""),3.9421876E7)</f>
        <v>39421876</v>
      </c>
    </row>
    <row r="2547">
      <c r="A2547" s="2">
        <f>IFERROR(__xludf.DUMMYFUNCTION("""COMPUTED_VALUE"""),35061.666666666664)</f>
        <v>35061.66667</v>
      </c>
      <c r="B2547" s="1">
        <f>IFERROR(__xludf.DUMMYFUNCTION("""COMPUTED_VALUE"""),614.28)</f>
        <v>614.28</v>
      </c>
      <c r="C2547" s="1">
        <f>IFERROR(__xludf.DUMMYFUNCTION("""COMPUTED_VALUE"""),615.5)</f>
        <v>615.5</v>
      </c>
      <c r="D2547" s="1">
        <f>IFERROR(__xludf.DUMMYFUNCTION("""COMPUTED_VALUE"""),612.4)</f>
        <v>612.4</v>
      </c>
      <c r="E2547" s="1">
        <f>IFERROR(__xludf.DUMMYFUNCTION("""COMPUTED_VALUE"""),614.12)</f>
        <v>614.12</v>
      </c>
      <c r="F2547" s="1">
        <f>IFERROR(__xludf.DUMMYFUNCTION("""COMPUTED_VALUE"""),4.5103124E7)</f>
        <v>45103124</v>
      </c>
    </row>
    <row r="2548">
      <c r="A2548" s="2">
        <f>IFERROR(__xludf.DUMMYFUNCTION("""COMPUTED_VALUE"""),35062.666666666664)</f>
        <v>35062.66667</v>
      </c>
      <c r="B2548" s="1">
        <f>IFERROR(__xludf.DUMMYFUNCTION("""COMPUTED_VALUE"""),614.12)</f>
        <v>614.12</v>
      </c>
      <c r="C2548" s="1">
        <f>IFERROR(__xludf.DUMMYFUNCTION("""COMPUTED_VALUE"""),615.93)</f>
        <v>615.93</v>
      </c>
      <c r="D2548" s="1">
        <f>IFERROR(__xludf.DUMMYFUNCTION("""COMPUTED_VALUE"""),612.36)</f>
        <v>612.36</v>
      </c>
      <c r="E2548" s="1">
        <f>IFERROR(__xludf.DUMMYFUNCTION("""COMPUTED_VALUE"""),615.93)</f>
        <v>615.93</v>
      </c>
      <c r="F2548" s="1">
        <f>IFERROR(__xludf.DUMMYFUNCTION("""COMPUTED_VALUE"""),5.0195312E7)</f>
        <v>50195312</v>
      </c>
    </row>
    <row r="2549">
      <c r="A2549" s="2">
        <f>IFERROR(__xludf.DUMMYFUNCTION("""COMPUTED_VALUE"""),35066.666666666664)</f>
        <v>35066.66667</v>
      </c>
      <c r="B2549" s="1">
        <f>IFERROR(__xludf.DUMMYFUNCTION("""COMPUTED_VALUE"""),615.93)</f>
        <v>615.93</v>
      </c>
      <c r="C2549" s="1">
        <f>IFERROR(__xludf.DUMMYFUNCTION("""COMPUTED_VALUE"""),620.74)</f>
        <v>620.74</v>
      </c>
      <c r="D2549" s="1">
        <f>IFERROR(__xludf.DUMMYFUNCTION("""COMPUTED_VALUE"""),613.17)</f>
        <v>613.17</v>
      </c>
      <c r="E2549" s="1">
        <f>IFERROR(__xludf.DUMMYFUNCTION("""COMPUTED_VALUE"""),620.73)</f>
        <v>620.73</v>
      </c>
      <c r="F2549" s="1">
        <f>IFERROR(__xludf.DUMMYFUNCTION("""COMPUTED_VALUE"""),5.6903124E7)</f>
        <v>56903124</v>
      </c>
    </row>
    <row r="2550">
      <c r="A2550" s="2">
        <f>IFERROR(__xludf.DUMMYFUNCTION("""COMPUTED_VALUE"""),35067.666666666664)</f>
        <v>35067.66667</v>
      </c>
      <c r="B2550" s="1">
        <f>IFERROR(__xludf.DUMMYFUNCTION("""COMPUTED_VALUE"""),620.57)</f>
        <v>620.57</v>
      </c>
      <c r="C2550" s="1">
        <f>IFERROR(__xludf.DUMMYFUNCTION("""COMPUTED_VALUE"""),623.25)</f>
        <v>623.25</v>
      </c>
      <c r="D2550" s="1">
        <f>IFERROR(__xludf.DUMMYFUNCTION("""COMPUTED_VALUE"""),619.56)</f>
        <v>619.56</v>
      </c>
      <c r="E2550" s="1">
        <f>IFERROR(__xludf.DUMMYFUNCTION("""COMPUTED_VALUE"""),621.32)</f>
        <v>621.32</v>
      </c>
      <c r="F2550" s="1">
        <f>IFERROR(__xludf.DUMMYFUNCTION("""COMPUTED_VALUE"""),7.327344E7)</f>
        <v>73273440</v>
      </c>
    </row>
    <row r="2551">
      <c r="A2551" s="2">
        <f>IFERROR(__xludf.DUMMYFUNCTION("""COMPUTED_VALUE"""),35068.666666666664)</f>
        <v>35068.66667</v>
      </c>
      <c r="B2551" s="1">
        <f>IFERROR(__xludf.DUMMYFUNCTION("""COMPUTED_VALUE"""),621.32)</f>
        <v>621.32</v>
      </c>
      <c r="C2551" s="1">
        <f>IFERROR(__xludf.DUMMYFUNCTION("""COMPUTED_VALUE"""),624.52)</f>
        <v>624.52</v>
      </c>
      <c r="D2551" s="1">
        <f>IFERROR(__xludf.DUMMYFUNCTION("""COMPUTED_VALUE"""),613.96)</f>
        <v>613.96</v>
      </c>
      <c r="E2551" s="1">
        <f>IFERROR(__xludf.DUMMYFUNCTION("""COMPUTED_VALUE"""),617.7)</f>
        <v>617.7</v>
      </c>
      <c r="F2551" s="1">
        <f>IFERROR(__xludf.DUMMYFUNCTION("""COMPUTED_VALUE"""),8.0090624E7)</f>
        <v>80090624</v>
      </c>
    </row>
    <row r="2552">
      <c r="A2552" s="2">
        <f>IFERROR(__xludf.DUMMYFUNCTION("""COMPUTED_VALUE"""),35069.666666666664)</f>
        <v>35069.66667</v>
      </c>
      <c r="B2552" s="1">
        <f>IFERROR(__xludf.DUMMYFUNCTION("""COMPUTED_VALUE"""),617.7)</f>
        <v>617.7</v>
      </c>
      <c r="C2552" s="1">
        <f>IFERROR(__xludf.DUMMYFUNCTION("""COMPUTED_VALUE"""),617.7)</f>
        <v>617.7</v>
      </c>
      <c r="D2552" s="1">
        <f>IFERROR(__xludf.DUMMYFUNCTION("""COMPUTED_VALUE"""),612.02)</f>
        <v>612.02</v>
      </c>
      <c r="E2552" s="1">
        <f>IFERROR(__xludf.DUMMYFUNCTION("""COMPUTED_VALUE"""),616.71)</f>
        <v>616.71</v>
      </c>
      <c r="F2552" s="1">
        <f>IFERROR(__xludf.DUMMYFUNCTION("""COMPUTED_VALUE"""),6.829844E7)</f>
        <v>68298440</v>
      </c>
    </row>
    <row r="2553">
      <c r="A2553" s="2">
        <f>IFERROR(__xludf.DUMMYFUNCTION("""COMPUTED_VALUE"""),35072.666666666664)</f>
        <v>35072.66667</v>
      </c>
      <c r="B2553" s="1">
        <f>IFERROR(__xludf.DUMMYFUNCTION("""COMPUTED_VALUE"""),616.71)</f>
        <v>616.71</v>
      </c>
      <c r="C2553" s="1">
        <f>IFERROR(__xludf.DUMMYFUNCTION("""COMPUTED_VALUE"""),618.46)</f>
        <v>618.46</v>
      </c>
      <c r="D2553" s="1">
        <f>IFERROR(__xludf.DUMMYFUNCTION("""COMPUTED_VALUE"""),616.49)</f>
        <v>616.49</v>
      </c>
      <c r="E2553" s="1">
        <f>IFERROR(__xludf.DUMMYFUNCTION("""COMPUTED_VALUE"""),618.46)</f>
        <v>618.46</v>
      </c>
      <c r="F2553" s="1">
        <f>IFERROR(__xludf.DUMMYFUNCTION("""COMPUTED_VALUE"""),2.036875E7)</f>
        <v>20368750</v>
      </c>
    </row>
    <row r="2554">
      <c r="A2554" s="2">
        <f>IFERROR(__xludf.DUMMYFUNCTION("""COMPUTED_VALUE"""),35073.666666666664)</f>
        <v>35073.66667</v>
      </c>
      <c r="B2554" s="1">
        <f>IFERROR(__xludf.DUMMYFUNCTION("""COMPUTED_VALUE"""),616.71)</f>
        <v>616.71</v>
      </c>
      <c r="C2554" s="1">
        <f>IFERROR(__xludf.DUMMYFUNCTION("""COMPUTED_VALUE"""),618.46)</f>
        <v>618.46</v>
      </c>
      <c r="D2554" s="1">
        <f>IFERROR(__xludf.DUMMYFUNCTION("""COMPUTED_VALUE"""),609.45)</f>
        <v>609.45</v>
      </c>
      <c r="E2554" s="1">
        <f>IFERROR(__xludf.DUMMYFUNCTION("""COMPUTED_VALUE"""),609.45)</f>
        <v>609.45</v>
      </c>
      <c r="F2554" s="1">
        <f>IFERROR(__xludf.DUMMYFUNCTION("""COMPUTED_VALUE"""),6.5218752E7)</f>
        <v>65218752</v>
      </c>
    </row>
    <row r="2555">
      <c r="A2555" s="2">
        <f>IFERROR(__xludf.DUMMYFUNCTION("""COMPUTED_VALUE"""),35074.666666666664)</f>
        <v>35074.66667</v>
      </c>
      <c r="B2555" s="1">
        <f>IFERROR(__xludf.DUMMYFUNCTION("""COMPUTED_VALUE"""),618.46)</f>
        <v>618.46</v>
      </c>
      <c r="C2555" s="1">
        <f>IFERROR(__xludf.DUMMYFUNCTION("""COMPUTED_VALUE"""),619.15)</f>
        <v>619.15</v>
      </c>
      <c r="D2555" s="1">
        <f>IFERROR(__xludf.DUMMYFUNCTION("""COMPUTED_VALUE"""),598.48)</f>
        <v>598.48</v>
      </c>
      <c r="E2555" s="1">
        <f>IFERROR(__xludf.DUMMYFUNCTION("""COMPUTED_VALUE"""),598.48)</f>
        <v>598.48</v>
      </c>
      <c r="F2555" s="1">
        <f>IFERROR(__xludf.DUMMYFUNCTION("""COMPUTED_VALUE"""),7.7629688E7)</f>
        <v>77629688</v>
      </c>
    </row>
    <row r="2556">
      <c r="A2556" s="2">
        <f>IFERROR(__xludf.DUMMYFUNCTION("""COMPUTED_VALUE"""),35075.666666666664)</f>
        <v>35075.66667</v>
      </c>
      <c r="B2556" s="1">
        <f>IFERROR(__xludf.DUMMYFUNCTION("""COMPUTED_VALUE"""),598.48)</f>
        <v>598.48</v>
      </c>
      <c r="C2556" s="1">
        <f>IFERROR(__xludf.DUMMYFUNCTION("""COMPUTED_VALUE"""),602.71)</f>
        <v>602.71</v>
      </c>
      <c r="D2556" s="1">
        <f>IFERROR(__xludf.DUMMYFUNCTION("""COMPUTED_VALUE"""),597.54)</f>
        <v>597.54</v>
      </c>
      <c r="E2556" s="1">
        <f>IFERROR(__xludf.DUMMYFUNCTION("""COMPUTED_VALUE"""),602.69)</f>
        <v>602.69</v>
      </c>
      <c r="F2556" s="1">
        <f>IFERROR(__xludf.DUMMYFUNCTION("""COMPUTED_VALUE"""),6.3875E7)</f>
        <v>63875000</v>
      </c>
    </row>
    <row r="2557">
      <c r="A2557" s="2">
        <f>IFERROR(__xludf.DUMMYFUNCTION("""COMPUTED_VALUE"""),35076.666666666664)</f>
        <v>35076.66667</v>
      </c>
      <c r="B2557" s="1">
        <f>IFERROR(__xludf.DUMMYFUNCTION("""COMPUTED_VALUE"""),602.75)</f>
        <v>602.75</v>
      </c>
      <c r="C2557" s="1">
        <f>IFERROR(__xludf.DUMMYFUNCTION("""COMPUTED_VALUE"""),604.8)</f>
        <v>604.8</v>
      </c>
      <c r="D2557" s="1">
        <f>IFERROR(__xludf.DUMMYFUNCTION("""COMPUTED_VALUE"""),597.46)</f>
        <v>597.46</v>
      </c>
      <c r="E2557" s="1">
        <f>IFERROR(__xludf.DUMMYFUNCTION("""COMPUTED_VALUE"""),601.81)</f>
        <v>601.81</v>
      </c>
      <c r="F2557" s="1">
        <f>IFERROR(__xludf.DUMMYFUNCTION("""COMPUTED_VALUE"""),5.9906248E7)</f>
        <v>59906248</v>
      </c>
    </row>
    <row r="2558">
      <c r="A2558" s="2">
        <f>IFERROR(__xludf.DUMMYFUNCTION("""COMPUTED_VALUE"""),35079.666666666664)</f>
        <v>35079.66667</v>
      </c>
      <c r="B2558" s="1">
        <f>IFERROR(__xludf.DUMMYFUNCTION("""COMPUTED_VALUE"""),601.81)</f>
        <v>601.81</v>
      </c>
      <c r="C2558" s="1">
        <f>IFERROR(__xludf.DUMMYFUNCTION("""COMPUTED_VALUE"""),603.43)</f>
        <v>603.43</v>
      </c>
      <c r="D2558" s="1">
        <f>IFERROR(__xludf.DUMMYFUNCTION("""COMPUTED_VALUE"""),598.47)</f>
        <v>598.47</v>
      </c>
      <c r="E2558" s="1">
        <f>IFERROR(__xludf.DUMMYFUNCTION("""COMPUTED_VALUE"""),599.82)</f>
        <v>599.82</v>
      </c>
      <c r="F2558" s="1">
        <f>IFERROR(__xludf.DUMMYFUNCTION("""COMPUTED_VALUE"""),4.7840624E7)</f>
        <v>47840624</v>
      </c>
    </row>
    <row r="2559">
      <c r="A2559" s="2">
        <f>IFERROR(__xludf.DUMMYFUNCTION("""COMPUTED_VALUE"""),35080.666666666664)</f>
        <v>35080.66667</v>
      </c>
      <c r="B2559" s="1">
        <f>IFERROR(__xludf.DUMMYFUNCTION("""COMPUTED_VALUE"""),600.01)</f>
        <v>600.01</v>
      </c>
      <c r="C2559" s="1">
        <f>IFERROR(__xludf.DUMMYFUNCTION("""COMPUTED_VALUE"""),608.44)</f>
        <v>608.44</v>
      </c>
      <c r="D2559" s="1">
        <f>IFERROR(__xludf.DUMMYFUNCTION("""COMPUTED_VALUE"""),599.05)</f>
        <v>599.05</v>
      </c>
      <c r="E2559" s="1">
        <f>IFERROR(__xludf.DUMMYFUNCTION("""COMPUTED_VALUE"""),608.44)</f>
        <v>608.44</v>
      </c>
      <c r="F2559" s="1">
        <f>IFERROR(__xludf.DUMMYFUNCTION("""COMPUTED_VALUE"""),6.6440624E7)</f>
        <v>66440624</v>
      </c>
    </row>
    <row r="2560">
      <c r="A2560" s="2">
        <f>IFERROR(__xludf.DUMMYFUNCTION("""COMPUTED_VALUE"""),35081.666666666664)</f>
        <v>35081.66667</v>
      </c>
      <c r="B2560" s="1">
        <f>IFERROR(__xludf.DUMMYFUNCTION("""COMPUTED_VALUE"""),608.44)</f>
        <v>608.44</v>
      </c>
      <c r="C2560" s="1">
        <f>IFERROR(__xludf.DUMMYFUNCTION("""COMPUTED_VALUE"""),609.93)</f>
        <v>609.93</v>
      </c>
      <c r="D2560" s="1">
        <f>IFERROR(__xludf.DUMMYFUNCTION("""COMPUTED_VALUE"""),604.7)</f>
        <v>604.7</v>
      </c>
      <c r="E2560" s="1">
        <f>IFERROR(__xludf.DUMMYFUNCTION("""COMPUTED_VALUE"""),606.37)</f>
        <v>606.37</v>
      </c>
      <c r="F2560" s="1">
        <f>IFERROR(__xludf.DUMMYFUNCTION("""COMPUTED_VALUE"""),7.1675E7)</f>
        <v>71675000</v>
      </c>
    </row>
    <row r="2561">
      <c r="A2561" s="2">
        <f>IFERROR(__xludf.DUMMYFUNCTION("""COMPUTED_VALUE"""),35082.666666666664)</f>
        <v>35082.66667</v>
      </c>
      <c r="B2561" s="1">
        <f>IFERROR(__xludf.DUMMYFUNCTION("""COMPUTED_VALUE"""),606.37)</f>
        <v>606.37</v>
      </c>
      <c r="C2561" s="1">
        <f>IFERROR(__xludf.DUMMYFUNCTION("""COMPUTED_VALUE"""),608.27)</f>
        <v>608.27</v>
      </c>
      <c r="D2561" s="1">
        <f>IFERROR(__xludf.DUMMYFUNCTION("""COMPUTED_VALUE"""),604.12)</f>
        <v>604.12</v>
      </c>
      <c r="E2561" s="1">
        <f>IFERROR(__xludf.DUMMYFUNCTION("""COMPUTED_VALUE"""),608.24)</f>
        <v>608.24</v>
      </c>
      <c r="F2561" s="1">
        <f>IFERROR(__xludf.DUMMYFUNCTION("""COMPUTED_VALUE"""),7.037656E7)</f>
        <v>70376560</v>
      </c>
    </row>
    <row r="2562">
      <c r="A2562" s="2">
        <f>IFERROR(__xludf.DUMMYFUNCTION("""COMPUTED_VALUE"""),35083.666666666664)</f>
        <v>35083.66667</v>
      </c>
      <c r="B2562" s="1">
        <f>IFERROR(__xludf.DUMMYFUNCTION("""COMPUTED_VALUE"""),608.24)</f>
        <v>608.24</v>
      </c>
      <c r="C2562" s="1">
        <f>IFERROR(__xludf.DUMMYFUNCTION("""COMPUTED_VALUE"""),612.92)</f>
        <v>612.92</v>
      </c>
      <c r="D2562" s="1">
        <f>IFERROR(__xludf.DUMMYFUNCTION("""COMPUTED_VALUE"""),606.76)</f>
        <v>606.76</v>
      </c>
      <c r="E2562" s="1">
        <f>IFERROR(__xludf.DUMMYFUNCTION("""COMPUTED_VALUE"""),611.83)</f>
        <v>611.83</v>
      </c>
      <c r="F2562" s="1">
        <f>IFERROR(__xludf.DUMMYFUNCTION("""COMPUTED_VALUE"""),7.7768752E7)</f>
        <v>77768752</v>
      </c>
    </row>
    <row r="2563">
      <c r="A2563" s="2">
        <f>IFERROR(__xludf.DUMMYFUNCTION("""COMPUTED_VALUE"""),35086.666666666664)</f>
        <v>35086.66667</v>
      </c>
      <c r="B2563" s="1">
        <f>IFERROR(__xludf.DUMMYFUNCTION("""COMPUTED_VALUE"""),611.83)</f>
        <v>611.83</v>
      </c>
      <c r="C2563" s="1">
        <f>IFERROR(__xludf.DUMMYFUNCTION("""COMPUTED_VALUE"""),613.45)</f>
        <v>613.45</v>
      </c>
      <c r="D2563" s="1">
        <f>IFERROR(__xludf.DUMMYFUNCTION("""COMPUTED_VALUE"""),610.95)</f>
        <v>610.95</v>
      </c>
      <c r="E2563" s="1">
        <f>IFERROR(__xludf.DUMMYFUNCTION("""COMPUTED_VALUE"""),613.4)</f>
        <v>613.4</v>
      </c>
      <c r="F2563" s="1">
        <f>IFERROR(__xludf.DUMMYFUNCTION("""COMPUTED_VALUE"""),6.2193752E7)</f>
        <v>62193752</v>
      </c>
    </row>
    <row r="2564">
      <c r="A2564" s="2">
        <f>IFERROR(__xludf.DUMMYFUNCTION("""COMPUTED_VALUE"""),35087.666666666664)</f>
        <v>35087.66667</v>
      </c>
      <c r="B2564" s="1">
        <f>IFERROR(__xludf.DUMMYFUNCTION("""COMPUTED_VALUE"""),613.4)</f>
        <v>613.4</v>
      </c>
      <c r="C2564" s="1">
        <f>IFERROR(__xludf.DUMMYFUNCTION("""COMPUTED_VALUE"""),613.4)</f>
        <v>613.4</v>
      </c>
      <c r="D2564" s="1">
        <f>IFERROR(__xludf.DUMMYFUNCTION("""COMPUTED_VALUE"""),610.65)</f>
        <v>610.65</v>
      </c>
      <c r="E2564" s="1">
        <f>IFERROR(__xludf.DUMMYFUNCTION("""COMPUTED_VALUE"""),612.79)</f>
        <v>612.79</v>
      </c>
      <c r="F2564" s="1">
        <f>IFERROR(__xludf.DUMMYFUNCTION("""COMPUTED_VALUE"""),6.5142188E7)</f>
        <v>65142188</v>
      </c>
    </row>
    <row r="2565">
      <c r="A2565" s="2">
        <f>IFERROR(__xludf.DUMMYFUNCTION("""COMPUTED_VALUE"""),35088.666666666664)</f>
        <v>35088.66667</v>
      </c>
      <c r="B2565" s="1">
        <f>IFERROR(__xludf.DUMMYFUNCTION("""COMPUTED_VALUE"""),612.79)</f>
        <v>612.79</v>
      </c>
      <c r="C2565" s="1">
        <f>IFERROR(__xludf.DUMMYFUNCTION("""COMPUTED_VALUE"""),619.96)</f>
        <v>619.96</v>
      </c>
      <c r="D2565" s="1">
        <f>IFERROR(__xludf.DUMMYFUNCTION("""COMPUTED_VALUE"""),612.79)</f>
        <v>612.79</v>
      </c>
      <c r="E2565" s="1">
        <f>IFERROR(__xludf.DUMMYFUNCTION("""COMPUTED_VALUE"""),619.96)</f>
        <v>619.96</v>
      </c>
      <c r="F2565" s="1">
        <f>IFERROR(__xludf.DUMMYFUNCTION("""COMPUTED_VALUE"""),7.4434376E7)</f>
        <v>74434376</v>
      </c>
    </row>
    <row r="2566">
      <c r="A2566" s="2">
        <f>IFERROR(__xludf.DUMMYFUNCTION("""COMPUTED_VALUE"""),35089.666666666664)</f>
        <v>35089.66667</v>
      </c>
      <c r="B2566" s="1">
        <f>IFERROR(__xludf.DUMMYFUNCTION("""COMPUTED_VALUE"""),619.96)</f>
        <v>619.96</v>
      </c>
      <c r="C2566" s="1">
        <f>IFERROR(__xludf.DUMMYFUNCTION("""COMPUTED_VALUE"""),620.15)</f>
        <v>620.15</v>
      </c>
      <c r="D2566" s="1">
        <f>IFERROR(__xludf.DUMMYFUNCTION("""COMPUTED_VALUE"""),616.62)</f>
        <v>616.62</v>
      </c>
      <c r="E2566" s="1">
        <f>IFERROR(__xludf.DUMMYFUNCTION("""COMPUTED_VALUE"""),617.03)</f>
        <v>617.03</v>
      </c>
      <c r="F2566" s="1">
        <f>IFERROR(__xludf.DUMMYFUNCTION("""COMPUTED_VALUE"""),7.082344E7)</f>
        <v>70823440</v>
      </c>
    </row>
    <row r="2567">
      <c r="A2567" s="2">
        <f>IFERROR(__xludf.DUMMYFUNCTION("""COMPUTED_VALUE"""),35090.666666666664)</f>
        <v>35090.66667</v>
      </c>
      <c r="B2567" s="1">
        <f>IFERROR(__xludf.DUMMYFUNCTION("""COMPUTED_VALUE"""),617.03)</f>
        <v>617.03</v>
      </c>
      <c r="C2567" s="1">
        <f>IFERROR(__xludf.DUMMYFUNCTION("""COMPUTED_VALUE"""),621.7)</f>
        <v>621.7</v>
      </c>
      <c r="D2567" s="1">
        <f>IFERROR(__xludf.DUMMYFUNCTION("""COMPUTED_VALUE"""),615.26)</f>
        <v>615.26</v>
      </c>
      <c r="E2567" s="1">
        <f>IFERROR(__xludf.DUMMYFUNCTION("""COMPUTED_VALUE"""),621.62)</f>
        <v>621.62</v>
      </c>
      <c r="F2567" s="1">
        <f>IFERROR(__xludf.DUMMYFUNCTION("""COMPUTED_VALUE"""),6.0265624E7)</f>
        <v>60265624</v>
      </c>
    </row>
    <row r="2568">
      <c r="A2568" s="2">
        <f>IFERROR(__xludf.DUMMYFUNCTION("""COMPUTED_VALUE"""),35093.666666666664)</f>
        <v>35093.66667</v>
      </c>
      <c r="B2568" s="1">
        <f>IFERROR(__xludf.DUMMYFUNCTION("""COMPUTED_VALUE"""),621.62)</f>
        <v>621.62</v>
      </c>
      <c r="C2568" s="1">
        <f>IFERROR(__xludf.DUMMYFUNCTION("""COMPUTED_VALUE"""),624.22)</f>
        <v>624.22</v>
      </c>
      <c r="D2568" s="1">
        <f>IFERROR(__xludf.DUMMYFUNCTION("""COMPUTED_VALUE"""),621.42)</f>
        <v>621.42</v>
      </c>
      <c r="E2568" s="1">
        <f>IFERROR(__xludf.DUMMYFUNCTION("""COMPUTED_VALUE"""),624.22)</f>
        <v>624.22</v>
      </c>
      <c r="F2568" s="1">
        <f>IFERROR(__xludf.DUMMYFUNCTION("""COMPUTED_VALUE"""),5.6770312E7)</f>
        <v>56770312</v>
      </c>
    </row>
    <row r="2569">
      <c r="A2569" s="2">
        <f>IFERROR(__xludf.DUMMYFUNCTION("""COMPUTED_VALUE"""),35094.666666666664)</f>
        <v>35094.66667</v>
      </c>
      <c r="B2569" s="1">
        <f>IFERROR(__xludf.DUMMYFUNCTION("""COMPUTED_VALUE"""),624.22)</f>
        <v>624.22</v>
      </c>
      <c r="C2569" s="1">
        <f>IFERROR(__xludf.DUMMYFUNCTION("""COMPUTED_VALUE"""),630.29)</f>
        <v>630.29</v>
      </c>
      <c r="D2569" s="1">
        <f>IFERROR(__xludf.DUMMYFUNCTION("""COMPUTED_VALUE"""),624.22)</f>
        <v>624.22</v>
      </c>
      <c r="E2569" s="1">
        <f>IFERROR(__xludf.DUMMYFUNCTION("""COMPUTED_VALUE"""),630.15)</f>
        <v>630.15</v>
      </c>
      <c r="F2569" s="1">
        <f>IFERROR(__xludf.DUMMYFUNCTION("""COMPUTED_VALUE"""),7.2554688E7)</f>
        <v>72554688</v>
      </c>
    </row>
    <row r="2570">
      <c r="A2570" s="2">
        <f>IFERROR(__xludf.DUMMYFUNCTION("""COMPUTED_VALUE"""),35095.666666666664)</f>
        <v>35095.66667</v>
      </c>
      <c r="B2570" s="1">
        <f>IFERROR(__xludf.DUMMYFUNCTION("""COMPUTED_VALUE"""),630.15)</f>
        <v>630.15</v>
      </c>
      <c r="C2570" s="1">
        <f>IFERROR(__xludf.DUMMYFUNCTION("""COMPUTED_VALUE"""),636.18)</f>
        <v>636.18</v>
      </c>
      <c r="D2570" s="1">
        <f>IFERROR(__xludf.DUMMYFUNCTION("""COMPUTED_VALUE"""),629.48)</f>
        <v>629.48</v>
      </c>
      <c r="E2570" s="1">
        <f>IFERROR(__xludf.DUMMYFUNCTION("""COMPUTED_VALUE"""),636.02)</f>
        <v>636.02</v>
      </c>
      <c r="F2570" s="1">
        <f>IFERROR(__xludf.DUMMYFUNCTION("""COMPUTED_VALUE"""),7.3782816E7)</f>
        <v>73782816</v>
      </c>
    </row>
    <row r="2571">
      <c r="A2571" s="2">
        <f>IFERROR(__xludf.DUMMYFUNCTION("""COMPUTED_VALUE"""),35096.666666666664)</f>
        <v>35096.66667</v>
      </c>
      <c r="B2571" s="1">
        <f>IFERROR(__xludf.DUMMYFUNCTION("""COMPUTED_VALUE"""),636.02)</f>
        <v>636.02</v>
      </c>
      <c r="C2571" s="1">
        <f>IFERROR(__xludf.DUMMYFUNCTION("""COMPUTED_VALUE"""),638.46)</f>
        <v>638.46</v>
      </c>
      <c r="D2571" s="1">
        <f>IFERROR(__xludf.DUMMYFUNCTION("""COMPUTED_VALUE"""),634.54)</f>
        <v>634.54</v>
      </c>
      <c r="E2571" s="1">
        <f>IFERROR(__xludf.DUMMYFUNCTION("""COMPUTED_VALUE"""),638.46)</f>
        <v>638.46</v>
      </c>
      <c r="F2571" s="1">
        <f>IFERROR(__xludf.DUMMYFUNCTION("""COMPUTED_VALUE"""),7.209844E7)</f>
        <v>72098440</v>
      </c>
    </row>
    <row r="2572">
      <c r="A2572" s="2">
        <f>IFERROR(__xludf.DUMMYFUNCTION("""COMPUTED_VALUE"""),35097.666666666664)</f>
        <v>35097.66667</v>
      </c>
      <c r="B2572" s="1">
        <f>IFERROR(__xludf.DUMMYFUNCTION("""COMPUTED_VALUE"""),635.86)</f>
        <v>635.86</v>
      </c>
      <c r="C2572" s="1">
        <f>IFERROR(__xludf.DUMMYFUNCTION("""COMPUTED_VALUE"""),641.43)</f>
        <v>641.43</v>
      </c>
      <c r="D2572" s="1">
        <f>IFERROR(__xludf.DUMMYFUNCTION("""COMPUTED_VALUE"""),633.71)</f>
        <v>633.71</v>
      </c>
      <c r="E2572" s="1">
        <f>IFERROR(__xludf.DUMMYFUNCTION("""COMPUTED_VALUE"""),635.84)</f>
        <v>635.84</v>
      </c>
      <c r="F2572" s="1">
        <f>IFERROR(__xludf.DUMMYFUNCTION("""COMPUTED_VALUE"""),6.5628124E7)</f>
        <v>65628124</v>
      </c>
    </row>
    <row r="2573">
      <c r="A2573" s="2">
        <f>IFERROR(__xludf.DUMMYFUNCTION("""COMPUTED_VALUE"""),35100.666666666664)</f>
        <v>35100.66667</v>
      </c>
      <c r="B2573" s="1">
        <f>IFERROR(__xludf.DUMMYFUNCTION("""COMPUTED_VALUE"""),641.46)</f>
        <v>641.46</v>
      </c>
      <c r="C2573" s="1">
        <f>IFERROR(__xludf.DUMMYFUNCTION("""COMPUTED_VALUE"""),646.67)</f>
        <v>646.67</v>
      </c>
      <c r="D2573" s="1">
        <f>IFERROR(__xludf.DUMMYFUNCTION("""COMPUTED_VALUE"""),639.7)</f>
        <v>639.7</v>
      </c>
      <c r="E2573" s="1">
        <f>IFERROR(__xludf.DUMMYFUNCTION("""COMPUTED_VALUE"""),641.43)</f>
        <v>641.43</v>
      </c>
      <c r="F2573" s="1">
        <f>IFERROR(__xludf.DUMMYFUNCTION("""COMPUTED_VALUE"""),5.9025E7)</f>
        <v>59025000</v>
      </c>
    </row>
    <row r="2574">
      <c r="A2574" s="2">
        <f>IFERROR(__xludf.DUMMYFUNCTION("""COMPUTED_VALUE"""),35101.666666666664)</f>
        <v>35101.66667</v>
      </c>
      <c r="B2574" s="1">
        <f>IFERROR(__xludf.DUMMYFUNCTION("""COMPUTED_VALUE"""),641.46)</f>
        <v>641.46</v>
      </c>
      <c r="C2574" s="1">
        <f>IFERROR(__xludf.DUMMYFUNCTION("""COMPUTED_VALUE"""),646.67)</f>
        <v>646.67</v>
      </c>
      <c r="D2574" s="1">
        <f>IFERROR(__xludf.DUMMYFUNCTION("""COMPUTED_VALUE"""),639.7)</f>
        <v>639.7</v>
      </c>
      <c r="E2574" s="1">
        <f>IFERROR(__xludf.DUMMYFUNCTION("""COMPUTED_VALUE"""),646.33)</f>
        <v>646.33</v>
      </c>
      <c r="F2574" s="1">
        <f>IFERROR(__xludf.DUMMYFUNCTION("""COMPUTED_VALUE"""),7.2803128E7)</f>
        <v>72803128</v>
      </c>
    </row>
    <row r="2575">
      <c r="A2575" s="2">
        <f>IFERROR(__xludf.DUMMYFUNCTION("""COMPUTED_VALUE"""),35102.666666666664)</f>
        <v>35102.66667</v>
      </c>
      <c r="B2575" s="1">
        <f>IFERROR(__xludf.DUMMYFUNCTION("""COMPUTED_VALUE"""),646.26)</f>
        <v>646.26</v>
      </c>
      <c r="C2575" s="1">
        <f>IFERROR(__xludf.DUMMYFUNCTION("""COMPUTED_VALUE"""),649.93)</f>
        <v>649.93</v>
      </c>
      <c r="D2575" s="1">
        <f>IFERROR(__xludf.DUMMYFUNCTION("""COMPUTED_VALUE"""),645.59)</f>
        <v>645.59</v>
      </c>
      <c r="E2575" s="1">
        <f>IFERROR(__xludf.DUMMYFUNCTION("""COMPUTED_VALUE"""),649.93)</f>
        <v>649.93</v>
      </c>
      <c r="F2575" s="1">
        <f>IFERROR(__xludf.DUMMYFUNCTION("""COMPUTED_VALUE"""),7.230156E7)</f>
        <v>72301560</v>
      </c>
    </row>
    <row r="2576">
      <c r="A2576" s="2">
        <f>IFERROR(__xludf.DUMMYFUNCTION("""COMPUTED_VALUE"""),35103.666666666664)</f>
        <v>35103.66667</v>
      </c>
      <c r="B2576" s="1">
        <f>IFERROR(__xludf.DUMMYFUNCTION("""COMPUTED_VALUE"""),649.92)</f>
        <v>649.92</v>
      </c>
      <c r="C2576" s="1">
        <f>IFERROR(__xludf.DUMMYFUNCTION("""COMPUTED_VALUE"""),656.54)</f>
        <v>656.54</v>
      </c>
      <c r="D2576" s="1">
        <f>IFERROR(__xludf.DUMMYFUNCTION("""COMPUTED_VALUE"""),647.97)</f>
        <v>647.97</v>
      </c>
      <c r="E2576" s="1">
        <f>IFERROR(__xludf.DUMMYFUNCTION("""COMPUTED_VALUE"""),656.07)</f>
        <v>656.07</v>
      </c>
      <c r="F2576" s="1">
        <f>IFERROR(__xludf.DUMMYFUNCTION("""COMPUTED_VALUE"""),7.4214064E7)</f>
        <v>74214064</v>
      </c>
    </row>
    <row r="2577">
      <c r="A2577" s="2">
        <f>IFERROR(__xludf.DUMMYFUNCTION("""COMPUTED_VALUE"""),35104.666666666664)</f>
        <v>35104.66667</v>
      </c>
      <c r="B2577" s="1">
        <f>IFERROR(__xludf.DUMMYFUNCTION("""COMPUTED_VALUE"""),656.07)</f>
        <v>656.07</v>
      </c>
      <c r="C2577" s="1">
        <f>IFERROR(__xludf.DUMMYFUNCTION("""COMPUTED_VALUE"""),661.08)</f>
        <v>661.08</v>
      </c>
      <c r="D2577" s="1">
        <f>IFERROR(__xludf.DUMMYFUNCTION("""COMPUTED_VALUE"""),653.64)</f>
        <v>653.64</v>
      </c>
      <c r="E2577" s="1">
        <f>IFERROR(__xludf.DUMMYFUNCTION("""COMPUTED_VALUE"""),656.37)</f>
        <v>656.37</v>
      </c>
      <c r="F2577" s="1">
        <f>IFERROR(__xludf.DUMMYFUNCTION("""COMPUTED_VALUE"""),7.4631248E7)</f>
        <v>74631248</v>
      </c>
    </row>
    <row r="2578">
      <c r="A2578" s="2">
        <f>IFERROR(__xludf.DUMMYFUNCTION("""COMPUTED_VALUE"""),35107.666666666664)</f>
        <v>35107.66667</v>
      </c>
      <c r="B2578" s="1">
        <f>IFERROR(__xludf.DUMMYFUNCTION("""COMPUTED_VALUE"""),656.43)</f>
        <v>656.43</v>
      </c>
      <c r="C2578" s="1">
        <f>IFERROR(__xludf.DUMMYFUNCTION("""COMPUTED_VALUE"""),662.95)</f>
        <v>662.95</v>
      </c>
      <c r="D2578" s="1">
        <f>IFERROR(__xludf.DUMMYFUNCTION("""COMPUTED_VALUE"""),656.34)</f>
        <v>656.34</v>
      </c>
      <c r="E2578" s="1">
        <f>IFERROR(__xludf.DUMMYFUNCTION("""COMPUTED_VALUE"""),661.45)</f>
        <v>661.45</v>
      </c>
      <c r="F2578" s="1">
        <f>IFERROR(__xludf.DUMMYFUNCTION("""COMPUTED_VALUE"""),6.2170312E7)</f>
        <v>62170312</v>
      </c>
    </row>
    <row r="2579">
      <c r="A2579" s="2">
        <f>IFERROR(__xludf.DUMMYFUNCTION("""COMPUTED_VALUE"""),35108.666666666664)</f>
        <v>35108.66667</v>
      </c>
      <c r="B2579" s="1">
        <f>IFERROR(__xludf.DUMMYFUNCTION("""COMPUTED_VALUE"""),661.11)</f>
        <v>661.11</v>
      </c>
      <c r="C2579" s="1">
        <f>IFERROR(__xludf.DUMMYFUNCTION("""COMPUTED_VALUE"""),664.19)</f>
        <v>664.19</v>
      </c>
      <c r="D2579" s="1">
        <f>IFERROR(__xludf.DUMMYFUNCTION("""COMPUTED_VALUE"""),657.92)</f>
        <v>657.92</v>
      </c>
      <c r="E2579" s="1">
        <f>IFERROR(__xludf.DUMMYFUNCTION("""COMPUTED_VALUE"""),660.51)</f>
        <v>660.51</v>
      </c>
      <c r="F2579" s="1">
        <f>IFERROR(__xludf.DUMMYFUNCTION("""COMPUTED_VALUE"""),6.8990624E7)</f>
        <v>68990624</v>
      </c>
    </row>
    <row r="2580">
      <c r="A2580" s="2">
        <f>IFERROR(__xludf.DUMMYFUNCTION("""COMPUTED_VALUE"""),35109.666666666664)</f>
        <v>35109.66667</v>
      </c>
      <c r="B2580" s="1">
        <f>IFERROR(__xludf.DUMMYFUNCTION("""COMPUTED_VALUE"""),660.04)</f>
        <v>660.04</v>
      </c>
      <c r="C2580" s="1">
        <f>IFERROR(__xludf.DUMMYFUNCTION("""COMPUTED_VALUE"""),661.53)</f>
        <v>661.53</v>
      </c>
      <c r="D2580" s="1">
        <f>IFERROR(__xludf.DUMMYFUNCTION("""COMPUTED_VALUE"""),654.37)</f>
        <v>654.37</v>
      </c>
      <c r="E2580" s="1">
        <f>IFERROR(__xludf.DUMMYFUNCTION("""COMPUTED_VALUE"""),655.58)</f>
        <v>655.58</v>
      </c>
      <c r="F2580" s="1">
        <f>IFERROR(__xludf.DUMMYFUNCTION("""COMPUTED_VALUE"""),6.5904688E7)</f>
        <v>65904688</v>
      </c>
    </row>
    <row r="2581">
      <c r="A2581" s="2">
        <f>IFERROR(__xludf.DUMMYFUNCTION("""COMPUTED_VALUE"""),35110.666666666664)</f>
        <v>35110.66667</v>
      </c>
      <c r="B2581" s="1">
        <f>IFERROR(__xludf.DUMMYFUNCTION("""COMPUTED_VALUE"""),655.53)</f>
        <v>655.53</v>
      </c>
      <c r="C2581" s="1">
        <f>IFERROR(__xludf.DUMMYFUNCTION("""COMPUTED_VALUE"""),656.84)</f>
        <v>656.84</v>
      </c>
      <c r="D2581" s="1">
        <f>IFERROR(__xludf.DUMMYFUNCTION("""COMPUTED_VALUE"""),651.11)</f>
        <v>651.11</v>
      </c>
      <c r="E2581" s="1">
        <f>IFERROR(__xludf.DUMMYFUNCTION("""COMPUTED_VALUE"""),651.32)</f>
        <v>651.32</v>
      </c>
      <c r="F2581" s="1">
        <f>IFERROR(__xludf.DUMMYFUNCTION("""COMPUTED_VALUE"""),6.4893752E7)</f>
        <v>64893752</v>
      </c>
    </row>
    <row r="2582">
      <c r="A2582" s="2">
        <f>IFERROR(__xludf.DUMMYFUNCTION("""COMPUTED_VALUE"""),35111.666666666664)</f>
        <v>35111.66667</v>
      </c>
      <c r="B2582" s="1">
        <f>IFERROR(__xludf.DUMMYFUNCTION("""COMPUTED_VALUE"""),651.4)</f>
        <v>651.4</v>
      </c>
      <c r="C2582" s="1">
        <f>IFERROR(__xludf.DUMMYFUNCTION("""COMPUTED_VALUE"""),651.42)</f>
        <v>651.42</v>
      </c>
      <c r="D2582" s="1">
        <f>IFERROR(__xludf.DUMMYFUNCTION("""COMPUTED_VALUE"""),646.99)</f>
        <v>646.99</v>
      </c>
      <c r="E2582" s="1">
        <f>IFERROR(__xludf.DUMMYFUNCTION("""COMPUTED_VALUE"""),647.98)</f>
        <v>647.98</v>
      </c>
      <c r="F2582" s="1">
        <f>IFERROR(__xludf.DUMMYFUNCTION("""COMPUTED_VALUE"""),6.9620312E7)</f>
        <v>69620312</v>
      </c>
    </row>
    <row r="2583">
      <c r="A2583" s="2">
        <f>IFERROR(__xludf.DUMMYFUNCTION("""COMPUTED_VALUE"""),35115.666666666664)</f>
        <v>35115.66667</v>
      </c>
      <c r="B2583" s="1">
        <f>IFERROR(__xludf.DUMMYFUNCTION("""COMPUTED_VALUE"""),647.98)</f>
        <v>647.98</v>
      </c>
      <c r="C2583" s="1">
        <f>IFERROR(__xludf.DUMMYFUNCTION("""COMPUTED_VALUE"""),647.98)</f>
        <v>647.98</v>
      </c>
      <c r="D2583" s="1">
        <f>IFERROR(__xludf.DUMMYFUNCTION("""COMPUTED_VALUE"""),638.79)</f>
        <v>638.79</v>
      </c>
      <c r="E2583" s="1">
        <f>IFERROR(__xludf.DUMMYFUNCTION("""COMPUTED_VALUE"""),640.65)</f>
        <v>640.65</v>
      </c>
      <c r="F2583" s="1">
        <f>IFERROR(__xludf.DUMMYFUNCTION("""COMPUTED_VALUE"""),6.1860936E7)</f>
        <v>61860936</v>
      </c>
    </row>
    <row r="2584">
      <c r="A2584" s="2">
        <f>IFERROR(__xludf.DUMMYFUNCTION("""COMPUTED_VALUE"""),35116.666666666664)</f>
        <v>35116.66667</v>
      </c>
      <c r="B2584" s="1">
        <f>IFERROR(__xludf.DUMMYFUNCTION("""COMPUTED_VALUE"""),640.65)</f>
        <v>640.65</v>
      </c>
      <c r="C2584" s="1">
        <f>IFERROR(__xludf.DUMMYFUNCTION("""COMPUTED_VALUE"""),648.11)</f>
        <v>648.11</v>
      </c>
      <c r="D2584" s="1">
        <f>IFERROR(__xludf.DUMMYFUNCTION("""COMPUTED_VALUE"""),640.65)</f>
        <v>640.65</v>
      </c>
      <c r="E2584" s="1">
        <f>IFERROR(__xludf.DUMMYFUNCTION("""COMPUTED_VALUE"""),648.1)</f>
        <v>648.1</v>
      </c>
      <c r="F2584" s="1">
        <f>IFERROR(__xludf.DUMMYFUNCTION("""COMPUTED_VALUE"""),6.7378128E7)</f>
        <v>67378128</v>
      </c>
    </row>
    <row r="2585">
      <c r="A2585" s="2">
        <f>IFERROR(__xludf.DUMMYFUNCTION("""COMPUTED_VALUE"""),35117.666666666664)</f>
        <v>35117.66667</v>
      </c>
      <c r="B2585" s="1">
        <f>IFERROR(__xludf.DUMMYFUNCTION("""COMPUTED_VALUE"""),648.1)</f>
        <v>648.1</v>
      </c>
      <c r="C2585" s="1">
        <f>IFERROR(__xludf.DUMMYFUNCTION("""COMPUTED_VALUE"""),659.75)</f>
        <v>659.75</v>
      </c>
      <c r="D2585" s="1">
        <f>IFERROR(__xludf.DUMMYFUNCTION("""COMPUTED_VALUE"""),648.1)</f>
        <v>648.1</v>
      </c>
      <c r="E2585" s="1">
        <f>IFERROR(__xludf.DUMMYFUNCTION("""COMPUTED_VALUE"""),658.86)</f>
        <v>658.86</v>
      </c>
      <c r="F2585" s="1">
        <f>IFERROR(__xludf.DUMMYFUNCTION("""COMPUTED_VALUE"""),7.5854688E7)</f>
        <v>75854688</v>
      </c>
    </row>
    <row r="2586">
      <c r="A2586" s="2">
        <f>IFERROR(__xludf.DUMMYFUNCTION("""COMPUTED_VALUE"""),35118.666666666664)</f>
        <v>35118.66667</v>
      </c>
      <c r="B2586" s="1">
        <f>IFERROR(__xludf.DUMMYFUNCTION("""COMPUTED_VALUE"""),659.08)</f>
        <v>659.08</v>
      </c>
      <c r="C2586" s="1">
        <f>IFERROR(__xludf.DUMMYFUNCTION("""COMPUTED_VALUE"""),659.08)</f>
        <v>659.08</v>
      </c>
      <c r="D2586" s="1">
        <f>IFERROR(__xludf.DUMMYFUNCTION("""COMPUTED_VALUE"""),652.29)</f>
        <v>652.29</v>
      </c>
      <c r="E2586" s="1">
        <f>IFERROR(__xludf.DUMMYFUNCTION("""COMPUTED_VALUE"""),659.08)</f>
        <v>659.08</v>
      </c>
      <c r="F2586" s="1">
        <f>IFERROR(__xludf.DUMMYFUNCTION("""COMPUTED_VALUE"""),6.9239064E7)</f>
        <v>69239064</v>
      </c>
    </row>
    <row r="2587">
      <c r="A2587" s="2">
        <f>IFERROR(__xludf.DUMMYFUNCTION("""COMPUTED_VALUE"""),35121.666666666664)</f>
        <v>35121.66667</v>
      </c>
      <c r="B2587" s="1">
        <f>IFERROR(__xludf.DUMMYFUNCTION("""COMPUTED_VALUE"""),659.08)</f>
        <v>659.08</v>
      </c>
      <c r="C2587" s="1">
        <f>IFERROR(__xludf.DUMMYFUNCTION("""COMPUTED_VALUE"""),659.08)</f>
        <v>659.08</v>
      </c>
      <c r="D2587" s="1">
        <f>IFERROR(__xludf.DUMMYFUNCTION("""COMPUTED_VALUE"""),650.16)</f>
        <v>650.16</v>
      </c>
      <c r="E2587" s="1">
        <f>IFERROR(__xludf.DUMMYFUNCTION("""COMPUTED_VALUE"""),650.46)</f>
        <v>650.46</v>
      </c>
      <c r="F2587" s="1">
        <f>IFERROR(__xludf.DUMMYFUNCTION("""COMPUTED_VALUE"""),6.2395312E7)</f>
        <v>62395312</v>
      </c>
    </row>
    <row r="2588">
      <c r="A2588" s="2">
        <f>IFERROR(__xludf.DUMMYFUNCTION("""COMPUTED_VALUE"""),35122.666666666664)</f>
        <v>35122.66667</v>
      </c>
      <c r="B2588" s="1">
        <f>IFERROR(__xludf.DUMMYFUNCTION("""COMPUTED_VALUE"""),650.46)</f>
        <v>650.46</v>
      </c>
      <c r="C2588" s="1">
        <f>IFERROR(__xludf.DUMMYFUNCTION("""COMPUTED_VALUE"""),650.62)</f>
        <v>650.62</v>
      </c>
      <c r="D2588" s="1">
        <f>IFERROR(__xludf.DUMMYFUNCTION("""COMPUTED_VALUE"""),643.87)</f>
        <v>643.87</v>
      </c>
      <c r="E2588" s="1">
        <f>IFERROR(__xludf.DUMMYFUNCTION("""COMPUTED_VALUE"""),647.24)</f>
        <v>647.24</v>
      </c>
      <c r="F2588" s="1">
        <f>IFERROR(__xludf.DUMMYFUNCTION("""COMPUTED_VALUE"""),6.7396872E7)</f>
        <v>67396872</v>
      </c>
    </row>
    <row r="2589">
      <c r="A2589" s="2">
        <f>IFERROR(__xludf.DUMMYFUNCTION("""COMPUTED_VALUE"""),35123.666666666664)</f>
        <v>35123.66667</v>
      </c>
      <c r="B2589" s="1">
        <f>IFERROR(__xludf.DUMMYFUNCTION("""COMPUTED_VALUE"""),647.24)</f>
        <v>647.24</v>
      </c>
      <c r="C2589" s="1">
        <f>IFERROR(__xludf.DUMMYFUNCTION("""COMPUTED_VALUE"""),654.39)</f>
        <v>654.39</v>
      </c>
      <c r="D2589" s="1">
        <f>IFERROR(__xludf.DUMMYFUNCTION("""COMPUTED_VALUE"""),643.99)</f>
        <v>643.99</v>
      </c>
      <c r="E2589" s="1">
        <f>IFERROR(__xludf.DUMMYFUNCTION("""COMPUTED_VALUE"""),644.75)</f>
        <v>644.75</v>
      </c>
      <c r="F2589" s="1">
        <f>IFERROR(__xludf.DUMMYFUNCTION("""COMPUTED_VALUE"""),6.9967184E7)</f>
        <v>69967184</v>
      </c>
    </row>
    <row r="2590">
      <c r="A2590" s="2">
        <f>IFERROR(__xludf.DUMMYFUNCTION("""COMPUTED_VALUE"""),35124.666666666664)</f>
        <v>35124.66667</v>
      </c>
      <c r="B2590" s="1">
        <f>IFERROR(__xludf.DUMMYFUNCTION("""COMPUTED_VALUE"""),644.75)</f>
        <v>644.75</v>
      </c>
      <c r="C2590" s="1">
        <f>IFERROR(__xludf.DUMMYFUNCTION("""COMPUTED_VALUE"""),646.95)</f>
        <v>646.95</v>
      </c>
      <c r="D2590" s="1">
        <f>IFERROR(__xludf.DUMMYFUNCTION("""COMPUTED_VALUE"""),639.01)</f>
        <v>639.01</v>
      </c>
      <c r="E2590" s="1">
        <f>IFERROR(__xludf.DUMMYFUNCTION("""COMPUTED_VALUE"""),640.43)</f>
        <v>640.43</v>
      </c>
      <c r="F2590" s="1">
        <f>IFERROR(__xludf.DUMMYFUNCTION("""COMPUTED_VALUE"""),7.0807816E7)</f>
        <v>70807816</v>
      </c>
    </row>
    <row r="2591">
      <c r="A2591" s="2">
        <f>IFERROR(__xludf.DUMMYFUNCTION("""COMPUTED_VALUE"""),35125.666666666664)</f>
        <v>35125.66667</v>
      </c>
      <c r="B2591" s="1">
        <f>IFERROR(__xludf.DUMMYFUNCTION("""COMPUTED_VALUE"""),640.43)</f>
        <v>640.43</v>
      </c>
      <c r="C2591" s="1">
        <f>IFERROR(__xludf.DUMMYFUNCTION("""COMPUTED_VALUE"""),644.38)</f>
        <v>644.38</v>
      </c>
      <c r="D2591" s="1">
        <f>IFERROR(__xludf.DUMMYFUNCTION("""COMPUTED_VALUE"""),635.0)</f>
        <v>635</v>
      </c>
      <c r="E2591" s="1">
        <f>IFERROR(__xludf.DUMMYFUNCTION("""COMPUTED_VALUE"""),644.37)</f>
        <v>644.37</v>
      </c>
      <c r="F2591" s="1">
        <f>IFERROR(__xludf.DUMMYFUNCTION("""COMPUTED_VALUE"""),7.3668752E7)</f>
        <v>73668752</v>
      </c>
    </row>
    <row r="2592">
      <c r="A2592" s="2">
        <f>IFERROR(__xludf.DUMMYFUNCTION("""COMPUTED_VALUE"""),35128.666666666664)</f>
        <v>35128.66667</v>
      </c>
      <c r="B2592" s="1">
        <f>IFERROR(__xludf.DUMMYFUNCTION("""COMPUTED_VALUE"""),644.37)</f>
        <v>644.37</v>
      </c>
      <c r="C2592" s="1">
        <f>IFERROR(__xludf.DUMMYFUNCTION("""COMPUTED_VALUE"""),653.54)</f>
        <v>653.54</v>
      </c>
      <c r="D2592" s="1">
        <f>IFERROR(__xludf.DUMMYFUNCTION("""COMPUTED_VALUE"""),644.37)</f>
        <v>644.37</v>
      </c>
      <c r="E2592" s="1">
        <f>IFERROR(__xludf.DUMMYFUNCTION("""COMPUTED_VALUE"""),650.81)</f>
        <v>650.81</v>
      </c>
      <c r="F2592" s="1">
        <f>IFERROR(__xludf.DUMMYFUNCTION("""COMPUTED_VALUE"""),6.5198436E7)</f>
        <v>65198436</v>
      </c>
    </row>
    <row r="2593">
      <c r="A2593" s="2">
        <f>IFERROR(__xludf.DUMMYFUNCTION("""COMPUTED_VALUE"""),35129.666666666664)</f>
        <v>35129.66667</v>
      </c>
      <c r="B2593" s="1">
        <f>IFERROR(__xludf.DUMMYFUNCTION("""COMPUTED_VALUE"""),650.81)</f>
        <v>650.81</v>
      </c>
      <c r="C2593" s="1">
        <f>IFERROR(__xludf.DUMMYFUNCTION("""COMPUTED_VALUE"""),655.8)</f>
        <v>655.8</v>
      </c>
      <c r="D2593" s="1">
        <f>IFERROR(__xludf.DUMMYFUNCTION("""COMPUTED_VALUE"""),648.77)</f>
        <v>648.77</v>
      </c>
      <c r="E2593" s="1">
        <f>IFERROR(__xludf.DUMMYFUNCTION("""COMPUTED_VALUE"""),655.79)</f>
        <v>655.79</v>
      </c>
      <c r="F2593" s="1">
        <f>IFERROR(__xludf.DUMMYFUNCTION("""COMPUTED_VALUE"""),6.9640624E7)</f>
        <v>69640624</v>
      </c>
    </row>
    <row r="2594">
      <c r="A2594" s="2">
        <f>IFERROR(__xludf.DUMMYFUNCTION("""COMPUTED_VALUE"""),35130.666666666664)</f>
        <v>35130.66667</v>
      </c>
      <c r="B2594" s="1">
        <f>IFERROR(__xludf.DUMMYFUNCTION("""COMPUTED_VALUE"""),655.81)</f>
        <v>655.81</v>
      </c>
      <c r="C2594" s="1">
        <f>IFERROR(__xludf.DUMMYFUNCTION("""COMPUTED_VALUE"""),656.97)</f>
        <v>656.97</v>
      </c>
      <c r="D2594" s="1">
        <f>IFERROR(__xludf.DUMMYFUNCTION("""COMPUTED_VALUE"""),651.61)</f>
        <v>651.61</v>
      </c>
      <c r="E2594" s="1">
        <f>IFERROR(__xludf.DUMMYFUNCTION("""COMPUTED_VALUE"""),652.0)</f>
        <v>652</v>
      </c>
      <c r="F2594" s="1">
        <f>IFERROR(__xludf.DUMMYFUNCTION("""COMPUTED_VALUE"""),6.6909376E7)</f>
        <v>66909376</v>
      </c>
    </row>
    <row r="2595">
      <c r="A2595" s="2">
        <f>IFERROR(__xludf.DUMMYFUNCTION("""COMPUTED_VALUE"""),35131.666666666664)</f>
        <v>35131.66667</v>
      </c>
      <c r="B2595" s="1">
        <f>IFERROR(__xludf.DUMMYFUNCTION("""COMPUTED_VALUE"""),652.06)</f>
        <v>652.06</v>
      </c>
      <c r="C2595" s="1">
        <f>IFERROR(__xludf.DUMMYFUNCTION("""COMPUTED_VALUE"""),653.65)</f>
        <v>653.65</v>
      </c>
      <c r="D2595" s="1">
        <f>IFERROR(__xludf.DUMMYFUNCTION("""COMPUTED_VALUE"""),649.54)</f>
        <v>649.54</v>
      </c>
      <c r="E2595" s="1">
        <f>IFERROR(__xludf.DUMMYFUNCTION("""COMPUTED_VALUE"""),653.65)</f>
        <v>653.65</v>
      </c>
      <c r="F2595" s="1">
        <f>IFERROR(__xludf.DUMMYFUNCTION("""COMPUTED_VALUE"""),6.6529688E7)</f>
        <v>66529688</v>
      </c>
    </row>
    <row r="2596">
      <c r="A2596" s="2">
        <f>IFERROR(__xludf.DUMMYFUNCTION("""COMPUTED_VALUE"""),35132.666666666664)</f>
        <v>35132.66667</v>
      </c>
      <c r="B2596" s="1">
        <f>IFERROR(__xludf.DUMMYFUNCTION("""COMPUTED_VALUE"""),633.62)</f>
        <v>633.62</v>
      </c>
      <c r="C2596" s="1">
        <f>IFERROR(__xludf.DUMMYFUNCTION("""COMPUTED_VALUE"""),635.61)</f>
        <v>635.61</v>
      </c>
      <c r="D2596" s="1">
        <f>IFERROR(__xludf.DUMMYFUNCTION("""COMPUTED_VALUE"""),629.95)</f>
        <v>629.95</v>
      </c>
      <c r="E2596" s="1">
        <f>IFERROR(__xludf.DUMMYFUNCTION("""COMPUTED_VALUE"""),633.5)</f>
        <v>633.5</v>
      </c>
      <c r="F2596" s="1">
        <f>IFERROR(__xludf.DUMMYFUNCTION("""COMPUTED_VALUE"""),8.539844E7)</f>
        <v>85398440</v>
      </c>
    </row>
    <row r="2597">
      <c r="A2597" s="2">
        <f>IFERROR(__xludf.DUMMYFUNCTION("""COMPUTED_VALUE"""),35135.666666666664)</f>
        <v>35135.66667</v>
      </c>
      <c r="B2597" s="1">
        <f>IFERROR(__xludf.DUMMYFUNCTION("""COMPUTED_VALUE"""),633.62)</f>
        <v>633.62</v>
      </c>
      <c r="C2597" s="1">
        <f>IFERROR(__xludf.DUMMYFUNCTION("""COMPUTED_VALUE"""),640.41)</f>
        <v>640.41</v>
      </c>
      <c r="D2597" s="1">
        <f>IFERROR(__xludf.DUMMYFUNCTION("""COMPUTED_VALUE"""),629.95)</f>
        <v>629.95</v>
      </c>
      <c r="E2597" s="1">
        <f>IFERROR(__xludf.DUMMYFUNCTION("""COMPUTED_VALUE"""),640.02)</f>
        <v>640.02</v>
      </c>
      <c r="F2597" s="1">
        <f>IFERROR(__xludf.DUMMYFUNCTION("""COMPUTED_VALUE"""),7.0234376E7)</f>
        <v>70234376</v>
      </c>
    </row>
    <row r="2598">
      <c r="A2598" s="2">
        <f>IFERROR(__xludf.DUMMYFUNCTION("""COMPUTED_VALUE"""),35136.666666666664)</f>
        <v>35136.66667</v>
      </c>
      <c r="B2598" s="1">
        <f>IFERROR(__xludf.DUMMYFUNCTION("""COMPUTED_VALUE"""),639.98)</f>
        <v>639.98</v>
      </c>
      <c r="C2598" s="1">
        <f>IFERROR(__xludf.DUMMYFUNCTION("""COMPUTED_VALUE"""),639.98)</f>
        <v>639.98</v>
      </c>
      <c r="D2598" s="1">
        <f>IFERROR(__xludf.DUMMYFUNCTION("""COMPUTED_VALUE"""),628.82)</f>
        <v>628.82</v>
      </c>
      <c r="E2598" s="1">
        <f>IFERROR(__xludf.DUMMYFUNCTION("""COMPUTED_VALUE"""),637.09)</f>
        <v>637.09</v>
      </c>
      <c r="F2598" s="1">
        <f>IFERROR(__xludf.DUMMYFUNCTION("""COMPUTED_VALUE"""),7.1090624E7)</f>
        <v>71090624</v>
      </c>
    </row>
    <row r="2599">
      <c r="A2599" s="2">
        <f>IFERROR(__xludf.DUMMYFUNCTION("""COMPUTED_VALUE"""),35137.666666666664)</f>
        <v>35137.66667</v>
      </c>
      <c r="B2599" s="1">
        <f>IFERROR(__xludf.DUMMYFUNCTION("""COMPUTED_VALUE"""),637.09)</f>
        <v>637.09</v>
      </c>
      <c r="C2599" s="1">
        <f>IFERROR(__xludf.DUMMYFUNCTION("""COMPUTED_VALUE"""),640.52)</f>
        <v>640.52</v>
      </c>
      <c r="D2599" s="1">
        <f>IFERROR(__xludf.DUMMYFUNCTION("""COMPUTED_VALUE"""),635.19)</f>
        <v>635.19</v>
      </c>
      <c r="E2599" s="1">
        <f>IFERROR(__xludf.DUMMYFUNCTION("""COMPUTED_VALUE"""),638.55)</f>
        <v>638.55</v>
      </c>
      <c r="F2599" s="1">
        <f>IFERROR(__xludf.DUMMYFUNCTION("""COMPUTED_VALUE"""),6.4535936E7)</f>
        <v>64535936</v>
      </c>
    </row>
    <row r="2600">
      <c r="A2600" s="2">
        <f>IFERROR(__xludf.DUMMYFUNCTION("""COMPUTED_VALUE"""),35138.666666666664)</f>
        <v>35138.66667</v>
      </c>
      <c r="B2600" s="1">
        <f>IFERROR(__xludf.DUMMYFUNCTION("""COMPUTED_VALUE"""),638.58)</f>
        <v>638.58</v>
      </c>
      <c r="C2600" s="1">
        <f>IFERROR(__xludf.DUMMYFUNCTION("""COMPUTED_VALUE"""),644.17)</f>
        <v>644.17</v>
      </c>
      <c r="D2600" s="1">
        <f>IFERROR(__xludf.DUMMYFUNCTION("""COMPUTED_VALUE"""),638.58)</f>
        <v>638.58</v>
      </c>
      <c r="E2600" s="1">
        <f>IFERROR(__xludf.DUMMYFUNCTION("""COMPUTED_VALUE"""),640.87)</f>
        <v>640.87</v>
      </c>
      <c r="F2600" s="1">
        <f>IFERROR(__xludf.DUMMYFUNCTION("""COMPUTED_VALUE"""),7.697344E7)</f>
        <v>76973440</v>
      </c>
    </row>
    <row r="2601">
      <c r="A2601" s="2">
        <f>IFERROR(__xludf.DUMMYFUNCTION("""COMPUTED_VALUE"""),35139.666666666664)</f>
        <v>35139.66667</v>
      </c>
      <c r="B2601" s="1">
        <f>IFERROR(__xludf.DUMMYFUNCTION("""COMPUTED_VALUE"""),640.87)</f>
        <v>640.87</v>
      </c>
      <c r="C2601" s="1">
        <f>IFERROR(__xludf.DUMMYFUNCTION("""COMPUTED_VALUE"""),642.87)</f>
        <v>642.87</v>
      </c>
      <c r="D2601" s="1">
        <f>IFERROR(__xludf.DUMMYFUNCTION("""COMPUTED_VALUE"""),638.35)</f>
        <v>638.35</v>
      </c>
      <c r="E2601" s="1">
        <f>IFERROR(__xludf.DUMMYFUNCTION("""COMPUTED_VALUE"""),641.43)</f>
        <v>641.43</v>
      </c>
      <c r="F2601" s="1">
        <f>IFERROR(__xludf.DUMMYFUNCTION("""COMPUTED_VALUE"""),8.2807816E7)</f>
        <v>82807816</v>
      </c>
    </row>
    <row r="2602">
      <c r="A2602" s="2">
        <f>IFERROR(__xludf.DUMMYFUNCTION("""COMPUTED_VALUE"""),35142.666666666664)</f>
        <v>35142.66667</v>
      </c>
      <c r="B2602" s="1">
        <f>IFERROR(__xludf.DUMMYFUNCTION("""COMPUTED_VALUE"""),641.43)</f>
        <v>641.43</v>
      </c>
      <c r="C2602" s="1">
        <f>IFERROR(__xludf.DUMMYFUNCTION("""COMPUTED_VALUE"""),652.65)</f>
        <v>652.65</v>
      </c>
      <c r="D2602" s="1">
        <f>IFERROR(__xludf.DUMMYFUNCTION("""COMPUTED_VALUE"""),641.43)</f>
        <v>641.43</v>
      </c>
      <c r="E2602" s="1">
        <f>IFERROR(__xludf.DUMMYFUNCTION("""COMPUTED_VALUE"""),652.65)</f>
        <v>652.65</v>
      </c>
      <c r="F2602" s="1">
        <f>IFERROR(__xludf.DUMMYFUNCTION("""COMPUTED_VALUE"""),6.8296872E7)</f>
        <v>68296872</v>
      </c>
    </row>
    <row r="2603">
      <c r="A2603" s="2">
        <f>IFERROR(__xludf.DUMMYFUNCTION("""COMPUTED_VALUE"""),35143.666666666664)</f>
        <v>35143.66667</v>
      </c>
      <c r="B2603" s="1">
        <f>IFERROR(__xludf.DUMMYFUNCTION("""COMPUTED_VALUE"""),652.65)</f>
        <v>652.65</v>
      </c>
      <c r="C2603" s="1">
        <f>IFERROR(__xludf.DUMMYFUNCTION("""COMPUTED_VALUE"""),656.18)</f>
        <v>656.18</v>
      </c>
      <c r="D2603" s="1">
        <f>IFERROR(__xludf.DUMMYFUNCTION("""COMPUTED_VALUE"""),649.8)</f>
        <v>649.8</v>
      </c>
      <c r="E2603" s="1">
        <f>IFERROR(__xludf.DUMMYFUNCTION("""COMPUTED_VALUE"""),651.69)</f>
        <v>651.69</v>
      </c>
      <c r="F2603" s="1">
        <f>IFERROR(__xludf.DUMMYFUNCTION("""COMPUTED_VALUE"""),6.8484376E7)</f>
        <v>68484376</v>
      </c>
    </row>
    <row r="2604">
      <c r="A2604" s="2">
        <f>IFERROR(__xludf.DUMMYFUNCTION("""COMPUTED_VALUE"""),35144.666666666664)</f>
        <v>35144.66667</v>
      </c>
      <c r="B2604" s="1">
        <f>IFERROR(__xludf.DUMMYFUNCTION("""COMPUTED_VALUE"""),651.68)</f>
        <v>651.68</v>
      </c>
      <c r="C2604" s="1">
        <f>IFERROR(__xludf.DUMMYFUNCTION("""COMPUTED_VALUE"""),653.13)</f>
        <v>653.13</v>
      </c>
      <c r="D2604" s="1">
        <f>IFERROR(__xludf.DUMMYFUNCTION("""COMPUTED_VALUE"""),645.57)</f>
        <v>645.57</v>
      </c>
      <c r="E2604" s="1">
        <f>IFERROR(__xludf.DUMMYFUNCTION("""COMPUTED_VALUE"""),649.98)</f>
        <v>649.98</v>
      </c>
      <c r="F2604" s="1">
        <f>IFERROR(__xludf.DUMMYFUNCTION("""COMPUTED_VALUE"""),6.4028124E7)</f>
        <v>64028124</v>
      </c>
    </row>
    <row r="2605">
      <c r="A2605" s="2">
        <f>IFERROR(__xludf.DUMMYFUNCTION("""COMPUTED_VALUE"""),35145.666666666664)</f>
        <v>35145.66667</v>
      </c>
      <c r="B2605" s="1">
        <f>IFERROR(__xludf.DUMMYFUNCTION("""COMPUTED_VALUE"""),650.01)</f>
        <v>650.01</v>
      </c>
      <c r="C2605" s="1">
        <f>IFERROR(__xludf.DUMMYFUNCTION("""COMPUTED_VALUE"""),651.54)</f>
        <v>651.54</v>
      </c>
      <c r="D2605" s="1">
        <f>IFERROR(__xludf.DUMMYFUNCTION("""COMPUTED_VALUE"""),648.1)</f>
        <v>648.1</v>
      </c>
      <c r="E2605" s="1">
        <f>IFERROR(__xludf.DUMMYFUNCTION("""COMPUTED_VALUE"""),649.19)</f>
        <v>649.19</v>
      </c>
      <c r="F2605" s="1">
        <f>IFERROR(__xludf.DUMMYFUNCTION("""COMPUTED_VALUE"""),5.7371876E7)</f>
        <v>57371876</v>
      </c>
    </row>
    <row r="2606">
      <c r="A2606" s="2">
        <f>IFERROR(__xludf.DUMMYFUNCTION("""COMPUTED_VALUE"""),35146.666666666664)</f>
        <v>35146.66667</v>
      </c>
      <c r="B2606" s="1">
        <f>IFERROR(__xludf.DUMMYFUNCTION("""COMPUTED_VALUE"""),649.19)</f>
        <v>649.19</v>
      </c>
      <c r="C2606" s="1">
        <f>IFERROR(__xludf.DUMMYFUNCTION("""COMPUTED_VALUE"""),652.08)</f>
        <v>652.08</v>
      </c>
      <c r="D2606" s="1">
        <f>IFERROR(__xludf.DUMMYFUNCTION("""COMPUTED_VALUE"""),649.19)</f>
        <v>649.19</v>
      </c>
      <c r="E2606" s="1">
        <f>IFERROR(__xludf.DUMMYFUNCTION("""COMPUTED_VALUE"""),650.62)</f>
        <v>650.62</v>
      </c>
      <c r="F2606" s="1">
        <f>IFERROR(__xludf.DUMMYFUNCTION("""COMPUTED_VALUE"""),5.1467188E7)</f>
        <v>51467188</v>
      </c>
    </row>
    <row r="2607">
      <c r="A2607" s="2">
        <f>IFERROR(__xludf.DUMMYFUNCTION("""COMPUTED_VALUE"""),35149.666666666664)</f>
        <v>35149.66667</v>
      </c>
      <c r="B2607" s="1">
        <f>IFERROR(__xludf.DUMMYFUNCTION("""COMPUTED_VALUE"""),650.62)</f>
        <v>650.62</v>
      </c>
      <c r="C2607" s="1">
        <f>IFERROR(__xludf.DUMMYFUNCTION("""COMPUTED_VALUE"""),655.5)</f>
        <v>655.5</v>
      </c>
      <c r="D2607" s="1">
        <f>IFERROR(__xludf.DUMMYFUNCTION("""COMPUTED_VALUE"""),648.82)</f>
        <v>648.82</v>
      </c>
      <c r="E2607" s="1">
        <f>IFERROR(__xludf.DUMMYFUNCTION("""COMPUTED_VALUE"""),650.04)</f>
        <v>650.04</v>
      </c>
      <c r="F2607" s="1">
        <f>IFERROR(__xludf.DUMMYFUNCTION("""COMPUTED_VALUE"""),5.2609376E7)</f>
        <v>52609376</v>
      </c>
    </row>
    <row r="2608">
      <c r="A2608" s="2">
        <f>IFERROR(__xludf.DUMMYFUNCTION("""COMPUTED_VALUE"""),35150.666666666664)</f>
        <v>35150.66667</v>
      </c>
      <c r="B2608" s="1">
        <f>IFERROR(__xludf.DUMMYFUNCTION("""COMPUTED_VALUE"""),650.04)</f>
        <v>650.04</v>
      </c>
      <c r="C2608" s="1">
        <f>IFERROR(__xludf.DUMMYFUNCTION("""COMPUTED_VALUE"""),654.31)</f>
        <v>654.31</v>
      </c>
      <c r="D2608" s="1">
        <f>IFERROR(__xludf.DUMMYFUNCTION("""COMPUTED_VALUE"""),648.15)</f>
        <v>648.15</v>
      </c>
      <c r="E2608" s="1">
        <f>IFERROR(__xludf.DUMMYFUNCTION("""COMPUTED_VALUE"""),652.97)</f>
        <v>652.97</v>
      </c>
      <c r="F2608" s="1">
        <f>IFERROR(__xludf.DUMMYFUNCTION("""COMPUTED_VALUE"""),6.2514064E7)</f>
        <v>62514064</v>
      </c>
    </row>
    <row r="2609">
      <c r="A2609" s="2">
        <f>IFERROR(__xludf.DUMMYFUNCTION("""COMPUTED_VALUE"""),35151.666666666664)</f>
        <v>35151.66667</v>
      </c>
      <c r="B2609" s="1">
        <f>IFERROR(__xludf.DUMMYFUNCTION("""COMPUTED_VALUE"""),653.16)</f>
        <v>653.16</v>
      </c>
      <c r="C2609" s="1">
        <f>IFERROR(__xludf.DUMMYFUNCTION("""COMPUTED_VALUE"""),653.94)</f>
        <v>653.94</v>
      </c>
      <c r="D2609" s="1">
        <f>IFERROR(__xludf.DUMMYFUNCTION("""COMPUTED_VALUE"""),647.6)</f>
        <v>647.6</v>
      </c>
      <c r="E2609" s="1">
        <f>IFERROR(__xludf.DUMMYFUNCTION("""COMPUTED_VALUE"""),648.91)</f>
        <v>648.91</v>
      </c>
      <c r="F2609" s="1">
        <f>IFERROR(__xludf.DUMMYFUNCTION("""COMPUTED_VALUE"""),6.3481248E7)</f>
        <v>63481248</v>
      </c>
    </row>
    <row r="2610">
      <c r="A2610" s="2">
        <f>IFERROR(__xludf.DUMMYFUNCTION("""COMPUTED_VALUE"""),35152.666666666664)</f>
        <v>35152.66667</v>
      </c>
      <c r="B2610" s="1">
        <f>IFERROR(__xludf.DUMMYFUNCTION("""COMPUTED_VALUE"""),648.89)</f>
        <v>648.89</v>
      </c>
      <c r="C2610" s="1">
        <f>IFERROR(__xludf.DUMMYFUNCTION("""COMPUTED_VALUE"""),649.58)</f>
        <v>649.58</v>
      </c>
      <c r="D2610" s="1">
        <f>IFERROR(__xludf.DUMMYFUNCTION("""COMPUTED_VALUE"""),646.36)</f>
        <v>646.36</v>
      </c>
      <c r="E2610" s="1">
        <f>IFERROR(__xludf.DUMMYFUNCTION("""COMPUTED_VALUE"""),648.94)</f>
        <v>648.94</v>
      </c>
      <c r="F2610" s="1">
        <f>IFERROR(__xludf.DUMMYFUNCTION("""COMPUTED_VALUE"""),5.7929688E7)</f>
        <v>57929688</v>
      </c>
    </row>
    <row r="2611">
      <c r="A2611" s="2">
        <f>IFERROR(__xludf.DUMMYFUNCTION("""COMPUTED_VALUE"""),35153.666666666664)</f>
        <v>35153.66667</v>
      </c>
      <c r="B2611" s="1">
        <f>IFERROR(__xludf.DUMMYFUNCTION("""COMPUTED_VALUE"""),648.97)</f>
        <v>648.97</v>
      </c>
      <c r="C2611" s="1">
        <f>IFERROR(__xludf.DUMMYFUNCTION("""COMPUTED_VALUE"""),653.73)</f>
        <v>653.73</v>
      </c>
      <c r="D2611" s="1">
        <f>IFERROR(__xludf.DUMMYFUNCTION("""COMPUTED_VALUE"""),644.89)</f>
        <v>644.89</v>
      </c>
      <c r="E2611" s="1">
        <f>IFERROR(__xludf.DUMMYFUNCTION("""COMPUTED_VALUE"""),653.73)</f>
        <v>653.73</v>
      </c>
      <c r="F2611" s="1">
        <f>IFERROR(__xludf.DUMMYFUNCTION("""COMPUTED_VALUE"""),6.4610936E7)</f>
        <v>64610936</v>
      </c>
    </row>
    <row r="2612">
      <c r="A2612" s="2">
        <f>IFERROR(__xludf.DUMMYFUNCTION("""COMPUTED_VALUE"""),35156.666666666664)</f>
        <v>35156.66667</v>
      </c>
      <c r="B2612" s="1">
        <f>IFERROR(__xludf.DUMMYFUNCTION("""COMPUTED_VALUE"""),645.5)</f>
        <v>645.5</v>
      </c>
      <c r="C2612" s="1">
        <f>IFERROR(__xludf.DUMMYFUNCTION("""COMPUTED_VALUE"""),653.34)</f>
        <v>653.34</v>
      </c>
      <c r="D2612" s="1">
        <f>IFERROR(__xludf.DUMMYFUNCTION("""COMPUTED_VALUE"""),645.5)</f>
        <v>645.5</v>
      </c>
      <c r="E2612" s="1">
        <f>IFERROR(__xludf.DUMMYFUNCTION("""COMPUTED_VALUE"""),653.34)</f>
        <v>653.34</v>
      </c>
      <c r="F2612" s="1">
        <f>IFERROR(__xludf.DUMMYFUNCTION("""COMPUTED_VALUE"""),6.1268752E7)</f>
        <v>61268752</v>
      </c>
    </row>
    <row r="2613">
      <c r="A2613" s="2">
        <f>IFERROR(__xludf.DUMMYFUNCTION("""COMPUTED_VALUE"""),35157.666666666664)</f>
        <v>35157.66667</v>
      </c>
      <c r="B2613" s="1">
        <f>IFERROR(__xludf.DUMMYFUNCTION("""COMPUTED_VALUE"""),653.73)</f>
        <v>653.73</v>
      </c>
      <c r="C2613" s="1">
        <f>IFERROR(__xludf.DUMMYFUNCTION("""COMPUTED_VALUE"""),654.85)</f>
        <v>654.85</v>
      </c>
      <c r="D2613" s="1">
        <f>IFERROR(__xludf.DUMMYFUNCTION("""COMPUTED_VALUE"""),652.81)</f>
        <v>652.81</v>
      </c>
      <c r="E2613" s="1">
        <f>IFERROR(__xludf.DUMMYFUNCTION("""COMPUTED_VALUE"""),654.22)</f>
        <v>654.22</v>
      </c>
      <c r="F2613" s="1">
        <f>IFERROR(__xludf.DUMMYFUNCTION("""COMPUTED_VALUE"""),6.35375E7)</f>
        <v>63537500</v>
      </c>
    </row>
    <row r="2614">
      <c r="A2614" s="2">
        <f>IFERROR(__xludf.DUMMYFUNCTION("""COMPUTED_VALUE"""),35158.666666666664)</f>
        <v>35158.66667</v>
      </c>
      <c r="B2614" s="1">
        <f>IFERROR(__xludf.DUMMYFUNCTION("""COMPUTED_VALUE"""),655.26)</f>
        <v>655.26</v>
      </c>
      <c r="C2614" s="1">
        <f>IFERROR(__xludf.DUMMYFUNCTION("""COMPUTED_VALUE"""),655.89)</f>
        <v>655.89</v>
      </c>
      <c r="D2614" s="1">
        <f>IFERROR(__xludf.DUMMYFUNCTION("""COMPUTED_VALUE"""),651.81)</f>
        <v>651.81</v>
      </c>
      <c r="E2614" s="1">
        <f>IFERROR(__xludf.DUMMYFUNCTION("""COMPUTED_VALUE"""),655.88)</f>
        <v>655.88</v>
      </c>
      <c r="F2614" s="1">
        <f>IFERROR(__xludf.DUMMYFUNCTION("""COMPUTED_VALUE"""),6.0409376E7)</f>
        <v>60409376</v>
      </c>
    </row>
    <row r="2615">
      <c r="A2615" s="2">
        <f>IFERROR(__xludf.DUMMYFUNCTION("""COMPUTED_VALUE"""),35159.666666666664)</f>
        <v>35159.66667</v>
      </c>
      <c r="B2615" s="1">
        <f>IFERROR(__xludf.DUMMYFUNCTION("""COMPUTED_VALUE"""),655.89)</f>
        <v>655.89</v>
      </c>
      <c r="C2615" s="1">
        <f>IFERROR(__xludf.DUMMYFUNCTION("""COMPUTED_VALUE"""),656.68)</f>
        <v>656.68</v>
      </c>
      <c r="D2615" s="1">
        <f>IFERROR(__xludf.DUMMYFUNCTION("""COMPUTED_VALUE"""),654.89)</f>
        <v>654.89</v>
      </c>
      <c r="E2615" s="1">
        <f>IFERROR(__xludf.DUMMYFUNCTION("""COMPUTED_VALUE"""),655.86)</f>
        <v>655.86</v>
      </c>
      <c r="F2615" s="1">
        <f>IFERROR(__xludf.DUMMYFUNCTION("""COMPUTED_VALUE"""),5.9906248E7)</f>
        <v>59906248</v>
      </c>
    </row>
    <row r="2616">
      <c r="A2616" s="2">
        <f>IFERROR(__xludf.DUMMYFUNCTION("""COMPUTED_VALUE"""),35163.666666666664)</f>
        <v>35163.66667</v>
      </c>
      <c r="B2616" s="1">
        <f>IFERROR(__xludf.DUMMYFUNCTION("""COMPUTED_VALUE"""),655.86)</f>
        <v>655.86</v>
      </c>
      <c r="C2616" s="1">
        <f>IFERROR(__xludf.DUMMYFUNCTION("""COMPUTED_VALUE"""),655.86)</f>
        <v>655.86</v>
      </c>
      <c r="D2616" s="1">
        <f>IFERROR(__xludf.DUMMYFUNCTION("""COMPUTED_VALUE"""),638.54)</f>
        <v>638.54</v>
      </c>
      <c r="E2616" s="1">
        <f>IFERROR(__xludf.DUMMYFUNCTION("""COMPUTED_VALUE"""),644.24)</f>
        <v>644.24</v>
      </c>
      <c r="F2616" s="1">
        <f>IFERROR(__xludf.DUMMYFUNCTION("""COMPUTED_VALUE"""),6.4345312E7)</f>
        <v>64345312</v>
      </c>
    </row>
    <row r="2617">
      <c r="A2617" s="2">
        <f>IFERROR(__xludf.DUMMYFUNCTION("""COMPUTED_VALUE"""),35164.666666666664)</f>
        <v>35164.66667</v>
      </c>
      <c r="B2617" s="1">
        <f>IFERROR(__xludf.DUMMYFUNCTION("""COMPUTED_VALUE"""),644.24)</f>
        <v>644.24</v>
      </c>
      <c r="C2617" s="1">
        <f>IFERROR(__xludf.DUMMYFUNCTION("""COMPUTED_VALUE"""),646.33)</f>
        <v>646.33</v>
      </c>
      <c r="D2617" s="1">
        <f>IFERROR(__xludf.DUMMYFUNCTION("""COMPUTED_VALUE"""),640.84)</f>
        <v>640.84</v>
      </c>
      <c r="E2617" s="1">
        <f>IFERROR(__xludf.DUMMYFUNCTION("""COMPUTED_VALUE"""),642.19)</f>
        <v>642.19</v>
      </c>
      <c r="F2617" s="1">
        <f>IFERROR(__xludf.DUMMYFUNCTION("""COMPUTED_VALUE"""),6.6685936E7)</f>
        <v>66685936</v>
      </c>
    </row>
    <row r="2618">
      <c r="A2618" s="2">
        <f>IFERROR(__xludf.DUMMYFUNCTION("""COMPUTED_VALUE"""),35165.666666666664)</f>
        <v>35165.66667</v>
      </c>
      <c r="B2618" s="1">
        <f>IFERROR(__xludf.DUMMYFUNCTION("""COMPUTED_VALUE"""),642.19)</f>
        <v>642.19</v>
      </c>
      <c r="C2618" s="1">
        <f>IFERROR(__xludf.DUMMYFUNCTION("""COMPUTED_VALUE"""),642.78)</f>
        <v>642.78</v>
      </c>
      <c r="D2618" s="1">
        <f>IFERROR(__xludf.DUMMYFUNCTION("""COMPUTED_VALUE"""),631.76)</f>
        <v>631.76</v>
      </c>
      <c r="E2618" s="1">
        <f>IFERROR(__xludf.DUMMYFUNCTION("""COMPUTED_VALUE"""),633.5)</f>
        <v>633.5</v>
      </c>
      <c r="F2618" s="1">
        <f>IFERROR(__xludf.DUMMYFUNCTION("""COMPUTED_VALUE"""),7.4242184E7)</f>
        <v>74242184</v>
      </c>
    </row>
    <row r="2619">
      <c r="A2619" s="2">
        <f>IFERROR(__xludf.DUMMYFUNCTION("""COMPUTED_VALUE"""),35166.666666666664)</f>
        <v>35166.66667</v>
      </c>
      <c r="B2619" s="1">
        <f>IFERROR(__xludf.DUMMYFUNCTION("""COMPUTED_VALUE"""),633.5)</f>
        <v>633.5</v>
      </c>
      <c r="C2619" s="1">
        <f>IFERROR(__xludf.DUMMYFUNCTION("""COMPUTED_VALUE"""),635.18)</f>
        <v>635.18</v>
      </c>
      <c r="D2619" s="1">
        <f>IFERROR(__xludf.DUMMYFUNCTION("""COMPUTED_VALUE"""),624.14)</f>
        <v>624.14</v>
      </c>
      <c r="E2619" s="1">
        <f>IFERROR(__xludf.DUMMYFUNCTION("""COMPUTED_VALUE"""),631.18)</f>
        <v>631.18</v>
      </c>
      <c r="F2619" s="1">
        <f>IFERROR(__xludf.DUMMYFUNCTION("""COMPUTED_VALUE"""),8.1204688E7)</f>
        <v>81204688</v>
      </c>
    </row>
    <row r="2620">
      <c r="A2620" s="2">
        <f>IFERROR(__xludf.DUMMYFUNCTION("""COMPUTED_VALUE"""),35167.666666666664)</f>
        <v>35167.66667</v>
      </c>
      <c r="B2620" s="1">
        <f>IFERROR(__xludf.DUMMYFUNCTION("""COMPUTED_VALUE"""),631.19)</f>
        <v>631.19</v>
      </c>
      <c r="C2620" s="1">
        <f>IFERROR(__xludf.DUMMYFUNCTION("""COMPUTED_VALUE"""),637.14)</f>
        <v>637.14</v>
      </c>
      <c r="D2620" s="1">
        <f>IFERROR(__xludf.DUMMYFUNCTION("""COMPUTED_VALUE"""),631.19)</f>
        <v>631.19</v>
      </c>
      <c r="E2620" s="1">
        <f>IFERROR(__xludf.DUMMYFUNCTION("""COMPUTED_VALUE"""),636.71)</f>
        <v>636.71</v>
      </c>
      <c r="F2620" s="1">
        <f>IFERROR(__xludf.DUMMYFUNCTION("""COMPUTED_VALUE"""),6.4573436E7)</f>
        <v>64573436</v>
      </c>
    </row>
    <row r="2621">
      <c r="A2621" s="2">
        <f>IFERROR(__xludf.DUMMYFUNCTION("""COMPUTED_VALUE"""),35170.666666666664)</f>
        <v>35170.66667</v>
      </c>
      <c r="B2621" s="1">
        <f>IFERROR(__xludf.DUMMYFUNCTION("""COMPUTED_VALUE"""),636.71)</f>
        <v>636.71</v>
      </c>
      <c r="C2621" s="1">
        <f>IFERROR(__xludf.DUMMYFUNCTION("""COMPUTED_VALUE"""),642.49)</f>
        <v>642.49</v>
      </c>
      <c r="D2621" s="1">
        <f>IFERROR(__xludf.DUMMYFUNCTION("""COMPUTED_VALUE"""),636.71)</f>
        <v>636.71</v>
      </c>
      <c r="E2621" s="1">
        <f>IFERROR(__xludf.DUMMYFUNCTION("""COMPUTED_VALUE"""),642.49)</f>
        <v>642.49</v>
      </c>
      <c r="F2621" s="1">
        <f>IFERROR(__xludf.DUMMYFUNCTION("""COMPUTED_VALUE"""),5.4120312E7)</f>
        <v>54120312</v>
      </c>
    </row>
    <row r="2622">
      <c r="A2622" s="2">
        <f>IFERROR(__xludf.DUMMYFUNCTION("""COMPUTED_VALUE"""),35171.666666666664)</f>
        <v>35171.66667</v>
      </c>
      <c r="B2622" s="1">
        <f>IFERROR(__xludf.DUMMYFUNCTION("""COMPUTED_VALUE"""),642.96)</f>
        <v>642.96</v>
      </c>
      <c r="C2622" s="1">
        <f>IFERROR(__xludf.DUMMYFUNCTION("""COMPUTED_VALUE"""),645.57)</f>
        <v>645.57</v>
      </c>
      <c r="D2622" s="1">
        <f>IFERROR(__xludf.DUMMYFUNCTION("""COMPUTED_VALUE"""),642.15)</f>
        <v>642.15</v>
      </c>
      <c r="E2622" s="1">
        <f>IFERROR(__xludf.DUMMYFUNCTION("""COMPUTED_VALUE"""),645.0)</f>
        <v>645</v>
      </c>
      <c r="F2622" s="1">
        <f>IFERROR(__xludf.DUMMYFUNCTION("""COMPUTED_VALUE"""),7.0829688E7)</f>
        <v>70829688</v>
      </c>
    </row>
    <row r="2623">
      <c r="A2623" s="2">
        <f>IFERROR(__xludf.DUMMYFUNCTION("""COMPUTED_VALUE"""),35172.666666666664)</f>
        <v>35172.66667</v>
      </c>
      <c r="B2623" s="1">
        <f>IFERROR(__xludf.DUMMYFUNCTION("""COMPUTED_VALUE"""),645.0)</f>
        <v>645</v>
      </c>
      <c r="C2623" s="1">
        <f>IFERROR(__xludf.DUMMYFUNCTION("""COMPUTED_VALUE"""),645.0)</f>
        <v>645</v>
      </c>
      <c r="D2623" s="1">
        <f>IFERROR(__xludf.DUMMYFUNCTION("""COMPUTED_VALUE"""),638.71)</f>
        <v>638.71</v>
      </c>
      <c r="E2623" s="1">
        <f>IFERROR(__xludf.DUMMYFUNCTION("""COMPUTED_VALUE"""),641.61)</f>
        <v>641.61</v>
      </c>
      <c r="F2623" s="1">
        <f>IFERROR(__xludf.DUMMYFUNCTION("""COMPUTED_VALUE"""),7.2687504E7)</f>
        <v>72687504</v>
      </c>
    </row>
    <row r="2624">
      <c r="A2624" s="2">
        <f>IFERROR(__xludf.DUMMYFUNCTION("""COMPUTED_VALUE"""),35173.666666666664)</f>
        <v>35173.66667</v>
      </c>
      <c r="B2624" s="1">
        <f>IFERROR(__xludf.DUMMYFUNCTION("""COMPUTED_VALUE"""),641.61)</f>
        <v>641.61</v>
      </c>
      <c r="C2624" s="1">
        <f>IFERROR(__xludf.DUMMYFUNCTION("""COMPUTED_VALUE"""),644.66)</f>
        <v>644.66</v>
      </c>
      <c r="D2624" s="1">
        <f>IFERROR(__xludf.DUMMYFUNCTION("""COMPUTED_VALUE"""),640.76)</f>
        <v>640.76</v>
      </c>
      <c r="E2624" s="1">
        <f>IFERROR(__xludf.DUMMYFUNCTION("""COMPUTED_VALUE"""),643.61)</f>
        <v>643.61</v>
      </c>
      <c r="F2624" s="1">
        <f>IFERROR(__xludf.DUMMYFUNCTION("""COMPUTED_VALUE"""),6.4867188E7)</f>
        <v>64867188</v>
      </c>
    </row>
    <row r="2625">
      <c r="A2625" s="2">
        <f>IFERROR(__xludf.DUMMYFUNCTION("""COMPUTED_VALUE"""),35174.666666666664)</f>
        <v>35174.66667</v>
      </c>
      <c r="B2625" s="1">
        <f>IFERROR(__xludf.DUMMYFUNCTION("""COMPUTED_VALUE"""),643.61)</f>
        <v>643.61</v>
      </c>
      <c r="C2625" s="1">
        <f>IFERROR(__xludf.DUMMYFUNCTION("""COMPUTED_VALUE"""),647.32)</f>
        <v>647.32</v>
      </c>
      <c r="D2625" s="1">
        <f>IFERROR(__xludf.DUMMYFUNCTION("""COMPUTED_VALUE"""),643.61)</f>
        <v>643.61</v>
      </c>
      <c r="E2625" s="1">
        <f>IFERROR(__xludf.DUMMYFUNCTION("""COMPUTED_VALUE"""),645.07)</f>
        <v>645.07</v>
      </c>
      <c r="F2625" s="1">
        <f>IFERROR(__xludf.DUMMYFUNCTION("""COMPUTED_VALUE"""),6.807656E7)</f>
        <v>68076560</v>
      </c>
    </row>
    <row r="2626">
      <c r="A2626" s="2">
        <f>IFERROR(__xludf.DUMMYFUNCTION("""COMPUTED_VALUE"""),35177.666666666664)</f>
        <v>35177.66667</v>
      </c>
      <c r="B2626" s="1">
        <f>IFERROR(__xludf.DUMMYFUNCTION("""COMPUTED_VALUE"""),645.24)</f>
        <v>645.24</v>
      </c>
      <c r="C2626" s="1">
        <f>IFERROR(__xludf.DUMMYFUNCTION("""COMPUTED_VALUE"""),650.91)</f>
        <v>650.91</v>
      </c>
      <c r="D2626" s="1">
        <f>IFERROR(__xludf.DUMMYFUNCTION("""COMPUTED_VALUE"""),645.24)</f>
        <v>645.24</v>
      </c>
      <c r="E2626" s="1">
        <f>IFERROR(__xludf.DUMMYFUNCTION("""COMPUTED_VALUE"""),647.89)</f>
        <v>647.89</v>
      </c>
      <c r="F2626" s="1">
        <f>IFERROR(__xludf.DUMMYFUNCTION("""COMPUTED_VALUE"""),6.1776564E7)</f>
        <v>61776564</v>
      </c>
    </row>
    <row r="2627">
      <c r="A2627" s="2">
        <f>IFERROR(__xludf.DUMMYFUNCTION("""COMPUTED_VALUE"""),35178.666666666664)</f>
        <v>35178.66667</v>
      </c>
      <c r="B2627" s="1">
        <f>IFERROR(__xludf.DUMMYFUNCTION("""COMPUTED_VALUE"""),647.89)</f>
        <v>647.89</v>
      </c>
      <c r="C2627" s="1">
        <f>IFERROR(__xludf.DUMMYFUNCTION("""COMPUTED_VALUE"""),651.59)</f>
        <v>651.59</v>
      </c>
      <c r="D2627" s="1">
        <f>IFERROR(__xludf.DUMMYFUNCTION("""COMPUTED_VALUE"""),647.7)</f>
        <v>647.7</v>
      </c>
      <c r="E2627" s="1">
        <f>IFERROR(__xludf.DUMMYFUNCTION("""COMPUTED_VALUE"""),651.58)</f>
        <v>651.58</v>
      </c>
      <c r="F2627" s="1">
        <f>IFERROR(__xludf.DUMMYFUNCTION("""COMPUTED_VALUE"""),7.0732816E7)</f>
        <v>70732816</v>
      </c>
    </row>
    <row r="2628">
      <c r="A2628" s="2">
        <f>IFERROR(__xludf.DUMMYFUNCTION("""COMPUTED_VALUE"""),35179.666666666664)</f>
        <v>35179.66667</v>
      </c>
      <c r="B2628" s="1">
        <f>IFERROR(__xludf.DUMMYFUNCTION("""COMPUTED_VALUE"""),651.58)</f>
        <v>651.58</v>
      </c>
      <c r="C2628" s="1">
        <f>IFERROR(__xludf.DUMMYFUNCTION("""COMPUTED_VALUE"""),653.37)</f>
        <v>653.37</v>
      </c>
      <c r="D2628" s="1">
        <f>IFERROR(__xludf.DUMMYFUNCTION("""COMPUTED_VALUE"""),648.25)</f>
        <v>648.25</v>
      </c>
      <c r="E2628" s="1">
        <f>IFERROR(__xludf.DUMMYFUNCTION("""COMPUTED_VALUE"""),650.17)</f>
        <v>650.17</v>
      </c>
      <c r="F2628" s="1">
        <f>IFERROR(__xludf.DUMMYFUNCTION("""COMPUTED_VALUE"""),7.7221872E7)</f>
        <v>77221872</v>
      </c>
    </row>
    <row r="2629">
      <c r="A2629" s="2">
        <f>IFERROR(__xludf.DUMMYFUNCTION("""COMPUTED_VALUE"""),35180.666666666664)</f>
        <v>35180.66667</v>
      </c>
      <c r="B2629" s="1">
        <f>IFERROR(__xludf.DUMMYFUNCTION("""COMPUTED_VALUE"""),650.17)</f>
        <v>650.17</v>
      </c>
      <c r="C2629" s="1">
        <f>IFERROR(__xludf.DUMMYFUNCTION("""COMPUTED_VALUE"""),654.18)</f>
        <v>654.18</v>
      </c>
      <c r="D2629" s="1">
        <f>IFERROR(__xludf.DUMMYFUNCTION("""COMPUTED_VALUE"""),647.06)</f>
        <v>647.06</v>
      </c>
      <c r="E2629" s="1">
        <f>IFERROR(__xludf.DUMMYFUNCTION("""COMPUTED_VALUE"""),652.87)</f>
        <v>652.87</v>
      </c>
      <c r="F2629" s="1">
        <f>IFERROR(__xludf.DUMMYFUNCTION("""COMPUTED_VALUE"""),7.2206248E7)</f>
        <v>72206248</v>
      </c>
    </row>
    <row r="2630">
      <c r="A2630" s="2">
        <f>IFERROR(__xludf.DUMMYFUNCTION("""COMPUTED_VALUE"""),35181.666666666664)</f>
        <v>35181.66667</v>
      </c>
      <c r="B2630" s="1">
        <f>IFERROR(__xludf.DUMMYFUNCTION("""COMPUTED_VALUE"""),652.87)</f>
        <v>652.87</v>
      </c>
      <c r="C2630" s="1">
        <f>IFERROR(__xludf.DUMMYFUNCTION("""COMPUTED_VALUE"""),656.43)</f>
        <v>656.43</v>
      </c>
      <c r="D2630" s="1">
        <f>IFERROR(__xludf.DUMMYFUNCTION("""COMPUTED_VALUE"""),651.96)</f>
        <v>651.96</v>
      </c>
      <c r="E2630" s="1">
        <f>IFERROR(__xludf.DUMMYFUNCTION("""COMPUTED_VALUE"""),653.46)</f>
        <v>653.46</v>
      </c>
      <c r="F2630" s="1">
        <f>IFERROR(__xludf.DUMMYFUNCTION("""COMPUTED_VALUE"""),6.2895312E7)</f>
        <v>62895312</v>
      </c>
    </row>
    <row r="2631">
      <c r="A2631" s="2">
        <f>IFERROR(__xludf.DUMMYFUNCTION("""COMPUTED_VALUE"""),35184.666666666664)</f>
        <v>35184.66667</v>
      </c>
      <c r="B2631" s="1">
        <f>IFERROR(__xludf.DUMMYFUNCTION("""COMPUTED_VALUE"""),653.46)</f>
        <v>653.46</v>
      </c>
      <c r="C2631" s="1">
        <f>IFERROR(__xludf.DUMMYFUNCTION("""COMPUTED_VALUE"""),654.71)</f>
        <v>654.71</v>
      </c>
      <c r="D2631" s="1">
        <f>IFERROR(__xludf.DUMMYFUNCTION("""COMPUTED_VALUE"""),651.6)</f>
        <v>651.6</v>
      </c>
      <c r="E2631" s="1">
        <f>IFERROR(__xludf.DUMMYFUNCTION("""COMPUTED_VALUE"""),654.16)</f>
        <v>654.16</v>
      </c>
      <c r="F2631" s="1">
        <f>IFERROR(__xludf.DUMMYFUNCTION("""COMPUTED_VALUE"""),5.3754688E7)</f>
        <v>53754688</v>
      </c>
    </row>
    <row r="2632">
      <c r="A2632" s="2">
        <f>IFERROR(__xludf.DUMMYFUNCTION("""COMPUTED_VALUE"""),35185.666666666664)</f>
        <v>35185.66667</v>
      </c>
      <c r="B2632" s="1">
        <f>IFERROR(__xludf.DUMMYFUNCTION("""COMPUTED_VALUE"""),654.16)</f>
        <v>654.16</v>
      </c>
      <c r="C2632" s="1">
        <f>IFERROR(__xludf.DUMMYFUNCTION("""COMPUTED_VALUE"""),654.59)</f>
        <v>654.59</v>
      </c>
      <c r="D2632" s="1">
        <f>IFERROR(__xludf.DUMMYFUNCTION("""COMPUTED_VALUE"""),651.05)</f>
        <v>651.05</v>
      </c>
      <c r="E2632" s="1">
        <f>IFERROR(__xludf.DUMMYFUNCTION("""COMPUTED_VALUE"""),654.17)</f>
        <v>654.17</v>
      </c>
      <c r="F2632" s="1">
        <f>IFERROR(__xludf.DUMMYFUNCTION("""COMPUTED_VALUE"""),6.1467188E7)</f>
        <v>61467188</v>
      </c>
    </row>
    <row r="2633">
      <c r="A2633" s="2">
        <f>IFERROR(__xludf.DUMMYFUNCTION("""COMPUTED_VALUE"""),35186.666666666664)</f>
        <v>35186.66667</v>
      </c>
      <c r="B2633" s="1">
        <f>IFERROR(__xludf.DUMMYFUNCTION("""COMPUTED_VALUE"""),654.17)</f>
        <v>654.17</v>
      </c>
      <c r="C2633" s="1">
        <f>IFERROR(__xludf.DUMMYFUNCTION("""COMPUTED_VALUE"""),656.44)</f>
        <v>656.44</v>
      </c>
      <c r="D2633" s="1">
        <f>IFERROR(__xludf.DUMMYFUNCTION("""COMPUTED_VALUE"""),652.26)</f>
        <v>652.26</v>
      </c>
      <c r="E2633" s="1">
        <f>IFERROR(__xludf.DUMMYFUNCTION("""COMPUTED_VALUE"""),654.58)</f>
        <v>654.58</v>
      </c>
      <c r="F2633" s="1">
        <f>IFERROR(__xludf.DUMMYFUNCTION("""COMPUTED_VALUE"""),6.3221876E7)</f>
        <v>63221876</v>
      </c>
    </row>
    <row r="2634">
      <c r="A2634" s="2">
        <f>IFERROR(__xludf.DUMMYFUNCTION("""COMPUTED_VALUE"""),35187.666666666664)</f>
        <v>35187.66667</v>
      </c>
      <c r="B2634" s="1">
        <f>IFERROR(__xludf.DUMMYFUNCTION("""COMPUTED_VALUE"""),654.58)</f>
        <v>654.58</v>
      </c>
      <c r="C2634" s="1">
        <f>IFERROR(__xludf.DUMMYFUNCTION("""COMPUTED_VALUE"""),654.58)</f>
        <v>654.58</v>
      </c>
      <c r="D2634" s="1">
        <f>IFERROR(__xludf.DUMMYFUNCTION("""COMPUTED_VALUE"""),642.13)</f>
        <v>642.13</v>
      </c>
      <c r="E2634" s="1">
        <f>IFERROR(__xludf.DUMMYFUNCTION("""COMPUTED_VALUE"""),643.38)</f>
        <v>643.38</v>
      </c>
      <c r="F2634" s="1">
        <f>IFERROR(__xludf.DUMMYFUNCTION("""COMPUTED_VALUE"""),6.9212496E7)</f>
        <v>69212496</v>
      </c>
    </row>
    <row r="2635">
      <c r="A2635" s="2">
        <f>IFERROR(__xludf.DUMMYFUNCTION("""COMPUTED_VALUE"""),35188.666666666664)</f>
        <v>35188.66667</v>
      </c>
      <c r="B2635" s="1">
        <f>IFERROR(__xludf.DUMMYFUNCTION("""COMPUTED_VALUE"""),643.39)</f>
        <v>643.39</v>
      </c>
      <c r="C2635" s="1">
        <f>IFERROR(__xludf.DUMMYFUNCTION("""COMPUTED_VALUE"""),648.45)</f>
        <v>648.45</v>
      </c>
      <c r="D2635" s="1">
        <f>IFERROR(__xludf.DUMMYFUNCTION("""COMPUTED_VALUE"""),640.23)</f>
        <v>640.23</v>
      </c>
      <c r="E2635" s="1">
        <f>IFERROR(__xludf.DUMMYFUNCTION("""COMPUTED_VALUE"""),641.63)</f>
        <v>641.63</v>
      </c>
      <c r="F2635" s="1">
        <f>IFERROR(__xludf.DUMMYFUNCTION("""COMPUTED_VALUE"""),6.7814064E7)</f>
        <v>67814064</v>
      </c>
    </row>
    <row r="2636">
      <c r="A2636" s="2">
        <f>IFERROR(__xludf.DUMMYFUNCTION("""COMPUTED_VALUE"""),35191.666666666664)</f>
        <v>35191.66667</v>
      </c>
      <c r="B2636" s="1">
        <f>IFERROR(__xludf.DUMMYFUNCTION("""COMPUTED_VALUE"""),641.63)</f>
        <v>641.63</v>
      </c>
      <c r="C2636" s="1">
        <f>IFERROR(__xludf.DUMMYFUNCTION("""COMPUTED_VALUE"""),644.64)</f>
        <v>644.64</v>
      </c>
      <c r="D2636" s="1">
        <f>IFERROR(__xludf.DUMMYFUNCTION("""COMPUTED_VALUE"""),636.19)</f>
        <v>636.19</v>
      </c>
      <c r="E2636" s="1">
        <f>IFERROR(__xludf.DUMMYFUNCTION("""COMPUTED_VALUE"""),640.81)</f>
        <v>640.81</v>
      </c>
      <c r="F2636" s="1">
        <f>IFERROR(__xludf.DUMMYFUNCTION("""COMPUTED_VALUE"""),5.8721876E7)</f>
        <v>58721876</v>
      </c>
    </row>
    <row r="2637">
      <c r="A2637" s="2">
        <f>IFERROR(__xludf.DUMMYFUNCTION("""COMPUTED_VALUE"""),35192.666666666664)</f>
        <v>35192.66667</v>
      </c>
      <c r="B2637" s="1">
        <f>IFERROR(__xludf.DUMMYFUNCTION("""COMPUTED_VALUE"""),640.86)</f>
        <v>640.86</v>
      </c>
      <c r="C2637" s="1">
        <f>IFERROR(__xludf.DUMMYFUNCTION("""COMPUTED_VALUE"""),641.4)</f>
        <v>641.4</v>
      </c>
      <c r="D2637" s="1">
        <f>IFERROR(__xludf.DUMMYFUNCTION("""COMPUTED_VALUE"""),636.96)</f>
        <v>636.96</v>
      </c>
      <c r="E2637" s="1">
        <f>IFERROR(__xludf.DUMMYFUNCTION("""COMPUTED_VALUE"""),638.26)</f>
        <v>638.26</v>
      </c>
      <c r="F2637" s="1">
        <f>IFERROR(__xludf.DUMMYFUNCTION("""COMPUTED_VALUE"""),6.4182812E7)</f>
        <v>64182812</v>
      </c>
    </row>
    <row r="2638">
      <c r="A2638" s="2">
        <f>IFERROR(__xludf.DUMMYFUNCTION("""COMPUTED_VALUE"""),35193.666666666664)</f>
        <v>35193.66667</v>
      </c>
      <c r="B2638" s="1">
        <f>IFERROR(__xludf.DUMMYFUNCTION("""COMPUTED_VALUE"""),638.26)</f>
        <v>638.26</v>
      </c>
      <c r="C2638" s="1">
        <f>IFERROR(__xludf.DUMMYFUNCTION("""COMPUTED_VALUE"""),644.79)</f>
        <v>644.79</v>
      </c>
      <c r="D2638" s="1">
        <f>IFERROR(__xludf.DUMMYFUNCTION("""COMPUTED_VALUE"""),630.07)</f>
        <v>630.07</v>
      </c>
      <c r="E2638" s="1">
        <f>IFERROR(__xludf.DUMMYFUNCTION("""COMPUTED_VALUE"""),644.78)</f>
        <v>644.78</v>
      </c>
      <c r="F2638" s="1">
        <f>IFERROR(__xludf.DUMMYFUNCTION("""COMPUTED_VALUE"""),7.7415624E7)</f>
        <v>77415624</v>
      </c>
    </row>
    <row r="2639">
      <c r="A2639" s="2">
        <f>IFERROR(__xludf.DUMMYFUNCTION("""COMPUTED_VALUE"""),35194.666666666664)</f>
        <v>35194.66667</v>
      </c>
      <c r="B2639" s="1">
        <f>IFERROR(__xludf.DUMMYFUNCTION("""COMPUTED_VALUE"""),644.78)</f>
        <v>644.78</v>
      </c>
      <c r="C2639" s="1">
        <f>IFERROR(__xludf.DUMMYFUNCTION("""COMPUTED_VALUE"""),647.95)</f>
        <v>647.95</v>
      </c>
      <c r="D2639" s="1">
        <f>IFERROR(__xludf.DUMMYFUNCTION("""COMPUTED_VALUE"""),643.18)</f>
        <v>643.18</v>
      </c>
      <c r="E2639" s="1">
        <f>IFERROR(__xludf.DUMMYFUNCTION("""COMPUTED_VALUE"""),645.44)</f>
        <v>645.44</v>
      </c>
      <c r="F2639" s="1">
        <f>IFERROR(__xludf.DUMMYFUNCTION("""COMPUTED_VALUE"""),6.3173436E7)</f>
        <v>63173436</v>
      </c>
    </row>
    <row r="2640">
      <c r="A2640" s="2">
        <f>IFERROR(__xludf.DUMMYFUNCTION("""COMPUTED_VALUE"""),35195.666666666664)</f>
        <v>35195.66667</v>
      </c>
      <c r="B2640" s="1">
        <f>IFERROR(__xludf.DUMMYFUNCTION("""COMPUTED_VALUE"""),645.44)</f>
        <v>645.44</v>
      </c>
      <c r="C2640" s="1">
        <f>IFERROR(__xludf.DUMMYFUNCTION("""COMPUTED_VALUE"""),653.0)</f>
        <v>653</v>
      </c>
      <c r="D2640" s="1">
        <f>IFERROR(__xludf.DUMMYFUNCTION("""COMPUTED_VALUE"""),645.44)</f>
        <v>645.44</v>
      </c>
      <c r="E2640" s="1">
        <f>IFERROR(__xludf.DUMMYFUNCTION("""COMPUTED_VALUE"""),652.09)</f>
        <v>652.09</v>
      </c>
      <c r="F2640" s="1">
        <f>IFERROR(__xludf.DUMMYFUNCTION("""COMPUTED_VALUE"""),6.6932812E7)</f>
        <v>66932812</v>
      </c>
    </row>
    <row r="2641">
      <c r="A2641" s="2">
        <f>IFERROR(__xludf.DUMMYFUNCTION("""COMPUTED_VALUE"""),35198.666666666664)</f>
        <v>35198.66667</v>
      </c>
      <c r="B2641" s="1">
        <f>IFERROR(__xludf.DUMMYFUNCTION("""COMPUTED_VALUE"""),652.09)</f>
        <v>652.09</v>
      </c>
      <c r="C2641" s="1">
        <f>IFERROR(__xludf.DUMMYFUNCTION("""COMPUTED_VALUE"""),662.16)</f>
        <v>662.16</v>
      </c>
      <c r="D2641" s="1">
        <f>IFERROR(__xludf.DUMMYFUNCTION("""COMPUTED_VALUE"""),652.09)</f>
        <v>652.09</v>
      </c>
      <c r="E2641" s="1">
        <f>IFERROR(__xludf.DUMMYFUNCTION("""COMPUTED_VALUE"""),661.51)</f>
        <v>661.51</v>
      </c>
      <c r="F2641" s="1">
        <f>IFERROR(__xludf.DUMMYFUNCTION("""COMPUTED_VALUE"""),6.1590624E7)</f>
        <v>61590624</v>
      </c>
    </row>
    <row r="2642">
      <c r="A2642" s="2">
        <f>IFERROR(__xludf.DUMMYFUNCTION("""COMPUTED_VALUE"""),35199.666666666664)</f>
        <v>35199.66667</v>
      </c>
      <c r="B2642" s="1">
        <f>IFERROR(__xludf.DUMMYFUNCTION("""COMPUTED_VALUE"""),661.51)</f>
        <v>661.51</v>
      </c>
      <c r="C2642" s="1">
        <f>IFERROR(__xludf.DUMMYFUNCTION("""COMPUTED_VALUE"""),666.96)</f>
        <v>666.96</v>
      </c>
      <c r="D2642" s="1">
        <f>IFERROR(__xludf.DUMMYFUNCTION("""COMPUTED_VALUE"""),661.51)</f>
        <v>661.51</v>
      </c>
      <c r="E2642" s="1">
        <f>IFERROR(__xludf.DUMMYFUNCTION("""COMPUTED_VALUE"""),665.6)</f>
        <v>665.6</v>
      </c>
      <c r="F2642" s="1">
        <f>IFERROR(__xludf.DUMMYFUNCTION("""COMPUTED_VALUE"""),7.1943752E7)</f>
        <v>71943752</v>
      </c>
    </row>
    <row r="2643">
      <c r="A2643" s="2">
        <f>IFERROR(__xludf.DUMMYFUNCTION("""COMPUTED_VALUE"""),35200.666666666664)</f>
        <v>35200.66667</v>
      </c>
      <c r="B2643" s="1">
        <f>IFERROR(__xludf.DUMMYFUNCTION("""COMPUTED_VALUE"""),665.6)</f>
        <v>665.6</v>
      </c>
      <c r="C2643" s="1">
        <f>IFERROR(__xludf.DUMMYFUNCTION("""COMPUTED_VALUE"""),669.82)</f>
        <v>669.82</v>
      </c>
      <c r="D2643" s="1">
        <f>IFERROR(__xludf.DUMMYFUNCTION("""COMPUTED_VALUE"""),664.46)</f>
        <v>664.46</v>
      </c>
      <c r="E2643" s="1">
        <f>IFERROR(__xludf.DUMMYFUNCTION("""COMPUTED_VALUE"""),665.42)</f>
        <v>665.42</v>
      </c>
      <c r="F2643" s="1">
        <f>IFERROR(__xludf.DUMMYFUNCTION("""COMPUTED_VALUE"""),6.9967184E7)</f>
        <v>69967184</v>
      </c>
    </row>
    <row r="2644">
      <c r="A2644" s="2">
        <f>IFERROR(__xludf.DUMMYFUNCTION("""COMPUTED_VALUE"""),35201.666666666664)</f>
        <v>35201.66667</v>
      </c>
      <c r="B2644" s="1">
        <f>IFERROR(__xludf.DUMMYFUNCTION("""COMPUTED_VALUE"""),665.42)</f>
        <v>665.42</v>
      </c>
      <c r="C2644" s="1">
        <f>IFERROR(__xludf.DUMMYFUNCTION("""COMPUTED_VALUE"""),667.11)</f>
        <v>667.11</v>
      </c>
      <c r="D2644" s="1">
        <f>IFERROR(__xludf.DUMMYFUNCTION("""COMPUTED_VALUE"""),662.79)</f>
        <v>662.79</v>
      </c>
      <c r="E2644" s="1">
        <f>IFERROR(__xludf.DUMMYFUNCTION("""COMPUTED_VALUE"""),664.85)</f>
        <v>664.85</v>
      </c>
      <c r="F2644" s="1">
        <f>IFERROR(__xludf.DUMMYFUNCTION("""COMPUTED_VALUE"""),6.1260936E7)</f>
        <v>61260936</v>
      </c>
    </row>
    <row r="2645">
      <c r="A2645" s="2">
        <f>IFERROR(__xludf.DUMMYFUNCTION("""COMPUTED_VALUE"""),35202.666666666664)</f>
        <v>35202.66667</v>
      </c>
      <c r="B2645" s="1">
        <f>IFERROR(__xludf.DUMMYFUNCTION("""COMPUTED_VALUE"""),664.96)</f>
        <v>664.96</v>
      </c>
      <c r="C2645" s="1">
        <f>IFERROR(__xludf.DUMMYFUNCTION("""COMPUTED_VALUE"""),669.84)</f>
        <v>669.84</v>
      </c>
      <c r="D2645" s="1">
        <f>IFERROR(__xludf.DUMMYFUNCTION("""COMPUTED_VALUE"""),664.96)</f>
        <v>664.96</v>
      </c>
      <c r="E2645" s="1">
        <f>IFERROR(__xludf.DUMMYFUNCTION("""COMPUTED_VALUE"""),668.91)</f>
        <v>668.91</v>
      </c>
      <c r="F2645" s="1">
        <f>IFERROR(__xludf.DUMMYFUNCTION("""COMPUTED_VALUE"""),6.7053124E7)</f>
        <v>67053124</v>
      </c>
    </row>
    <row r="2646">
      <c r="A2646" s="2">
        <f>IFERROR(__xludf.DUMMYFUNCTION("""COMPUTED_VALUE"""),35205.666666666664)</f>
        <v>35205.66667</v>
      </c>
      <c r="B2646" s="1">
        <f>IFERROR(__xludf.DUMMYFUNCTION("""COMPUTED_VALUE"""),668.91)</f>
        <v>668.91</v>
      </c>
      <c r="C2646" s="1">
        <f>IFERROR(__xludf.DUMMYFUNCTION("""COMPUTED_VALUE"""),673.66)</f>
        <v>673.66</v>
      </c>
      <c r="D2646" s="1">
        <f>IFERROR(__xludf.DUMMYFUNCTION("""COMPUTED_VALUE"""),667.64)</f>
        <v>667.64</v>
      </c>
      <c r="E2646" s="1">
        <f>IFERROR(__xludf.DUMMYFUNCTION("""COMPUTED_VALUE"""),673.15)</f>
        <v>673.15</v>
      </c>
      <c r="F2646" s="1">
        <f>IFERROR(__xludf.DUMMYFUNCTION("""COMPUTED_VALUE"""),6.0156248E7)</f>
        <v>60156248</v>
      </c>
    </row>
    <row r="2647">
      <c r="A2647" s="2">
        <f>IFERROR(__xludf.DUMMYFUNCTION("""COMPUTED_VALUE"""),35206.666666666664)</f>
        <v>35206.66667</v>
      </c>
      <c r="B2647" s="1">
        <f>IFERROR(__xludf.DUMMYFUNCTION("""COMPUTED_VALUE"""),673.15)</f>
        <v>673.15</v>
      </c>
      <c r="C2647" s="1">
        <f>IFERROR(__xludf.DUMMYFUNCTION("""COMPUTED_VALUE"""),675.56)</f>
        <v>675.56</v>
      </c>
      <c r="D2647" s="1">
        <f>IFERROR(__xludf.DUMMYFUNCTION("""COMPUTED_VALUE"""),672.26)</f>
        <v>672.26</v>
      </c>
      <c r="E2647" s="1">
        <f>IFERROR(__xludf.DUMMYFUNCTION("""COMPUTED_VALUE"""),672.76)</f>
        <v>672.76</v>
      </c>
      <c r="F2647" s="1">
        <f>IFERROR(__xludf.DUMMYFUNCTION("""COMPUTED_VALUE"""),6.4001564E7)</f>
        <v>64001564</v>
      </c>
    </row>
    <row r="2648">
      <c r="A2648" s="2">
        <f>IFERROR(__xludf.DUMMYFUNCTION("""COMPUTED_VALUE"""),35207.666666666664)</f>
        <v>35207.66667</v>
      </c>
      <c r="B2648" s="1">
        <f>IFERROR(__xludf.DUMMYFUNCTION("""COMPUTED_VALUE"""),672.73)</f>
        <v>672.73</v>
      </c>
      <c r="C2648" s="1">
        <f>IFERROR(__xludf.DUMMYFUNCTION("""COMPUTED_VALUE"""),678.41)</f>
        <v>678.41</v>
      </c>
      <c r="D2648" s="1">
        <f>IFERROR(__xludf.DUMMYFUNCTION("""COMPUTED_VALUE"""),671.23)</f>
        <v>671.23</v>
      </c>
      <c r="E2648" s="1">
        <f>IFERROR(__xludf.DUMMYFUNCTION("""COMPUTED_VALUE"""),678.41)</f>
        <v>678.41</v>
      </c>
      <c r="F2648" s="1">
        <f>IFERROR(__xludf.DUMMYFUNCTION("""COMPUTED_VALUE"""),6.6198436E7)</f>
        <v>66198436</v>
      </c>
    </row>
    <row r="2649">
      <c r="A2649" s="2">
        <f>IFERROR(__xludf.DUMMYFUNCTION("""COMPUTED_VALUE"""),35208.666666666664)</f>
        <v>35208.66667</v>
      </c>
      <c r="B2649" s="1">
        <f>IFERROR(__xludf.DUMMYFUNCTION("""COMPUTED_VALUE"""),678.42)</f>
        <v>678.42</v>
      </c>
      <c r="C2649" s="1">
        <f>IFERROR(__xludf.DUMMYFUNCTION("""COMPUTED_VALUE"""),681.1)</f>
        <v>681.1</v>
      </c>
      <c r="D2649" s="1">
        <f>IFERROR(__xludf.DUMMYFUNCTION("""COMPUTED_VALUE"""),673.45)</f>
        <v>673.45</v>
      </c>
      <c r="E2649" s="1">
        <f>IFERROR(__xludf.DUMMYFUNCTION("""COMPUTED_VALUE"""),676.0)</f>
        <v>676</v>
      </c>
      <c r="F2649" s="1">
        <f>IFERROR(__xludf.DUMMYFUNCTION("""COMPUTED_VALUE"""),6.747656E7)</f>
        <v>67476560</v>
      </c>
    </row>
    <row r="2650">
      <c r="A2650" s="2">
        <f>IFERROR(__xludf.DUMMYFUNCTION("""COMPUTED_VALUE"""),35209.666666666664)</f>
        <v>35209.66667</v>
      </c>
      <c r="B2650" s="1">
        <f>IFERROR(__xludf.DUMMYFUNCTION("""COMPUTED_VALUE"""),676.0)</f>
        <v>676</v>
      </c>
      <c r="C2650" s="1">
        <f>IFERROR(__xludf.DUMMYFUNCTION("""COMPUTED_VALUE"""),679.72)</f>
        <v>679.72</v>
      </c>
      <c r="D2650" s="1">
        <f>IFERROR(__xludf.DUMMYFUNCTION("""COMPUTED_VALUE"""),676.0)</f>
        <v>676</v>
      </c>
      <c r="E2650" s="1">
        <f>IFERROR(__xludf.DUMMYFUNCTION("""COMPUTED_VALUE"""),678.51)</f>
        <v>678.51</v>
      </c>
      <c r="F2650" s="1">
        <f>IFERROR(__xludf.DUMMYFUNCTION("""COMPUTED_VALUE"""),5.1429688E7)</f>
        <v>51429688</v>
      </c>
    </row>
    <row r="2651">
      <c r="A2651" s="2">
        <f>IFERROR(__xludf.DUMMYFUNCTION("""COMPUTED_VALUE"""),35213.666666666664)</f>
        <v>35213.66667</v>
      </c>
      <c r="B2651" s="1">
        <f>IFERROR(__xludf.DUMMYFUNCTION("""COMPUTED_VALUE"""),678.57)</f>
        <v>678.57</v>
      </c>
      <c r="C2651" s="1">
        <f>IFERROR(__xludf.DUMMYFUNCTION("""COMPUTED_VALUE"""),679.98)</f>
        <v>679.98</v>
      </c>
      <c r="D2651" s="1">
        <f>IFERROR(__xludf.DUMMYFUNCTION("""COMPUTED_VALUE"""),671.52)</f>
        <v>671.52</v>
      </c>
      <c r="E2651" s="1">
        <f>IFERROR(__xludf.DUMMYFUNCTION("""COMPUTED_VALUE"""),672.23)</f>
        <v>672.23</v>
      </c>
      <c r="F2651" s="1">
        <f>IFERROR(__xludf.DUMMYFUNCTION("""COMPUTED_VALUE"""),5.3356248E7)</f>
        <v>53356248</v>
      </c>
    </row>
    <row r="2652">
      <c r="A2652" s="2">
        <f>IFERROR(__xludf.DUMMYFUNCTION("""COMPUTED_VALUE"""),35214.666666666664)</f>
        <v>35214.66667</v>
      </c>
      <c r="B2652" s="1">
        <f>IFERROR(__xludf.DUMMYFUNCTION("""COMPUTED_VALUE"""),672.23)</f>
        <v>672.23</v>
      </c>
      <c r="C2652" s="1">
        <f>IFERROR(__xludf.DUMMYFUNCTION("""COMPUTED_VALUE"""),673.73)</f>
        <v>673.73</v>
      </c>
      <c r="D2652" s="1">
        <f>IFERROR(__xludf.DUMMYFUNCTION("""COMPUTED_VALUE"""),666.09)</f>
        <v>666.09</v>
      </c>
      <c r="E2652" s="1">
        <f>IFERROR(__xludf.DUMMYFUNCTION("""COMPUTED_VALUE"""),667.93)</f>
        <v>667.93</v>
      </c>
      <c r="F2652" s="1">
        <f>IFERROR(__xludf.DUMMYFUNCTION("""COMPUTED_VALUE"""),5.4176564E7)</f>
        <v>54176564</v>
      </c>
    </row>
    <row r="2653">
      <c r="A2653" s="2">
        <f>IFERROR(__xludf.DUMMYFUNCTION("""COMPUTED_VALUE"""),35215.666666666664)</f>
        <v>35215.66667</v>
      </c>
      <c r="B2653" s="1">
        <f>IFERROR(__xludf.DUMMYFUNCTION("""COMPUTED_VALUE"""),667.94)</f>
        <v>667.94</v>
      </c>
      <c r="C2653" s="1">
        <f>IFERROR(__xludf.DUMMYFUNCTION("""COMPUTED_VALUE"""),673.51)</f>
        <v>673.51</v>
      </c>
      <c r="D2653" s="1">
        <f>IFERROR(__xludf.DUMMYFUNCTION("""COMPUTED_VALUE"""),664.56)</f>
        <v>664.56</v>
      </c>
      <c r="E2653" s="1">
        <f>IFERROR(__xludf.DUMMYFUNCTION("""COMPUTED_VALUE"""),671.7)</f>
        <v>671.7</v>
      </c>
      <c r="F2653" s="1">
        <f>IFERROR(__xludf.DUMMYFUNCTION("""COMPUTED_VALUE"""),5.9681248E7)</f>
        <v>59681248</v>
      </c>
    </row>
    <row r="2654">
      <c r="A2654" s="2">
        <f>IFERROR(__xludf.DUMMYFUNCTION("""COMPUTED_VALUE"""),35216.666666666664)</f>
        <v>35216.66667</v>
      </c>
      <c r="B2654" s="1">
        <f>IFERROR(__xludf.DUMMYFUNCTION("""COMPUTED_VALUE"""),671.7)</f>
        <v>671.7</v>
      </c>
      <c r="C2654" s="1">
        <f>IFERROR(__xludf.DUMMYFUNCTION("""COMPUTED_VALUE"""),673.46)</f>
        <v>673.46</v>
      </c>
      <c r="D2654" s="1">
        <f>IFERROR(__xludf.DUMMYFUNCTION("""COMPUTED_VALUE"""),667.0)</f>
        <v>667</v>
      </c>
      <c r="E2654" s="1">
        <f>IFERROR(__xludf.DUMMYFUNCTION("""COMPUTED_VALUE"""),669.14)</f>
        <v>669.14</v>
      </c>
      <c r="F2654" s="1">
        <f>IFERROR(__xludf.DUMMYFUNCTION("""COMPUTED_VALUE"""),5.4960936E7)</f>
        <v>54960936</v>
      </c>
    </row>
    <row r="2655">
      <c r="A2655" s="2">
        <f>IFERROR(__xludf.DUMMYFUNCTION("""COMPUTED_VALUE"""),35219.666666666664)</f>
        <v>35219.66667</v>
      </c>
      <c r="B2655" s="1">
        <f>IFERROR(__xludf.DUMMYFUNCTION("""COMPUTED_VALUE"""),669.12)</f>
        <v>669.12</v>
      </c>
      <c r="C2655" s="1">
        <f>IFERROR(__xludf.DUMMYFUNCTION("""COMPUTED_VALUE"""),669.12)</f>
        <v>669.12</v>
      </c>
      <c r="D2655" s="1">
        <f>IFERROR(__xludf.DUMMYFUNCTION("""COMPUTED_VALUE"""),665.19)</f>
        <v>665.19</v>
      </c>
      <c r="E2655" s="1">
        <f>IFERROR(__xludf.DUMMYFUNCTION("""COMPUTED_VALUE"""),667.68)</f>
        <v>667.68</v>
      </c>
      <c r="F2655" s="1">
        <f>IFERROR(__xludf.DUMMYFUNCTION("""COMPUTED_VALUE"""),4.9760936E7)</f>
        <v>49760936</v>
      </c>
    </row>
    <row r="2656">
      <c r="A2656" s="2">
        <f>IFERROR(__xludf.DUMMYFUNCTION("""COMPUTED_VALUE"""),35220.666666666664)</f>
        <v>35220.66667</v>
      </c>
      <c r="B2656" s="1">
        <f>IFERROR(__xludf.DUMMYFUNCTION("""COMPUTED_VALUE"""),667.69)</f>
        <v>667.69</v>
      </c>
      <c r="C2656" s="1">
        <f>IFERROR(__xludf.DUMMYFUNCTION("""COMPUTED_VALUE"""),672.6)</f>
        <v>672.6</v>
      </c>
      <c r="D2656" s="1">
        <f>IFERROR(__xludf.DUMMYFUNCTION("""COMPUTED_VALUE"""),667.69)</f>
        <v>667.69</v>
      </c>
      <c r="E2656" s="1">
        <f>IFERROR(__xludf.DUMMYFUNCTION("""COMPUTED_VALUE"""),672.56)</f>
        <v>672.56</v>
      </c>
      <c r="F2656" s="1">
        <f>IFERROR(__xludf.DUMMYFUNCTION("""COMPUTED_VALUE"""),6.0318752E7)</f>
        <v>60318752</v>
      </c>
    </row>
    <row r="2657">
      <c r="A2657" s="2">
        <f>IFERROR(__xludf.DUMMYFUNCTION("""COMPUTED_VALUE"""),35221.666666666664)</f>
        <v>35221.66667</v>
      </c>
      <c r="B2657" s="1">
        <f>IFERROR(__xludf.DUMMYFUNCTION("""COMPUTED_VALUE"""),672.56)</f>
        <v>672.56</v>
      </c>
      <c r="C2657" s="1">
        <f>IFERROR(__xludf.DUMMYFUNCTION("""COMPUTED_VALUE"""),678.45)</f>
        <v>678.45</v>
      </c>
      <c r="D2657" s="1">
        <f>IFERROR(__xludf.DUMMYFUNCTION("""COMPUTED_VALUE"""),672.09)</f>
        <v>672.09</v>
      </c>
      <c r="E2657" s="1">
        <f>IFERROR(__xludf.DUMMYFUNCTION("""COMPUTED_VALUE"""),678.44)</f>
        <v>678.44</v>
      </c>
      <c r="F2657" s="1">
        <f>IFERROR(__xludf.DUMMYFUNCTION("""COMPUTED_VALUE"""),5.9431248E7)</f>
        <v>59431248</v>
      </c>
    </row>
    <row r="2658">
      <c r="A2658" s="2">
        <f>IFERROR(__xludf.DUMMYFUNCTION("""COMPUTED_VALUE"""),35222.666666666664)</f>
        <v>35222.66667</v>
      </c>
      <c r="B2658" s="1">
        <f>IFERROR(__xludf.DUMMYFUNCTION("""COMPUTED_VALUE"""),678.44)</f>
        <v>678.44</v>
      </c>
      <c r="C2658" s="1">
        <f>IFERROR(__xludf.DUMMYFUNCTION("""COMPUTED_VALUE"""),680.32)</f>
        <v>680.32</v>
      </c>
      <c r="D2658" s="1">
        <f>IFERROR(__xludf.DUMMYFUNCTION("""COMPUTED_VALUE"""),673.02)</f>
        <v>673.02</v>
      </c>
      <c r="E2658" s="1">
        <f>IFERROR(__xludf.DUMMYFUNCTION("""COMPUTED_VALUE"""),673.03)</f>
        <v>673.03</v>
      </c>
      <c r="F2658" s="1">
        <f>IFERROR(__xludf.DUMMYFUNCTION("""COMPUTED_VALUE"""),7.2959376E7)</f>
        <v>72959376</v>
      </c>
    </row>
    <row r="2659">
      <c r="A2659" s="2">
        <f>IFERROR(__xludf.DUMMYFUNCTION("""COMPUTED_VALUE"""),35223.666666666664)</f>
        <v>35223.66667</v>
      </c>
      <c r="B2659" s="1">
        <f>IFERROR(__xludf.DUMMYFUNCTION("""COMPUTED_VALUE"""),673.03)</f>
        <v>673.03</v>
      </c>
      <c r="C2659" s="1">
        <f>IFERROR(__xludf.DUMMYFUNCTION("""COMPUTED_VALUE"""),673.31)</f>
        <v>673.31</v>
      </c>
      <c r="D2659" s="1">
        <f>IFERROR(__xludf.DUMMYFUNCTION("""COMPUTED_VALUE"""),662.57)</f>
        <v>662.57</v>
      </c>
      <c r="E2659" s="1">
        <f>IFERROR(__xludf.DUMMYFUNCTION("""COMPUTED_VALUE"""),673.31)</f>
        <v>673.31</v>
      </c>
      <c r="F2659" s="1">
        <f>IFERROR(__xludf.DUMMYFUNCTION("""COMPUTED_VALUE"""),6.9642184E7)</f>
        <v>69642184</v>
      </c>
    </row>
    <row r="2660">
      <c r="A2660" s="2">
        <f>IFERROR(__xludf.DUMMYFUNCTION("""COMPUTED_VALUE"""),35226.666666666664)</f>
        <v>35226.66667</v>
      </c>
      <c r="B2660" s="1">
        <f>IFERROR(__xludf.DUMMYFUNCTION("""COMPUTED_VALUE"""),673.31)</f>
        <v>673.31</v>
      </c>
      <c r="C2660" s="1">
        <f>IFERROR(__xludf.DUMMYFUNCTION("""COMPUTED_VALUE"""),673.61)</f>
        <v>673.61</v>
      </c>
      <c r="D2660" s="1">
        <f>IFERROR(__xludf.DUMMYFUNCTION("""COMPUTED_VALUE"""),670.15)</f>
        <v>670.15</v>
      </c>
      <c r="E2660" s="1">
        <f>IFERROR(__xludf.DUMMYFUNCTION("""COMPUTED_VALUE"""),672.16)</f>
        <v>672.16</v>
      </c>
      <c r="F2660" s="1">
        <f>IFERROR(__xludf.DUMMYFUNCTION("""COMPUTED_VALUE"""),5.2731248E7)</f>
        <v>52731248</v>
      </c>
    </row>
    <row r="2661">
      <c r="A2661" s="2">
        <f>IFERROR(__xludf.DUMMYFUNCTION("""COMPUTED_VALUE"""),35227.666666666664)</f>
        <v>35227.66667</v>
      </c>
      <c r="B2661" s="1">
        <f>IFERROR(__xludf.DUMMYFUNCTION("""COMPUTED_VALUE"""),672.16)</f>
        <v>672.16</v>
      </c>
      <c r="C2661" s="1">
        <f>IFERROR(__xludf.DUMMYFUNCTION("""COMPUTED_VALUE"""),676.72)</f>
        <v>676.72</v>
      </c>
      <c r="D2661" s="1">
        <f>IFERROR(__xludf.DUMMYFUNCTION("""COMPUTED_VALUE"""),669.94)</f>
        <v>669.94</v>
      </c>
      <c r="E2661" s="1">
        <f>IFERROR(__xludf.DUMMYFUNCTION("""COMPUTED_VALUE"""),670.96)</f>
        <v>670.96</v>
      </c>
      <c r="F2661" s="1">
        <f>IFERROR(__xludf.DUMMYFUNCTION("""COMPUTED_VALUE"""),6.3342188E7)</f>
        <v>63342188</v>
      </c>
    </row>
    <row r="2662">
      <c r="A2662" s="2">
        <f>IFERROR(__xludf.DUMMYFUNCTION("""COMPUTED_VALUE"""),35228.666666666664)</f>
        <v>35228.66667</v>
      </c>
      <c r="B2662" s="1">
        <f>IFERROR(__xludf.DUMMYFUNCTION("""COMPUTED_VALUE"""),670.97)</f>
        <v>670.97</v>
      </c>
      <c r="C2662" s="1">
        <f>IFERROR(__xludf.DUMMYFUNCTION("""COMPUTED_VALUE"""),673.67)</f>
        <v>673.67</v>
      </c>
      <c r="D2662" s="1">
        <f>IFERROR(__xludf.DUMMYFUNCTION("""COMPUTED_VALUE"""),668.77)</f>
        <v>668.77</v>
      </c>
      <c r="E2662" s="1">
        <f>IFERROR(__xludf.DUMMYFUNCTION("""COMPUTED_VALUE"""),669.04)</f>
        <v>669.04</v>
      </c>
      <c r="F2662" s="1">
        <f>IFERROR(__xludf.DUMMYFUNCTION("""COMPUTED_VALUE"""),6.2060936E7)</f>
        <v>62060936</v>
      </c>
    </row>
    <row r="2663">
      <c r="A2663" s="2">
        <f>IFERROR(__xludf.DUMMYFUNCTION("""COMPUTED_VALUE"""),35229.666666666664)</f>
        <v>35229.66667</v>
      </c>
      <c r="B2663" s="1">
        <f>IFERROR(__xludf.DUMMYFUNCTION("""COMPUTED_VALUE"""),669.04)</f>
        <v>669.04</v>
      </c>
      <c r="C2663" s="1">
        <f>IFERROR(__xludf.DUMMYFUNCTION("""COMPUTED_VALUE"""),670.54)</f>
        <v>670.54</v>
      </c>
      <c r="D2663" s="1">
        <f>IFERROR(__xludf.DUMMYFUNCTION("""COMPUTED_VALUE"""),665.49)</f>
        <v>665.49</v>
      </c>
      <c r="E2663" s="1">
        <f>IFERROR(__xludf.DUMMYFUNCTION("""COMPUTED_VALUE"""),667.92)</f>
        <v>667.92</v>
      </c>
      <c r="F2663" s="1">
        <f>IFERROR(__xludf.DUMMYFUNCTION("""COMPUTED_VALUE"""),6.2128124E7)</f>
        <v>62128124</v>
      </c>
    </row>
    <row r="2664">
      <c r="A2664" s="2">
        <f>IFERROR(__xludf.DUMMYFUNCTION("""COMPUTED_VALUE"""),35230.666666666664)</f>
        <v>35230.66667</v>
      </c>
      <c r="B2664" s="1">
        <f>IFERROR(__xludf.DUMMYFUNCTION("""COMPUTED_VALUE"""),667.92)</f>
        <v>667.92</v>
      </c>
      <c r="C2664" s="1">
        <f>IFERROR(__xludf.DUMMYFUNCTION("""COMPUTED_VALUE"""),668.4)</f>
        <v>668.4</v>
      </c>
      <c r="D2664" s="1">
        <f>IFERROR(__xludf.DUMMYFUNCTION("""COMPUTED_VALUE"""),664.35)</f>
        <v>664.35</v>
      </c>
      <c r="E2664" s="1">
        <f>IFERROR(__xludf.DUMMYFUNCTION("""COMPUTED_VALUE"""),665.85)</f>
        <v>665.85</v>
      </c>
      <c r="F2664" s="1">
        <f>IFERROR(__xludf.DUMMYFUNCTION("""COMPUTED_VALUE"""),6.1035936E7)</f>
        <v>61035936</v>
      </c>
    </row>
    <row r="2665">
      <c r="A2665" s="2">
        <f>IFERROR(__xludf.DUMMYFUNCTION("""COMPUTED_VALUE"""),35233.666666666664)</f>
        <v>35233.66667</v>
      </c>
      <c r="B2665" s="1">
        <f>IFERROR(__xludf.DUMMYFUNCTION("""COMPUTED_VALUE"""),665.85)</f>
        <v>665.85</v>
      </c>
      <c r="C2665" s="1">
        <f>IFERROR(__xludf.DUMMYFUNCTION("""COMPUTED_VALUE"""),668.27)</f>
        <v>668.27</v>
      </c>
      <c r="D2665" s="1">
        <f>IFERROR(__xludf.DUMMYFUNCTION("""COMPUTED_VALUE"""),664.09)</f>
        <v>664.09</v>
      </c>
      <c r="E2665" s="1">
        <f>IFERROR(__xludf.DUMMYFUNCTION("""COMPUTED_VALUE"""),665.16)</f>
        <v>665.16</v>
      </c>
      <c r="F2665" s="1">
        <f>IFERROR(__xludf.DUMMYFUNCTION("""COMPUTED_VALUE"""),4.6626564E7)</f>
        <v>46626564</v>
      </c>
    </row>
    <row r="2666">
      <c r="A2666" s="2">
        <f>IFERROR(__xludf.DUMMYFUNCTION("""COMPUTED_VALUE"""),35234.666666666664)</f>
        <v>35234.66667</v>
      </c>
      <c r="B2666" s="1">
        <f>IFERROR(__xludf.DUMMYFUNCTION("""COMPUTED_VALUE"""),665.16)</f>
        <v>665.16</v>
      </c>
      <c r="C2666" s="1">
        <f>IFERROR(__xludf.DUMMYFUNCTION("""COMPUTED_VALUE"""),666.36)</f>
        <v>666.36</v>
      </c>
      <c r="D2666" s="1">
        <f>IFERROR(__xludf.DUMMYFUNCTION("""COMPUTED_VALUE"""),661.34)</f>
        <v>661.34</v>
      </c>
      <c r="E2666" s="1">
        <f>IFERROR(__xludf.DUMMYFUNCTION("""COMPUTED_VALUE"""),662.06)</f>
        <v>662.06</v>
      </c>
      <c r="F2666" s="1">
        <f>IFERROR(__xludf.DUMMYFUNCTION("""COMPUTED_VALUE"""),5.8326564E7)</f>
        <v>58326564</v>
      </c>
    </row>
    <row r="2667">
      <c r="A2667" s="2">
        <f>IFERROR(__xludf.DUMMYFUNCTION("""COMPUTED_VALUE"""),35235.666666666664)</f>
        <v>35235.66667</v>
      </c>
      <c r="B2667" s="1">
        <f>IFERROR(__xludf.DUMMYFUNCTION("""COMPUTED_VALUE"""),662.1)</f>
        <v>662.1</v>
      </c>
      <c r="C2667" s="1">
        <f>IFERROR(__xludf.DUMMYFUNCTION("""COMPUTED_VALUE"""),665.62)</f>
        <v>665.62</v>
      </c>
      <c r="D2667" s="1">
        <f>IFERROR(__xludf.DUMMYFUNCTION("""COMPUTED_VALUE"""),661.21)</f>
        <v>661.21</v>
      </c>
      <c r="E2667" s="1">
        <f>IFERROR(__xludf.DUMMYFUNCTION("""COMPUTED_VALUE"""),661.96)</f>
        <v>661.96</v>
      </c>
      <c r="F2667" s="1">
        <f>IFERROR(__xludf.DUMMYFUNCTION("""COMPUTED_VALUE"""),5.9939064E7)</f>
        <v>59939064</v>
      </c>
    </row>
    <row r="2668">
      <c r="A2668" s="2">
        <f>IFERROR(__xludf.DUMMYFUNCTION("""COMPUTED_VALUE"""),35236.666666666664)</f>
        <v>35236.66667</v>
      </c>
      <c r="B2668" s="1">
        <f>IFERROR(__xludf.DUMMYFUNCTION("""COMPUTED_VALUE"""),661.96)</f>
        <v>661.96</v>
      </c>
      <c r="C2668" s="1">
        <f>IFERROR(__xludf.DUMMYFUNCTION("""COMPUTED_VALUE"""),664.96)</f>
        <v>664.96</v>
      </c>
      <c r="D2668" s="1">
        <f>IFERROR(__xludf.DUMMYFUNCTION("""COMPUTED_VALUE"""),658.75)</f>
        <v>658.75</v>
      </c>
      <c r="E2668" s="1">
        <f>IFERROR(__xludf.DUMMYFUNCTION("""COMPUTED_VALUE"""),662.1)</f>
        <v>662.1</v>
      </c>
      <c r="F2668" s="1">
        <f>IFERROR(__xludf.DUMMYFUNCTION("""COMPUTED_VALUE"""),6.8915624E7)</f>
        <v>68915624</v>
      </c>
    </row>
    <row r="2669">
      <c r="A2669" s="2">
        <f>IFERROR(__xludf.DUMMYFUNCTION("""COMPUTED_VALUE"""),35237.666666666664)</f>
        <v>35237.66667</v>
      </c>
      <c r="B2669" s="1">
        <f>IFERROR(__xludf.DUMMYFUNCTION("""COMPUTED_VALUE"""),662.1)</f>
        <v>662.1</v>
      </c>
      <c r="C2669" s="1">
        <f>IFERROR(__xludf.DUMMYFUNCTION("""COMPUTED_VALUE"""),666.83)</f>
        <v>666.83</v>
      </c>
      <c r="D2669" s="1">
        <f>IFERROR(__xludf.DUMMYFUNCTION("""COMPUTED_VALUE"""),662.1)</f>
        <v>662.1</v>
      </c>
      <c r="E2669" s="1">
        <f>IFERROR(__xludf.DUMMYFUNCTION("""COMPUTED_VALUE"""),666.83)</f>
        <v>666.83</v>
      </c>
      <c r="F2669" s="1">
        <f>IFERROR(__xludf.DUMMYFUNCTION("""COMPUTED_VALUE"""),8.1303128E7)</f>
        <v>81303128</v>
      </c>
    </row>
    <row r="2670">
      <c r="A2670" s="2">
        <f>IFERROR(__xludf.DUMMYFUNCTION("""COMPUTED_VALUE"""),35240.666666666664)</f>
        <v>35240.66667</v>
      </c>
      <c r="B2670" s="1">
        <f>IFERROR(__xludf.DUMMYFUNCTION("""COMPUTED_VALUE"""),666.84)</f>
        <v>666.84</v>
      </c>
      <c r="C2670" s="1">
        <f>IFERROR(__xludf.DUMMYFUNCTION("""COMPUTED_VALUE"""),671.07)</f>
        <v>671.07</v>
      </c>
      <c r="D2670" s="1">
        <f>IFERROR(__xludf.DUMMYFUNCTION("""COMPUTED_VALUE"""),666.84)</f>
        <v>666.84</v>
      </c>
      <c r="E2670" s="1">
        <f>IFERROR(__xludf.DUMMYFUNCTION("""COMPUTED_VALUE"""),668.85)</f>
        <v>668.85</v>
      </c>
      <c r="F2670" s="1">
        <f>IFERROR(__xludf.DUMMYFUNCTION("""COMPUTED_VALUE"""),5.21625E7)</f>
        <v>52162500</v>
      </c>
    </row>
    <row r="2671">
      <c r="A2671" s="2">
        <f>IFERROR(__xludf.DUMMYFUNCTION("""COMPUTED_VALUE"""),35241.666666666664)</f>
        <v>35241.66667</v>
      </c>
      <c r="B2671" s="1">
        <f>IFERROR(__xludf.DUMMYFUNCTION("""COMPUTED_VALUE"""),668.85)</f>
        <v>668.85</v>
      </c>
      <c r="C2671" s="1">
        <f>IFERROR(__xludf.DUMMYFUNCTION("""COMPUTED_VALUE"""),670.65)</f>
        <v>670.65</v>
      </c>
      <c r="D2671" s="1">
        <f>IFERROR(__xludf.DUMMYFUNCTION("""COMPUTED_VALUE"""),667.29)</f>
        <v>667.29</v>
      </c>
      <c r="E2671" s="1">
        <f>IFERROR(__xludf.DUMMYFUNCTION("""COMPUTED_VALUE"""),668.48)</f>
        <v>668.48</v>
      </c>
      <c r="F2671" s="1">
        <f>IFERROR(__xludf.DUMMYFUNCTION("""COMPUTED_VALUE"""),6.1234376E7)</f>
        <v>61234376</v>
      </c>
    </row>
    <row r="2672">
      <c r="A2672" s="2">
        <f>IFERROR(__xludf.DUMMYFUNCTION("""COMPUTED_VALUE"""),35242.666666666664)</f>
        <v>35242.66667</v>
      </c>
      <c r="B2672" s="1">
        <f>IFERROR(__xludf.DUMMYFUNCTION("""COMPUTED_VALUE"""),668.49)</f>
        <v>668.49</v>
      </c>
      <c r="C2672" s="1">
        <f>IFERROR(__xludf.DUMMYFUNCTION("""COMPUTED_VALUE"""),668.49)</f>
        <v>668.49</v>
      </c>
      <c r="D2672" s="1">
        <f>IFERROR(__xludf.DUMMYFUNCTION("""COMPUTED_VALUE"""),663.67)</f>
        <v>663.67</v>
      </c>
      <c r="E2672" s="1">
        <f>IFERROR(__xludf.DUMMYFUNCTION("""COMPUTED_VALUE"""),664.39)</f>
        <v>664.39</v>
      </c>
      <c r="F2672" s="1">
        <f>IFERROR(__xludf.DUMMYFUNCTION("""COMPUTED_VALUE"""),6.0393752E7)</f>
        <v>60393752</v>
      </c>
    </row>
    <row r="2673">
      <c r="A2673" s="2">
        <f>IFERROR(__xludf.DUMMYFUNCTION("""COMPUTED_VALUE"""),35243.666666666664)</f>
        <v>35243.66667</v>
      </c>
      <c r="B2673" s="1">
        <f>IFERROR(__xludf.DUMMYFUNCTION("""COMPUTED_VALUE"""),664.39)</f>
        <v>664.39</v>
      </c>
      <c r="C2673" s="1">
        <f>IFERROR(__xludf.DUMMYFUNCTION("""COMPUTED_VALUE"""),668.9)</f>
        <v>668.9</v>
      </c>
      <c r="D2673" s="1">
        <f>IFERROR(__xludf.DUMMYFUNCTION("""COMPUTED_VALUE"""),661.56)</f>
        <v>661.56</v>
      </c>
      <c r="E2673" s="1">
        <f>IFERROR(__xludf.DUMMYFUNCTION("""COMPUTED_VALUE"""),668.54)</f>
        <v>668.54</v>
      </c>
      <c r="F2673" s="1">
        <f>IFERROR(__xludf.DUMMYFUNCTION("""COMPUTED_VALUE"""),6.3371876E7)</f>
        <v>63371876</v>
      </c>
    </row>
    <row r="2674">
      <c r="A2674" s="2">
        <f>IFERROR(__xludf.DUMMYFUNCTION("""COMPUTED_VALUE"""),35244.666666666664)</f>
        <v>35244.66667</v>
      </c>
      <c r="B2674" s="1">
        <f>IFERROR(__xludf.DUMMYFUNCTION("""COMPUTED_VALUE"""),668.55)</f>
        <v>668.55</v>
      </c>
      <c r="C2674" s="1">
        <f>IFERROR(__xludf.DUMMYFUNCTION("""COMPUTED_VALUE"""),672.68)</f>
        <v>672.68</v>
      </c>
      <c r="D2674" s="1">
        <f>IFERROR(__xludf.DUMMYFUNCTION("""COMPUTED_VALUE"""),668.55)</f>
        <v>668.55</v>
      </c>
      <c r="E2674" s="1">
        <f>IFERROR(__xludf.DUMMYFUNCTION("""COMPUTED_VALUE"""),670.63)</f>
        <v>670.63</v>
      </c>
      <c r="F2674" s="1">
        <f>IFERROR(__xludf.DUMMYFUNCTION("""COMPUTED_VALUE"""),7.3509376E7)</f>
        <v>73509376</v>
      </c>
    </row>
    <row r="2675">
      <c r="A2675" s="2">
        <f>IFERROR(__xludf.DUMMYFUNCTION("""COMPUTED_VALUE"""),35247.666666666664)</f>
        <v>35247.66667</v>
      </c>
      <c r="B2675" s="1">
        <f>IFERROR(__xludf.DUMMYFUNCTION("""COMPUTED_VALUE"""),670.64)</f>
        <v>670.64</v>
      </c>
      <c r="C2675" s="1">
        <f>IFERROR(__xludf.DUMMYFUNCTION("""COMPUTED_VALUE"""),675.88)</f>
        <v>675.88</v>
      </c>
      <c r="D2675" s="1">
        <f>IFERROR(__xludf.DUMMYFUNCTION("""COMPUTED_VALUE"""),670.64)</f>
        <v>670.64</v>
      </c>
      <c r="E2675" s="1">
        <f>IFERROR(__xludf.DUMMYFUNCTION("""COMPUTED_VALUE"""),675.88)</f>
        <v>675.88</v>
      </c>
      <c r="F2675" s="1">
        <f>IFERROR(__xludf.DUMMYFUNCTION("""COMPUTED_VALUE"""),5.4023436E7)</f>
        <v>54023436</v>
      </c>
    </row>
    <row r="2676">
      <c r="A2676" s="2">
        <f>IFERROR(__xludf.DUMMYFUNCTION("""COMPUTED_VALUE"""),35248.666666666664)</f>
        <v>35248.66667</v>
      </c>
      <c r="B2676" s="1">
        <f>IFERROR(__xludf.DUMMYFUNCTION("""COMPUTED_VALUE"""),675.84)</f>
        <v>675.84</v>
      </c>
      <c r="C2676" s="1">
        <f>IFERROR(__xludf.DUMMYFUNCTION("""COMPUTED_VALUE"""),675.84)</f>
        <v>675.84</v>
      </c>
      <c r="D2676" s="1">
        <f>IFERROR(__xludf.DUMMYFUNCTION("""COMPUTED_VALUE"""),672.55)</f>
        <v>672.55</v>
      </c>
      <c r="E2676" s="1">
        <f>IFERROR(__xludf.DUMMYFUNCTION("""COMPUTED_VALUE"""),673.6)</f>
        <v>673.6</v>
      </c>
      <c r="F2676" s="1">
        <f>IFERROR(__xludf.DUMMYFUNCTION("""COMPUTED_VALUE"""),6.0625E7)</f>
        <v>60625000</v>
      </c>
    </row>
    <row r="2677">
      <c r="A2677" s="2">
        <f>IFERROR(__xludf.DUMMYFUNCTION("""COMPUTED_VALUE"""),35249.666666666664)</f>
        <v>35249.66667</v>
      </c>
      <c r="B2677" s="1">
        <f>IFERROR(__xludf.DUMMYFUNCTION("""COMPUTED_VALUE"""),673.61)</f>
        <v>673.61</v>
      </c>
      <c r="C2677" s="1">
        <f>IFERROR(__xludf.DUMMYFUNCTION("""COMPUTED_VALUE"""),673.64)</f>
        <v>673.64</v>
      </c>
      <c r="D2677" s="1">
        <f>IFERROR(__xludf.DUMMYFUNCTION("""COMPUTED_VALUE"""),670.21)</f>
        <v>670.21</v>
      </c>
      <c r="E2677" s="1">
        <f>IFERROR(__xludf.DUMMYFUNCTION("""COMPUTED_VALUE"""),672.4)</f>
        <v>672.4</v>
      </c>
      <c r="F2677" s="1">
        <f>IFERROR(__xludf.DUMMYFUNCTION("""COMPUTED_VALUE"""),5.2540624E7)</f>
        <v>52540624</v>
      </c>
    </row>
    <row r="2678">
      <c r="A2678" s="2">
        <f>IFERROR(__xludf.DUMMYFUNCTION("""COMPUTED_VALUE"""),35251.666666666664)</f>
        <v>35251.66667</v>
      </c>
      <c r="B2678" s="1">
        <f>IFERROR(__xludf.DUMMYFUNCTION("""COMPUTED_VALUE"""),672.21)</f>
        <v>672.21</v>
      </c>
      <c r="C2678" s="1">
        <f>IFERROR(__xludf.DUMMYFUNCTION("""COMPUTED_VALUE"""),672.21)</f>
        <v>672.21</v>
      </c>
      <c r="D2678" s="1">
        <f>IFERROR(__xludf.DUMMYFUNCTION("""COMPUTED_VALUE"""),657.41)</f>
        <v>657.41</v>
      </c>
      <c r="E2678" s="1">
        <f>IFERROR(__xludf.DUMMYFUNCTION("""COMPUTED_VALUE"""),657.44)</f>
        <v>657.44</v>
      </c>
      <c r="F2678" s="1">
        <f>IFERROR(__xludf.DUMMYFUNCTION("""COMPUTED_VALUE"""),2.8354688E7)</f>
        <v>28354688</v>
      </c>
    </row>
    <row r="2679">
      <c r="A2679" s="2">
        <f>IFERROR(__xludf.DUMMYFUNCTION("""COMPUTED_VALUE"""),35254.666666666664)</f>
        <v>35254.66667</v>
      </c>
      <c r="B2679" s="1">
        <f>IFERROR(__xludf.DUMMYFUNCTION("""COMPUTED_VALUE"""),657.44)</f>
        <v>657.44</v>
      </c>
      <c r="C2679" s="1">
        <f>IFERROR(__xludf.DUMMYFUNCTION("""COMPUTED_VALUE"""),657.65)</f>
        <v>657.65</v>
      </c>
      <c r="D2679" s="1">
        <f>IFERROR(__xludf.DUMMYFUNCTION("""COMPUTED_VALUE"""),651.13)</f>
        <v>651.13</v>
      </c>
      <c r="E2679" s="1">
        <f>IFERROR(__xludf.DUMMYFUNCTION("""COMPUTED_VALUE"""),652.54)</f>
        <v>652.54</v>
      </c>
      <c r="F2679" s="1">
        <f>IFERROR(__xludf.DUMMYFUNCTION("""COMPUTED_VALUE"""),5.7431248E7)</f>
        <v>57431248</v>
      </c>
    </row>
    <row r="2680">
      <c r="A2680" s="2">
        <f>IFERROR(__xludf.DUMMYFUNCTION("""COMPUTED_VALUE"""),35255.666666666664)</f>
        <v>35255.66667</v>
      </c>
      <c r="B2680" s="1">
        <f>IFERROR(__xludf.DUMMYFUNCTION("""COMPUTED_VALUE"""),652.64)</f>
        <v>652.64</v>
      </c>
      <c r="C2680" s="1">
        <f>IFERROR(__xludf.DUMMYFUNCTION("""COMPUTED_VALUE"""),656.6)</f>
        <v>656.6</v>
      </c>
      <c r="D2680" s="1">
        <f>IFERROR(__xludf.DUMMYFUNCTION("""COMPUTED_VALUE"""),652.64)</f>
        <v>652.64</v>
      </c>
      <c r="E2680" s="1">
        <f>IFERROR(__xludf.DUMMYFUNCTION("""COMPUTED_VALUE"""),654.75)</f>
        <v>654.75</v>
      </c>
      <c r="F2680" s="1">
        <f>IFERROR(__xludf.DUMMYFUNCTION("""COMPUTED_VALUE"""),6.2526564E7)</f>
        <v>62526564</v>
      </c>
    </row>
    <row r="2681">
      <c r="A2681" s="2">
        <f>IFERROR(__xludf.DUMMYFUNCTION("""COMPUTED_VALUE"""),35256.666666666664)</f>
        <v>35256.66667</v>
      </c>
      <c r="B2681" s="1">
        <f>IFERROR(__xludf.DUMMYFUNCTION("""COMPUTED_VALUE"""),654.74)</f>
        <v>654.74</v>
      </c>
      <c r="C2681" s="1">
        <f>IFERROR(__xludf.DUMMYFUNCTION("""COMPUTED_VALUE"""),656.27)</f>
        <v>656.27</v>
      </c>
      <c r="D2681" s="1">
        <f>IFERROR(__xludf.DUMMYFUNCTION("""COMPUTED_VALUE"""),648.39)</f>
        <v>648.39</v>
      </c>
      <c r="E2681" s="1">
        <f>IFERROR(__xludf.DUMMYFUNCTION("""COMPUTED_VALUE"""),656.06)</f>
        <v>656.06</v>
      </c>
      <c r="F2681" s="1">
        <f>IFERROR(__xludf.DUMMYFUNCTION("""COMPUTED_VALUE"""),6.5835936E7)</f>
        <v>65835936</v>
      </c>
    </row>
    <row r="2682">
      <c r="A2682" s="2">
        <f>IFERROR(__xludf.DUMMYFUNCTION("""COMPUTED_VALUE"""),35257.666666666664)</f>
        <v>35257.66667</v>
      </c>
      <c r="B2682" s="1">
        <f>IFERROR(__xludf.DUMMYFUNCTION("""COMPUTED_VALUE"""),656.06)</f>
        <v>656.06</v>
      </c>
      <c r="C2682" s="1">
        <f>IFERROR(__xludf.DUMMYFUNCTION("""COMPUTED_VALUE"""),656.06)</f>
        <v>656.06</v>
      </c>
      <c r="D2682" s="1">
        <f>IFERROR(__xludf.DUMMYFUNCTION("""COMPUTED_VALUE"""),639.52)</f>
        <v>639.52</v>
      </c>
      <c r="E2682" s="1">
        <f>IFERROR(__xludf.DUMMYFUNCTION("""COMPUTED_VALUE"""),645.67)</f>
        <v>645.67</v>
      </c>
      <c r="F2682" s="1">
        <f>IFERROR(__xludf.DUMMYFUNCTION("""COMPUTED_VALUE"""),8.132344E7)</f>
        <v>81323440</v>
      </c>
    </row>
    <row r="2683">
      <c r="A2683" s="2">
        <f>IFERROR(__xludf.DUMMYFUNCTION("""COMPUTED_VALUE"""),35258.666666666664)</f>
        <v>35258.66667</v>
      </c>
      <c r="B2683" s="1">
        <f>IFERROR(__xludf.DUMMYFUNCTION("""COMPUTED_VALUE"""),645.67)</f>
        <v>645.67</v>
      </c>
      <c r="C2683" s="1">
        <f>IFERROR(__xludf.DUMMYFUNCTION("""COMPUTED_VALUE"""),647.64)</f>
        <v>647.64</v>
      </c>
      <c r="D2683" s="1">
        <f>IFERROR(__xludf.DUMMYFUNCTION("""COMPUTED_VALUE"""),640.21)</f>
        <v>640.21</v>
      </c>
      <c r="E2683" s="1">
        <f>IFERROR(__xludf.DUMMYFUNCTION("""COMPUTED_VALUE"""),646.19)</f>
        <v>646.19</v>
      </c>
      <c r="F2683" s="1">
        <f>IFERROR(__xludf.DUMMYFUNCTION("""COMPUTED_VALUE"""),6.1990624E7)</f>
        <v>61990624</v>
      </c>
    </row>
    <row r="2684">
      <c r="A2684" s="2">
        <f>IFERROR(__xludf.DUMMYFUNCTION("""COMPUTED_VALUE"""),35261.666666666664)</f>
        <v>35261.66667</v>
      </c>
      <c r="B2684" s="1">
        <f>IFERROR(__xludf.DUMMYFUNCTION("""COMPUTED_VALUE"""),646.19)</f>
        <v>646.19</v>
      </c>
      <c r="C2684" s="1">
        <f>IFERROR(__xludf.DUMMYFUNCTION("""COMPUTED_VALUE"""),646.19)</f>
        <v>646.19</v>
      </c>
      <c r="D2684" s="1">
        <f>IFERROR(__xludf.DUMMYFUNCTION("""COMPUTED_VALUE"""),629.69)</f>
        <v>629.69</v>
      </c>
      <c r="E2684" s="1">
        <f>IFERROR(__xludf.DUMMYFUNCTION("""COMPUTED_VALUE"""),629.82)</f>
        <v>629.82</v>
      </c>
      <c r="F2684" s="1">
        <f>IFERROR(__xludf.DUMMYFUNCTION("""COMPUTED_VALUE"""),6.5471876E7)</f>
        <v>65471876</v>
      </c>
    </row>
    <row r="2685">
      <c r="A2685" s="2">
        <f>IFERROR(__xludf.DUMMYFUNCTION("""COMPUTED_VALUE"""),35262.666666666664)</f>
        <v>35262.66667</v>
      </c>
      <c r="B2685" s="1">
        <f>IFERROR(__xludf.DUMMYFUNCTION("""COMPUTED_VALUE"""),629.71)</f>
        <v>629.71</v>
      </c>
      <c r="C2685" s="1">
        <f>IFERROR(__xludf.DUMMYFUNCTION("""COMPUTED_VALUE"""),631.99)</f>
        <v>631.99</v>
      </c>
      <c r="D2685" s="1">
        <f>IFERROR(__xludf.DUMMYFUNCTION("""COMPUTED_VALUE"""),605.88)</f>
        <v>605.88</v>
      </c>
      <c r="E2685" s="1">
        <f>IFERROR(__xludf.DUMMYFUNCTION("""COMPUTED_VALUE"""),628.37)</f>
        <v>628.37</v>
      </c>
      <c r="F2685" s="1">
        <f>IFERROR(__xludf.DUMMYFUNCTION("""COMPUTED_VALUE"""),1.06715624E8)</f>
        <v>106715624</v>
      </c>
    </row>
    <row r="2686">
      <c r="A2686" s="2">
        <f>IFERROR(__xludf.DUMMYFUNCTION("""COMPUTED_VALUE"""),35263.666666666664)</f>
        <v>35263.66667</v>
      </c>
      <c r="B2686" s="1">
        <f>IFERROR(__xludf.DUMMYFUNCTION("""COMPUTED_VALUE"""),629.04)</f>
        <v>629.04</v>
      </c>
      <c r="C2686" s="1">
        <f>IFERROR(__xludf.DUMMYFUNCTION("""COMPUTED_VALUE"""),636.61)</f>
        <v>636.61</v>
      </c>
      <c r="D2686" s="1">
        <f>IFERROR(__xludf.DUMMYFUNCTION("""COMPUTED_VALUE"""),629.04)</f>
        <v>629.04</v>
      </c>
      <c r="E2686" s="1">
        <f>IFERROR(__xludf.DUMMYFUNCTION("""COMPUTED_VALUE"""),634.07)</f>
        <v>634.07</v>
      </c>
      <c r="F2686" s="1">
        <f>IFERROR(__xludf.DUMMYFUNCTION("""COMPUTED_VALUE"""),8.0285936E7)</f>
        <v>80285936</v>
      </c>
    </row>
    <row r="2687">
      <c r="A2687" s="2">
        <f>IFERROR(__xludf.DUMMYFUNCTION("""COMPUTED_VALUE"""),35264.666666666664)</f>
        <v>35264.66667</v>
      </c>
      <c r="B2687" s="1">
        <f>IFERROR(__xludf.DUMMYFUNCTION("""COMPUTED_VALUE"""),634.08)</f>
        <v>634.08</v>
      </c>
      <c r="C2687" s="1">
        <f>IFERROR(__xludf.DUMMYFUNCTION("""COMPUTED_VALUE"""),644.44)</f>
        <v>644.44</v>
      </c>
      <c r="D2687" s="1">
        <f>IFERROR(__xludf.DUMMYFUNCTION("""COMPUTED_VALUE"""),633.29)</f>
        <v>633.29</v>
      </c>
      <c r="E2687" s="1">
        <f>IFERROR(__xludf.DUMMYFUNCTION("""COMPUTED_VALUE"""),643.56)</f>
        <v>643.56</v>
      </c>
      <c r="F2687" s="1">
        <f>IFERROR(__xludf.DUMMYFUNCTION("""COMPUTED_VALUE"""),7.4134376E7)</f>
        <v>74134376</v>
      </c>
    </row>
    <row r="2688">
      <c r="A2688" s="2">
        <f>IFERROR(__xludf.DUMMYFUNCTION("""COMPUTED_VALUE"""),35265.666666666664)</f>
        <v>35265.66667</v>
      </c>
      <c r="B2688" s="1">
        <f>IFERROR(__xludf.DUMMYFUNCTION("""COMPUTED_VALUE"""),643.51)</f>
        <v>643.51</v>
      </c>
      <c r="C2688" s="1">
        <f>IFERROR(__xludf.DUMMYFUNCTION("""COMPUTED_VALUE"""),643.51)</f>
        <v>643.51</v>
      </c>
      <c r="D2688" s="1">
        <f>IFERROR(__xludf.DUMMYFUNCTION("""COMPUTED_VALUE"""),635.5)</f>
        <v>635.5</v>
      </c>
      <c r="E2688" s="1">
        <f>IFERROR(__xludf.DUMMYFUNCTION("""COMPUTED_VALUE"""),638.73)</f>
        <v>638.73</v>
      </c>
      <c r="F2688" s="1">
        <f>IFERROR(__xludf.DUMMYFUNCTION("""COMPUTED_VALUE"""),6.3760936E7)</f>
        <v>63760936</v>
      </c>
    </row>
    <row r="2689">
      <c r="A2689" s="2">
        <f>IFERROR(__xludf.DUMMYFUNCTION("""COMPUTED_VALUE"""),35268.666666666664)</f>
        <v>35268.66667</v>
      </c>
      <c r="B2689" s="1">
        <f>IFERROR(__xludf.DUMMYFUNCTION("""COMPUTED_VALUE"""),638.72)</f>
        <v>638.72</v>
      </c>
      <c r="C2689" s="1">
        <f>IFERROR(__xludf.DUMMYFUNCTION("""COMPUTED_VALUE"""),638.72)</f>
        <v>638.72</v>
      </c>
      <c r="D2689" s="1">
        <f>IFERROR(__xludf.DUMMYFUNCTION("""COMPUTED_VALUE"""),630.38)</f>
        <v>630.38</v>
      </c>
      <c r="E2689" s="1">
        <f>IFERROR(__xludf.DUMMYFUNCTION("""COMPUTED_VALUE"""),633.77)</f>
        <v>633.77</v>
      </c>
      <c r="F2689" s="1">
        <f>IFERROR(__xludf.DUMMYFUNCTION("""COMPUTED_VALUE"""),5.1140624E7)</f>
        <v>51140624</v>
      </c>
    </row>
    <row r="2690">
      <c r="A2690" s="2">
        <f>IFERROR(__xludf.DUMMYFUNCTION("""COMPUTED_VALUE"""),35269.666666666664)</f>
        <v>35269.66667</v>
      </c>
      <c r="B2690" s="1">
        <f>IFERROR(__xludf.DUMMYFUNCTION("""COMPUTED_VALUE"""),633.79)</f>
        <v>633.79</v>
      </c>
      <c r="C2690" s="1">
        <f>IFERROR(__xludf.DUMMYFUNCTION("""COMPUTED_VALUE"""),637.7)</f>
        <v>637.7</v>
      </c>
      <c r="D2690" s="1">
        <f>IFERROR(__xludf.DUMMYFUNCTION("""COMPUTED_VALUE"""),625.65)</f>
        <v>625.65</v>
      </c>
      <c r="E2690" s="1">
        <f>IFERROR(__xludf.DUMMYFUNCTION("""COMPUTED_VALUE"""),626.87)</f>
        <v>626.87</v>
      </c>
      <c r="F2690" s="1">
        <f>IFERROR(__xludf.DUMMYFUNCTION("""COMPUTED_VALUE"""),6.5921876E7)</f>
        <v>65921876</v>
      </c>
    </row>
    <row r="2691">
      <c r="A2691" s="2">
        <f>IFERROR(__xludf.DUMMYFUNCTION("""COMPUTED_VALUE"""),35270.666666666664)</f>
        <v>35270.66667</v>
      </c>
      <c r="B2691" s="1">
        <f>IFERROR(__xludf.DUMMYFUNCTION("""COMPUTED_VALUE"""),626.19)</f>
        <v>626.19</v>
      </c>
      <c r="C2691" s="1">
        <f>IFERROR(__xludf.DUMMYFUNCTION("""COMPUTED_VALUE"""),629.1)</f>
        <v>629.1</v>
      </c>
      <c r="D2691" s="1">
        <f>IFERROR(__xludf.DUMMYFUNCTION("""COMPUTED_VALUE"""),616.43)</f>
        <v>616.43</v>
      </c>
      <c r="E2691" s="1">
        <f>IFERROR(__xludf.DUMMYFUNCTION("""COMPUTED_VALUE"""),626.65)</f>
        <v>626.65</v>
      </c>
      <c r="F2691" s="1">
        <f>IFERROR(__xludf.DUMMYFUNCTION("""COMPUTED_VALUE"""),7.234844E7)</f>
        <v>72348440</v>
      </c>
    </row>
    <row r="2692">
      <c r="A2692" s="2">
        <f>IFERROR(__xludf.DUMMYFUNCTION("""COMPUTED_VALUE"""),35271.666666666664)</f>
        <v>35271.66667</v>
      </c>
      <c r="B2692" s="1">
        <f>IFERROR(__xludf.DUMMYFUNCTION("""COMPUTED_VALUE"""),626.65)</f>
        <v>626.65</v>
      </c>
      <c r="C2692" s="1">
        <f>IFERROR(__xludf.DUMMYFUNCTION("""COMPUTED_VALUE"""),633.57)</f>
        <v>633.57</v>
      </c>
      <c r="D2692" s="1">
        <f>IFERROR(__xludf.DUMMYFUNCTION("""COMPUTED_VALUE"""),626.65)</f>
        <v>626.65</v>
      </c>
      <c r="E2692" s="1">
        <f>IFERROR(__xludf.DUMMYFUNCTION("""COMPUTED_VALUE"""),631.17)</f>
        <v>631.17</v>
      </c>
      <c r="F2692" s="1">
        <f>IFERROR(__xludf.DUMMYFUNCTION("""COMPUTED_VALUE"""),6.3342188E7)</f>
        <v>63342188</v>
      </c>
    </row>
    <row r="2693">
      <c r="A2693" s="2">
        <f>IFERROR(__xludf.DUMMYFUNCTION("""COMPUTED_VALUE"""),35272.666666666664)</f>
        <v>35272.66667</v>
      </c>
      <c r="B2693" s="1">
        <f>IFERROR(__xludf.DUMMYFUNCTION("""COMPUTED_VALUE"""),631.18)</f>
        <v>631.18</v>
      </c>
      <c r="C2693" s="1">
        <f>IFERROR(__xludf.DUMMYFUNCTION("""COMPUTED_VALUE"""),636.23)</f>
        <v>636.23</v>
      </c>
      <c r="D2693" s="1">
        <f>IFERROR(__xludf.DUMMYFUNCTION("""COMPUTED_VALUE"""),631.18)</f>
        <v>631.18</v>
      </c>
      <c r="E2693" s="1">
        <f>IFERROR(__xludf.DUMMYFUNCTION("""COMPUTED_VALUE"""),635.9)</f>
        <v>635.9</v>
      </c>
      <c r="F2693" s="1">
        <f>IFERROR(__xludf.DUMMYFUNCTION("""COMPUTED_VALUE"""),5.4671876E7)</f>
        <v>54671876</v>
      </c>
    </row>
    <row r="2694">
      <c r="A2694" s="2">
        <f>IFERROR(__xludf.DUMMYFUNCTION("""COMPUTED_VALUE"""),35275.666666666664)</f>
        <v>35275.66667</v>
      </c>
      <c r="B2694" s="1">
        <f>IFERROR(__xludf.DUMMYFUNCTION("""COMPUTED_VALUE"""),635.9)</f>
        <v>635.9</v>
      </c>
      <c r="C2694" s="1">
        <f>IFERROR(__xludf.DUMMYFUNCTION("""COMPUTED_VALUE"""),635.9)</f>
        <v>635.9</v>
      </c>
      <c r="D2694" s="1">
        <f>IFERROR(__xludf.DUMMYFUNCTION("""COMPUTED_VALUE"""),630.9)</f>
        <v>630.9</v>
      </c>
      <c r="E2694" s="1">
        <f>IFERROR(__xludf.DUMMYFUNCTION("""COMPUTED_VALUE"""),630.91)</f>
        <v>630.91</v>
      </c>
      <c r="F2694" s="1">
        <f>IFERROR(__xludf.DUMMYFUNCTION("""COMPUTED_VALUE"""),4.3993752E7)</f>
        <v>43993752</v>
      </c>
    </row>
    <row r="2695">
      <c r="A2695" s="2">
        <f>IFERROR(__xludf.DUMMYFUNCTION("""COMPUTED_VALUE"""),35276.666666666664)</f>
        <v>35276.66667</v>
      </c>
      <c r="B2695" s="1">
        <f>IFERROR(__xludf.DUMMYFUNCTION("""COMPUTED_VALUE"""),630.91)</f>
        <v>630.91</v>
      </c>
      <c r="C2695" s="1">
        <f>IFERROR(__xludf.DUMMYFUNCTION("""COMPUTED_VALUE"""),635.26)</f>
        <v>635.26</v>
      </c>
      <c r="D2695" s="1">
        <f>IFERROR(__xludf.DUMMYFUNCTION("""COMPUTED_VALUE"""),629.22)</f>
        <v>629.22</v>
      </c>
      <c r="E2695" s="1">
        <f>IFERROR(__xludf.DUMMYFUNCTION("""COMPUTED_VALUE"""),635.26)</f>
        <v>635.26</v>
      </c>
      <c r="F2695" s="1">
        <f>IFERROR(__xludf.DUMMYFUNCTION("""COMPUTED_VALUE"""),5.3295312E7)</f>
        <v>53295312</v>
      </c>
    </row>
    <row r="2696">
      <c r="A2696" s="2">
        <f>IFERROR(__xludf.DUMMYFUNCTION("""COMPUTED_VALUE"""),35277.666666666664)</f>
        <v>35277.66667</v>
      </c>
      <c r="B2696" s="1">
        <f>IFERROR(__xludf.DUMMYFUNCTION("""COMPUTED_VALUE"""),635.26)</f>
        <v>635.26</v>
      </c>
      <c r="C2696" s="1">
        <f>IFERROR(__xludf.DUMMYFUNCTION("""COMPUTED_VALUE"""),640.54)</f>
        <v>640.54</v>
      </c>
      <c r="D2696" s="1">
        <f>IFERROR(__xludf.DUMMYFUNCTION("""COMPUTED_VALUE"""),633.74)</f>
        <v>633.74</v>
      </c>
      <c r="E2696" s="1">
        <f>IFERROR(__xludf.DUMMYFUNCTION("""COMPUTED_VALUE"""),639.95)</f>
        <v>639.95</v>
      </c>
      <c r="F2696" s="1">
        <f>IFERROR(__xludf.DUMMYFUNCTION("""COMPUTED_VALUE"""),6.3056248E7)</f>
        <v>63056248</v>
      </c>
    </row>
    <row r="2697">
      <c r="A2697" s="2">
        <f>IFERROR(__xludf.DUMMYFUNCTION("""COMPUTED_VALUE"""),35278.666666666664)</f>
        <v>35278.66667</v>
      </c>
      <c r="B2697" s="1">
        <f>IFERROR(__xludf.DUMMYFUNCTION("""COMPUTED_VALUE"""),639.95)</f>
        <v>639.95</v>
      </c>
      <c r="C2697" s="1">
        <f>IFERROR(__xludf.DUMMYFUNCTION("""COMPUTED_VALUE"""),650.66)</f>
        <v>650.66</v>
      </c>
      <c r="D2697" s="1">
        <f>IFERROR(__xludf.DUMMYFUNCTION("""COMPUTED_VALUE"""),639.49)</f>
        <v>639.49</v>
      </c>
      <c r="E2697" s="1">
        <f>IFERROR(__xludf.DUMMYFUNCTION("""COMPUTED_VALUE"""),650.02)</f>
        <v>650.02</v>
      </c>
      <c r="F2697" s="1">
        <f>IFERROR(__xludf.DUMMYFUNCTION("""COMPUTED_VALUE"""),6.8610936E7)</f>
        <v>68610936</v>
      </c>
    </row>
    <row r="2698">
      <c r="A2698" s="2">
        <f>IFERROR(__xludf.DUMMYFUNCTION("""COMPUTED_VALUE"""),35279.666666666664)</f>
        <v>35279.66667</v>
      </c>
      <c r="B2698" s="1">
        <f>IFERROR(__xludf.DUMMYFUNCTION("""COMPUTED_VALUE"""),662.49)</f>
        <v>662.49</v>
      </c>
      <c r="C2698" s="1">
        <f>IFERROR(__xludf.DUMMYFUNCTION("""COMPUTED_VALUE"""),662.49)</f>
        <v>662.49</v>
      </c>
      <c r="D2698" s="1">
        <f>IFERROR(__xludf.DUMMYFUNCTION("""COMPUTED_VALUE"""),650.02)</f>
        <v>650.02</v>
      </c>
      <c r="E2698" s="1">
        <f>IFERROR(__xludf.DUMMYFUNCTION("""COMPUTED_VALUE"""),662.49)</f>
        <v>662.49</v>
      </c>
      <c r="F2698" s="1">
        <f>IFERROR(__xludf.DUMMYFUNCTION("""COMPUTED_VALUE"""),6.9075E7)</f>
        <v>69075000</v>
      </c>
    </row>
    <row r="2699">
      <c r="A2699" s="2">
        <f>IFERROR(__xludf.DUMMYFUNCTION("""COMPUTED_VALUE"""),35282.666666666664)</f>
        <v>35282.66667</v>
      </c>
      <c r="B2699" s="1">
        <f>IFERROR(__xludf.DUMMYFUNCTION("""COMPUTED_VALUE"""),662.49)</f>
        <v>662.49</v>
      </c>
      <c r="C2699" s="1">
        <f>IFERROR(__xludf.DUMMYFUNCTION("""COMPUTED_VALUE"""),663.64)</f>
        <v>663.64</v>
      </c>
      <c r="D2699" s="1">
        <f>IFERROR(__xludf.DUMMYFUNCTION("""COMPUTED_VALUE"""),659.03)</f>
        <v>659.03</v>
      </c>
      <c r="E2699" s="1">
        <f>IFERROR(__xludf.DUMMYFUNCTION("""COMPUTED_VALUE"""),660.23)</f>
        <v>660.23</v>
      </c>
      <c r="F2699" s="1">
        <f>IFERROR(__xludf.DUMMYFUNCTION("""COMPUTED_VALUE"""),4.8006248E7)</f>
        <v>48006248</v>
      </c>
    </row>
    <row r="2700">
      <c r="A2700" s="2">
        <f>IFERROR(__xludf.DUMMYFUNCTION("""COMPUTED_VALUE"""),35283.666666666664)</f>
        <v>35283.66667</v>
      </c>
      <c r="B2700" s="1">
        <f>IFERROR(__xludf.DUMMYFUNCTION("""COMPUTED_VALUE"""),660.23)</f>
        <v>660.23</v>
      </c>
      <c r="C2700" s="1">
        <f>IFERROR(__xludf.DUMMYFUNCTION("""COMPUTED_VALUE"""),662.75)</f>
        <v>662.75</v>
      </c>
      <c r="D2700" s="1">
        <f>IFERROR(__xludf.DUMMYFUNCTION("""COMPUTED_VALUE"""),656.83)</f>
        <v>656.83</v>
      </c>
      <c r="E2700" s="1">
        <f>IFERROR(__xludf.DUMMYFUNCTION("""COMPUTED_VALUE"""),662.38)</f>
        <v>662.38</v>
      </c>
      <c r="F2700" s="1">
        <f>IFERROR(__xludf.DUMMYFUNCTION("""COMPUTED_VALUE"""),5.4264064E7)</f>
        <v>54264064</v>
      </c>
    </row>
    <row r="2701">
      <c r="A2701" s="2">
        <f>IFERROR(__xludf.DUMMYFUNCTION("""COMPUTED_VALUE"""),35284.666666666664)</f>
        <v>35284.66667</v>
      </c>
      <c r="B2701" s="1">
        <f>IFERROR(__xludf.DUMMYFUNCTION("""COMPUTED_VALUE"""),662.39)</f>
        <v>662.39</v>
      </c>
      <c r="C2701" s="1">
        <f>IFERROR(__xludf.DUMMYFUNCTION("""COMPUTED_VALUE"""),664.61)</f>
        <v>664.61</v>
      </c>
      <c r="D2701" s="1">
        <f>IFERROR(__xludf.DUMMYFUNCTION("""COMPUTED_VALUE"""),660.0)</f>
        <v>660</v>
      </c>
      <c r="E2701" s="1">
        <f>IFERROR(__xludf.DUMMYFUNCTION("""COMPUTED_VALUE"""),664.16)</f>
        <v>664.16</v>
      </c>
      <c r="F2701" s="1">
        <f>IFERROR(__xludf.DUMMYFUNCTION("""COMPUTED_VALUE"""),6.1615624E7)</f>
        <v>61615624</v>
      </c>
    </row>
    <row r="2702">
      <c r="A2702" s="2">
        <f>IFERROR(__xludf.DUMMYFUNCTION("""COMPUTED_VALUE"""),35285.666666666664)</f>
        <v>35285.66667</v>
      </c>
      <c r="B2702" s="1">
        <f>IFERROR(__xludf.DUMMYFUNCTION("""COMPUTED_VALUE"""),664.16)</f>
        <v>664.16</v>
      </c>
      <c r="C2702" s="1">
        <f>IFERROR(__xludf.DUMMYFUNCTION("""COMPUTED_VALUE"""),664.17)</f>
        <v>664.17</v>
      </c>
      <c r="D2702" s="1">
        <f>IFERROR(__xludf.DUMMYFUNCTION("""COMPUTED_VALUE"""),661.28)</f>
        <v>661.28</v>
      </c>
      <c r="E2702" s="1">
        <f>IFERROR(__xludf.DUMMYFUNCTION("""COMPUTED_VALUE"""),662.59)</f>
        <v>662.59</v>
      </c>
      <c r="F2702" s="1">
        <f>IFERROR(__xludf.DUMMYFUNCTION("""COMPUTED_VALUE"""),5.2276564E7)</f>
        <v>52276564</v>
      </c>
    </row>
    <row r="2703">
      <c r="A2703" s="2">
        <f>IFERROR(__xludf.DUMMYFUNCTION("""COMPUTED_VALUE"""),35286.666666666664)</f>
        <v>35286.66667</v>
      </c>
      <c r="B2703" s="1">
        <f>IFERROR(__xludf.DUMMYFUNCTION("""COMPUTED_VALUE"""),662.45)</f>
        <v>662.45</v>
      </c>
      <c r="C2703" s="1">
        <f>IFERROR(__xludf.DUMMYFUNCTION("""COMPUTED_VALUE"""),665.37)</f>
        <v>665.37</v>
      </c>
      <c r="D2703" s="1">
        <f>IFERROR(__xludf.DUMMYFUNCTION("""COMPUTED_VALUE"""),660.31)</f>
        <v>660.31</v>
      </c>
      <c r="E2703" s="1">
        <f>IFERROR(__xludf.DUMMYFUNCTION("""COMPUTED_VALUE"""),662.1)</f>
        <v>662.1</v>
      </c>
      <c r="F2703" s="1">
        <f>IFERROR(__xludf.DUMMYFUNCTION("""COMPUTED_VALUE"""),5.11375E7)</f>
        <v>51137500</v>
      </c>
    </row>
    <row r="2704">
      <c r="A2704" s="2">
        <f>IFERROR(__xludf.DUMMYFUNCTION("""COMPUTED_VALUE"""),35289.666666666664)</f>
        <v>35289.66667</v>
      </c>
      <c r="B2704" s="1">
        <f>IFERROR(__xludf.DUMMYFUNCTION("""COMPUTED_VALUE"""),662.05)</f>
        <v>662.05</v>
      </c>
      <c r="C2704" s="1">
        <f>IFERROR(__xludf.DUMMYFUNCTION("""COMPUTED_VALUE"""),665.77)</f>
        <v>665.77</v>
      </c>
      <c r="D2704" s="1">
        <f>IFERROR(__xludf.DUMMYFUNCTION("""COMPUTED_VALUE"""),658.95)</f>
        <v>658.95</v>
      </c>
      <c r="E2704" s="1">
        <f>IFERROR(__xludf.DUMMYFUNCTION("""COMPUTED_VALUE"""),665.77)</f>
        <v>665.77</v>
      </c>
      <c r="F2704" s="1">
        <f>IFERROR(__xludf.DUMMYFUNCTION("""COMPUTED_VALUE"""),4.8776564E7)</f>
        <v>48776564</v>
      </c>
    </row>
    <row r="2705">
      <c r="A2705" s="2">
        <f>IFERROR(__xludf.DUMMYFUNCTION("""COMPUTED_VALUE"""),35290.666666666664)</f>
        <v>35290.66667</v>
      </c>
      <c r="B2705" s="1">
        <f>IFERROR(__xludf.DUMMYFUNCTION("""COMPUTED_VALUE"""),665.77)</f>
        <v>665.77</v>
      </c>
      <c r="C2705" s="1">
        <f>IFERROR(__xludf.DUMMYFUNCTION("""COMPUTED_VALUE"""),665.77)</f>
        <v>665.77</v>
      </c>
      <c r="D2705" s="1">
        <f>IFERROR(__xludf.DUMMYFUNCTION("""COMPUTED_VALUE"""),659.13)</f>
        <v>659.13</v>
      </c>
      <c r="E2705" s="1">
        <f>IFERROR(__xludf.DUMMYFUNCTION("""COMPUTED_VALUE"""),660.2)</f>
        <v>660.2</v>
      </c>
      <c r="F2705" s="1">
        <f>IFERROR(__xludf.DUMMYFUNCTION("""COMPUTED_VALUE"""),5.6635936E7)</f>
        <v>56635936</v>
      </c>
    </row>
    <row r="2706">
      <c r="A2706" s="2">
        <f>IFERROR(__xludf.DUMMYFUNCTION("""COMPUTED_VALUE"""),35291.666666666664)</f>
        <v>35291.66667</v>
      </c>
      <c r="B2706" s="1">
        <f>IFERROR(__xludf.DUMMYFUNCTION("""COMPUTED_VALUE"""),660.2)</f>
        <v>660.2</v>
      </c>
      <c r="C2706" s="1">
        <f>IFERROR(__xludf.DUMMYFUNCTION("""COMPUTED_VALUE"""),662.42)</f>
        <v>662.42</v>
      </c>
      <c r="D2706" s="1">
        <f>IFERROR(__xludf.DUMMYFUNCTION("""COMPUTED_VALUE"""),658.47)</f>
        <v>658.47</v>
      </c>
      <c r="E2706" s="1">
        <f>IFERROR(__xludf.DUMMYFUNCTION("""COMPUTED_VALUE"""),662.05)</f>
        <v>662.05</v>
      </c>
      <c r="F2706" s="1">
        <f>IFERROR(__xludf.DUMMYFUNCTION("""COMPUTED_VALUE"""),5.3665624E7)</f>
        <v>53665624</v>
      </c>
    </row>
    <row r="2707">
      <c r="A2707" s="2">
        <f>IFERROR(__xludf.DUMMYFUNCTION("""COMPUTED_VALUE"""),35292.666666666664)</f>
        <v>35292.66667</v>
      </c>
      <c r="B2707" s="1">
        <f>IFERROR(__xludf.DUMMYFUNCTION("""COMPUTED_VALUE"""),662.05)</f>
        <v>662.05</v>
      </c>
      <c r="C2707" s="1">
        <f>IFERROR(__xludf.DUMMYFUNCTION("""COMPUTED_VALUE"""),664.18)</f>
        <v>664.18</v>
      </c>
      <c r="D2707" s="1">
        <f>IFERROR(__xludf.DUMMYFUNCTION("""COMPUTED_VALUE"""),660.64)</f>
        <v>660.64</v>
      </c>
      <c r="E2707" s="1">
        <f>IFERROR(__xludf.DUMMYFUNCTION("""COMPUTED_VALUE"""),662.28)</f>
        <v>662.28</v>
      </c>
      <c r="F2707" s="1">
        <f>IFERROR(__xludf.DUMMYFUNCTION("""COMPUTED_VALUE"""),5.0617188E7)</f>
        <v>50617188</v>
      </c>
    </row>
    <row r="2708">
      <c r="A2708" s="2">
        <f>IFERROR(__xludf.DUMMYFUNCTION("""COMPUTED_VALUE"""),35293.666666666664)</f>
        <v>35293.66667</v>
      </c>
      <c r="B2708" s="1">
        <f>IFERROR(__xludf.DUMMYFUNCTION("""COMPUTED_VALUE"""),662.28)</f>
        <v>662.28</v>
      </c>
      <c r="C2708" s="1">
        <f>IFERROR(__xludf.DUMMYFUNCTION("""COMPUTED_VALUE"""),666.34)</f>
        <v>666.34</v>
      </c>
      <c r="D2708" s="1">
        <f>IFERROR(__xludf.DUMMYFUNCTION("""COMPUTED_VALUE"""),662.26)</f>
        <v>662.26</v>
      </c>
      <c r="E2708" s="1">
        <f>IFERROR(__xludf.DUMMYFUNCTION("""COMPUTED_VALUE"""),665.21)</f>
        <v>665.21</v>
      </c>
      <c r="F2708" s="1">
        <f>IFERROR(__xludf.DUMMYFUNCTION("""COMPUTED_VALUE"""),5.2757812E7)</f>
        <v>52757812</v>
      </c>
    </row>
    <row r="2709">
      <c r="A2709" s="2">
        <f>IFERROR(__xludf.DUMMYFUNCTION("""COMPUTED_VALUE"""),35296.666666666664)</f>
        <v>35296.66667</v>
      </c>
      <c r="B2709" s="1">
        <f>IFERROR(__xludf.DUMMYFUNCTION("""COMPUTED_VALUE"""),665.15)</f>
        <v>665.15</v>
      </c>
      <c r="C2709" s="1">
        <f>IFERROR(__xludf.DUMMYFUNCTION("""COMPUTED_VALUE"""),667.12)</f>
        <v>667.12</v>
      </c>
      <c r="D2709" s="1">
        <f>IFERROR(__xludf.DUMMYFUNCTION("""COMPUTED_VALUE"""),665.0)</f>
        <v>665</v>
      </c>
      <c r="E2709" s="1">
        <f>IFERROR(__xludf.DUMMYFUNCTION("""COMPUTED_VALUE"""),666.58)</f>
        <v>666.58</v>
      </c>
      <c r="F2709" s="1">
        <f>IFERROR(__xludf.DUMMYFUNCTION("""COMPUTED_VALUE"""),4.595E7)</f>
        <v>45950000</v>
      </c>
    </row>
    <row r="2710">
      <c r="A2710" s="2">
        <f>IFERROR(__xludf.DUMMYFUNCTION("""COMPUTED_VALUE"""),35297.666666666664)</f>
        <v>35297.66667</v>
      </c>
      <c r="B2710" s="1">
        <f>IFERROR(__xludf.DUMMYFUNCTION("""COMPUTED_VALUE"""),666.58)</f>
        <v>666.58</v>
      </c>
      <c r="C2710" s="1">
        <f>IFERROR(__xludf.DUMMYFUNCTION("""COMPUTED_VALUE"""),666.99)</f>
        <v>666.99</v>
      </c>
      <c r="D2710" s="1">
        <f>IFERROR(__xludf.DUMMYFUNCTION("""COMPUTED_VALUE"""),665.15)</f>
        <v>665.15</v>
      </c>
      <c r="E2710" s="1">
        <f>IFERROR(__xludf.DUMMYFUNCTION("""COMPUTED_VALUE"""),665.69)</f>
        <v>665.69</v>
      </c>
      <c r="F2710" s="1">
        <f>IFERROR(__xludf.DUMMYFUNCTION("""COMPUTED_VALUE"""),5.23375E7)</f>
        <v>52337500</v>
      </c>
    </row>
    <row r="2711">
      <c r="A2711" s="2">
        <f>IFERROR(__xludf.DUMMYFUNCTION("""COMPUTED_VALUE"""),35298.666666666664)</f>
        <v>35298.66667</v>
      </c>
      <c r="B2711" s="1">
        <f>IFERROR(__xludf.DUMMYFUNCTION("""COMPUTED_VALUE"""),665.69)</f>
        <v>665.69</v>
      </c>
      <c r="C2711" s="1">
        <f>IFERROR(__xludf.DUMMYFUNCTION("""COMPUTED_VALUE"""),665.69)</f>
        <v>665.69</v>
      </c>
      <c r="D2711" s="1">
        <f>IFERROR(__xludf.DUMMYFUNCTION("""COMPUTED_VALUE"""),662.16)</f>
        <v>662.16</v>
      </c>
      <c r="E2711" s="1">
        <f>IFERROR(__xludf.DUMMYFUNCTION("""COMPUTED_VALUE"""),665.07)</f>
        <v>665.07</v>
      </c>
      <c r="F2711" s="1">
        <f>IFERROR(__xludf.DUMMYFUNCTION("""COMPUTED_VALUE"""),5.4503124E7)</f>
        <v>54503124</v>
      </c>
    </row>
    <row r="2712">
      <c r="A2712" s="2">
        <f>IFERROR(__xludf.DUMMYFUNCTION("""COMPUTED_VALUE"""),35299.666666666664)</f>
        <v>35299.66667</v>
      </c>
      <c r="B2712" s="1">
        <f>IFERROR(__xludf.DUMMYFUNCTION("""COMPUTED_VALUE"""),665.07)</f>
        <v>665.07</v>
      </c>
      <c r="C2712" s="1">
        <f>IFERROR(__xludf.DUMMYFUNCTION("""COMPUTED_VALUE"""),670.68)</f>
        <v>670.68</v>
      </c>
      <c r="D2712" s="1">
        <f>IFERROR(__xludf.DUMMYFUNCTION("""COMPUTED_VALUE"""),664.88)</f>
        <v>664.88</v>
      </c>
      <c r="E2712" s="1">
        <f>IFERROR(__xludf.DUMMYFUNCTION("""COMPUTED_VALUE"""),670.68)</f>
        <v>670.68</v>
      </c>
      <c r="F2712" s="1">
        <f>IFERROR(__xludf.DUMMYFUNCTION("""COMPUTED_VALUE"""),5.5460936E7)</f>
        <v>55460936</v>
      </c>
    </row>
    <row r="2713">
      <c r="A2713" s="2">
        <f>IFERROR(__xludf.DUMMYFUNCTION("""COMPUTED_VALUE"""),35300.666666666664)</f>
        <v>35300.66667</v>
      </c>
      <c r="B2713" s="1">
        <f>IFERROR(__xludf.DUMMYFUNCTION("""COMPUTED_VALUE"""),670.68)</f>
        <v>670.68</v>
      </c>
      <c r="C2713" s="1">
        <f>IFERROR(__xludf.DUMMYFUNCTION("""COMPUTED_VALUE"""),670.68)</f>
        <v>670.68</v>
      </c>
      <c r="D2713" s="1">
        <f>IFERROR(__xludf.DUMMYFUNCTION("""COMPUTED_VALUE"""),664.93)</f>
        <v>664.93</v>
      </c>
      <c r="E2713" s="1">
        <f>IFERROR(__xludf.DUMMYFUNCTION("""COMPUTED_VALUE"""),667.03)</f>
        <v>667.03</v>
      </c>
      <c r="F2713" s="1">
        <f>IFERROR(__xludf.DUMMYFUNCTION("""COMPUTED_VALUE"""),4.8126564E7)</f>
        <v>48126564</v>
      </c>
    </row>
    <row r="2714">
      <c r="A2714" s="2">
        <f>IFERROR(__xludf.DUMMYFUNCTION("""COMPUTED_VALUE"""),35303.666666666664)</f>
        <v>35303.66667</v>
      </c>
      <c r="B2714" s="1">
        <f>IFERROR(__xludf.DUMMYFUNCTION("""COMPUTED_VALUE"""),667.03)</f>
        <v>667.03</v>
      </c>
      <c r="C2714" s="1">
        <f>IFERROR(__xludf.DUMMYFUNCTION("""COMPUTED_VALUE"""),667.03)</f>
        <v>667.03</v>
      </c>
      <c r="D2714" s="1">
        <f>IFERROR(__xludf.DUMMYFUNCTION("""COMPUTED_VALUE"""),662.36)</f>
        <v>662.36</v>
      </c>
      <c r="E2714" s="1">
        <f>IFERROR(__xludf.DUMMYFUNCTION("""COMPUTED_VALUE"""),663.88)</f>
        <v>663.88</v>
      </c>
      <c r="F2714" s="1">
        <f>IFERROR(__xludf.DUMMYFUNCTION("""COMPUTED_VALUE"""),4.3973436E7)</f>
        <v>43973436</v>
      </c>
    </row>
    <row r="2715">
      <c r="A2715" s="2">
        <f>IFERROR(__xludf.DUMMYFUNCTION("""COMPUTED_VALUE"""),35304.666666666664)</f>
        <v>35304.66667</v>
      </c>
      <c r="B2715" s="1">
        <f>IFERROR(__xludf.DUMMYFUNCTION("""COMPUTED_VALUE"""),663.89)</f>
        <v>663.89</v>
      </c>
      <c r="C2715" s="1">
        <f>IFERROR(__xludf.DUMMYFUNCTION("""COMPUTED_VALUE"""),666.4)</f>
        <v>666.4</v>
      </c>
      <c r="D2715" s="1">
        <f>IFERROR(__xludf.DUMMYFUNCTION("""COMPUTED_VALUE"""),663.5)</f>
        <v>663.5</v>
      </c>
      <c r="E2715" s="1">
        <f>IFERROR(__xludf.DUMMYFUNCTION("""COMPUTED_VALUE"""),666.4)</f>
        <v>666.4</v>
      </c>
      <c r="F2715" s="1">
        <f>IFERROR(__xludf.DUMMYFUNCTION("""COMPUTED_VALUE"""),4.8518752E7)</f>
        <v>48518752</v>
      </c>
    </row>
    <row r="2716">
      <c r="A2716" s="2">
        <f>IFERROR(__xludf.DUMMYFUNCTION("""COMPUTED_VALUE"""),35305.666666666664)</f>
        <v>35305.66667</v>
      </c>
      <c r="B2716" s="1">
        <f>IFERROR(__xludf.DUMMYFUNCTION("""COMPUTED_VALUE"""),666.4)</f>
        <v>666.4</v>
      </c>
      <c r="C2716" s="1">
        <f>IFERROR(__xludf.DUMMYFUNCTION("""COMPUTED_VALUE"""),667.41)</f>
        <v>667.41</v>
      </c>
      <c r="D2716" s="1">
        <f>IFERROR(__xludf.DUMMYFUNCTION("""COMPUTED_VALUE"""),664.39)</f>
        <v>664.39</v>
      </c>
      <c r="E2716" s="1">
        <f>IFERROR(__xludf.DUMMYFUNCTION("""COMPUTED_VALUE"""),664.81)</f>
        <v>664.81</v>
      </c>
      <c r="F2716" s="1">
        <f>IFERROR(__xludf.DUMMYFUNCTION("""COMPUTED_VALUE"""),4.6318752E7)</f>
        <v>46318752</v>
      </c>
    </row>
    <row r="2717">
      <c r="A2717" s="2">
        <f>IFERROR(__xludf.DUMMYFUNCTION("""COMPUTED_VALUE"""),35306.666666666664)</f>
        <v>35306.66667</v>
      </c>
      <c r="B2717" s="1">
        <f>IFERROR(__xludf.DUMMYFUNCTION("""COMPUTED_VALUE"""),664.81)</f>
        <v>664.81</v>
      </c>
      <c r="C2717" s="1">
        <f>IFERROR(__xludf.DUMMYFUNCTION("""COMPUTED_VALUE"""),664.81)</f>
        <v>664.81</v>
      </c>
      <c r="D2717" s="1">
        <f>IFERROR(__xludf.DUMMYFUNCTION("""COMPUTED_VALUE"""),655.35)</f>
        <v>655.35</v>
      </c>
      <c r="E2717" s="1">
        <f>IFERROR(__xludf.DUMMYFUNCTION("""COMPUTED_VALUE"""),657.4)</f>
        <v>657.4</v>
      </c>
      <c r="F2717" s="1">
        <f>IFERROR(__xludf.DUMMYFUNCTION("""COMPUTED_VALUE"""),5.0175E7)</f>
        <v>50175000</v>
      </c>
    </row>
    <row r="2718">
      <c r="A2718" s="2">
        <f>IFERROR(__xludf.DUMMYFUNCTION("""COMPUTED_VALUE"""),35307.666666666664)</f>
        <v>35307.66667</v>
      </c>
      <c r="B2718" s="1">
        <f>IFERROR(__xludf.DUMMYFUNCTION("""COMPUTED_VALUE"""),657.4)</f>
        <v>657.4</v>
      </c>
      <c r="C2718" s="1">
        <f>IFERROR(__xludf.DUMMYFUNCTION("""COMPUTED_VALUE"""),657.71)</f>
        <v>657.71</v>
      </c>
      <c r="D2718" s="1">
        <f>IFERROR(__xludf.DUMMYFUNCTION("""COMPUTED_VALUE"""),650.52)</f>
        <v>650.52</v>
      </c>
      <c r="E2718" s="1">
        <f>IFERROR(__xludf.DUMMYFUNCTION("""COMPUTED_VALUE"""),651.99)</f>
        <v>651.99</v>
      </c>
      <c r="F2718" s="1">
        <f>IFERROR(__xludf.DUMMYFUNCTION("""COMPUTED_VALUE"""),4.0371876E7)</f>
        <v>40371876</v>
      </c>
    </row>
    <row r="2719">
      <c r="A2719" s="2">
        <f>IFERROR(__xludf.DUMMYFUNCTION("""COMPUTED_VALUE"""),35311.666666666664)</f>
        <v>35311.66667</v>
      </c>
      <c r="B2719" s="1">
        <f>IFERROR(__xludf.DUMMYFUNCTION("""COMPUTED_VALUE"""),651.9)</f>
        <v>651.9</v>
      </c>
      <c r="C2719" s="1">
        <f>IFERROR(__xludf.DUMMYFUNCTION("""COMPUTED_VALUE"""),655.13)</f>
        <v>655.13</v>
      </c>
      <c r="D2719" s="1">
        <f>IFERROR(__xludf.DUMMYFUNCTION("""COMPUTED_VALUE"""),643.97)</f>
        <v>643.97</v>
      </c>
      <c r="E2719" s="1">
        <f>IFERROR(__xludf.DUMMYFUNCTION("""COMPUTED_VALUE"""),654.72)</f>
        <v>654.72</v>
      </c>
      <c r="F2719" s="1">
        <f>IFERROR(__xludf.DUMMYFUNCTION("""COMPUTED_VALUE"""),5.4021876E7)</f>
        <v>54021876</v>
      </c>
    </row>
    <row r="2720">
      <c r="A2720" s="2">
        <f>IFERROR(__xludf.DUMMYFUNCTION("""COMPUTED_VALUE"""),35312.666666666664)</f>
        <v>35312.66667</v>
      </c>
      <c r="B2720" s="1">
        <f>IFERROR(__xludf.DUMMYFUNCTION("""COMPUTED_VALUE"""),654.72)</f>
        <v>654.72</v>
      </c>
      <c r="C2720" s="1">
        <f>IFERROR(__xludf.DUMMYFUNCTION("""COMPUTED_VALUE"""),655.82)</f>
        <v>655.82</v>
      </c>
      <c r="D2720" s="1">
        <f>IFERROR(__xludf.DUMMYFUNCTION("""COMPUTED_VALUE"""),652.93)</f>
        <v>652.93</v>
      </c>
      <c r="E2720" s="1">
        <f>IFERROR(__xludf.DUMMYFUNCTION("""COMPUTED_VALUE"""),655.61)</f>
        <v>655.61</v>
      </c>
      <c r="F2720" s="1">
        <f>IFERROR(__xludf.DUMMYFUNCTION("""COMPUTED_VALUE"""),5.4889064E7)</f>
        <v>54889064</v>
      </c>
    </row>
    <row r="2721">
      <c r="A2721" s="2">
        <f>IFERROR(__xludf.DUMMYFUNCTION("""COMPUTED_VALUE"""),35313.666666666664)</f>
        <v>35313.66667</v>
      </c>
      <c r="B2721" s="1">
        <f>IFERROR(__xludf.DUMMYFUNCTION("""COMPUTED_VALUE"""),655.61)</f>
        <v>655.61</v>
      </c>
      <c r="C2721" s="1">
        <f>IFERROR(__xludf.DUMMYFUNCTION("""COMPUTED_VALUE"""),655.61)</f>
        <v>655.61</v>
      </c>
      <c r="D2721" s="1">
        <f>IFERROR(__xludf.DUMMYFUNCTION("""COMPUTED_VALUE"""),648.89)</f>
        <v>648.89</v>
      </c>
      <c r="E2721" s="1">
        <f>IFERROR(__xludf.DUMMYFUNCTION("""COMPUTED_VALUE"""),649.44)</f>
        <v>649.44</v>
      </c>
      <c r="F2721" s="1">
        <f>IFERROR(__xludf.DUMMYFUNCTION("""COMPUTED_VALUE"""),5.6473436E7)</f>
        <v>56473436</v>
      </c>
    </row>
    <row r="2722">
      <c r="A2722" s="2">
        <f>IFERROR(__xludf.DUMMYFUNCTION("""COMPUTED_VALUE"""),35314.666666666664)</f>
        <v>35314.66667</v>
      </c>
      <c r="B2722" s="1">
        <f>IFERROR(__xludf.DUMMYFUNCTION("""COMPUTED_VALUE"""),649.44)</f>
        <v>649.44</v>
      </c>
      <c r="C2722" s="1">
        <f>IFERROR(__xludf.DUMMYFUNCTION("""COMPUTED_VALUE"""),658.21)</f>
        <v>658.21</v>
      </c>
      <c r="D2722" s="1">
        <f>IFERROR(__xludf.DUMMYFUNCTION("""COMPUTED_VALUE"""),649.44)</f>
        <v>649.44</v>
      </c>
      <c r="E2722" s="1">
        <f>IFERROR(__xludf.DUMMYFUNCTION("""COMPUTED_VALUE"""),655.68)</f>
        <v>655.68</v>
      </c>
      <c r="F2722" s="1">
        <f>IFERROR(__xludf.DUMMYFUNCTION("""COMPUTED_VALUE"""),5.4485936E7)</f>
        <v>54485936</v>
      </c>
    </row>
    <row r="2723">
      <c r="A2723" s="2">
        <f>IFERROR(__xludf.DUMMYFUNCTION("""COMPUTED_VALUE"""),35317.666666666664)</f>
        <v>35317.66667</v>
      </c>
      <c r="B2723" s="1">
        <f>IFERROR(__xludf.DUMMYFUNCTION("""COMPUTED_VALUE"""),655.7)</f>
        <v>655.7</v>
      </c>
      <c r="C2723" s="1">
        <f>IFERROR(__xludf.DUMMYFUNCTION("""COMPUTED_VALUE"""),663.77)</f>
        <v>663.77</v>
      </c>
      <c r="D2723" s="1">
        <f>IFERROR(__xludf.DUMMYFUNCTION("""COMPUTED_VALUE"""),655.7)</f>
        <v>655.7</v>
      </c>
      <c r="E2723" s="1">
        <f>IFERROR(__xludf.DUMMYFUNCTION("""COMPUTED_VALUE"""),663.76)</f>
        <v>663.76</v>
      </c>
      <c r="F2723" s="1">
        <f>IFERROR(__xludf.DUMMYFUNCTION("""COMPUTED_VALUE"""),4.8676564E7)</f>
        <v>48676564</v>
      </c>
    </row>
    <row r="2724">
      <c r="A2724" s="2">
        <f>IFERROR(__xludf.DUMMYFUNCTION("""COMPUTED_VALUE"""),35318.666666666664)</f>
        <v>35318.66667</v>
      </c>
      <c r="B2724" s="1">
        <f>IFERROR(__xludf.DUMMYFUNCTION("""COMPUTED_VALUE"""),663.76)</f>
        <v>663.76</v>
      </c>
      <c r="C2724" s="1">
        <f>IFERROR(__xludf.DUMMYFUNCTION("""COMPUTED_VALUE"""),665.57)</f>
        <v>665.57</v>
      </c>
      <c r="D2724" s="1">
        <f>IFERROR(__xludf.DUMMYFUNCTION("""COMPUTED_VALUE"""),661.55)</f>
        <v>661.55</v>
      </c>
      <c r="E2724" s="1">
        <f>IFERROR(__xludf.DUMMYFUNCTION("""COMPUTED_VALUE"""),663.81)</f>
        <v>663.81</v>
      </c>
      <c r="F2724" s="1">
        <f>IFERROR(__xludf.DUMMYFUNCTION("""COMPUTED_VALUE"""),5.8275E7)</f>
        <v>58275000</v>
      </c>
    </row>
    <row r="2725">
      <c r="A2725" s="2">
        <f>IFERROR(__xludf.DUMMYFUNCTION("""COMPUTED_VALUE"""),35319.666666666664)</f>
        <v>35319.66667</v>
      </c>
      <c r="B2725" s="1">
        <f>IFERROR(__xludf.DUMMYFUNCTION("""COMPUTED_VALUE"""),663.65)</f>
        <v>663.65</v>
      </c>
      <c r="C2725" s="1">
        <f>IFERROR(__xludf.DUMMYFUNCTION("""COMPUTED_VALUE"""),667.73)</f>
        <v>667.73</v>
      </c>
      <c r="D2725" s="1">
        <f>IFERROR(__xludf.DUMMYFUNCTION("""COMPUTED_VALUE"""),661.79)</f>
        <v>661.79</v>
      </c>
      <c r="E2725" s="1">
        <f>IFERROR(__xludf.DUMMYFUNCTION("""COMPUTED_VALUE"""),667.28)</f>
        <v>667.28</v>
      </c>
      <c r="F2725" s="1">
        <f>IFERROR(__xludf.DUMMYFUNCTION("""COMPUTED_VALUE"""),5.88875E7)</f>
        <v>58887500</v>
      </c>
    </row>
    <row r="2726">
      <c r="A2726" s="2">
        <f>IFERROR(__xludf.DUMMYFUNCTION("""COMPUTED_VALUE"""),35320.666666666664)</f>
        <v>35320.66667</v>
      </c>
      <c r="B2726" s="1">
        <f>IFERROR(__xludf.DUMMYFUNCTION("""COMPUTED_VALUE"""),667.34)</f>
        <v>667.34</v>
      </c>
      <c r="C2726" s="1">
        <f>IFERROR(__xludf.DUMMYFUNCTION("""COMPUTED_VALUE"""),673.07)</f>
        <v>673.07</v>
      </c>
      <c r="D2726" s="1">
        <f>IFERROR(__xludf.DUMMYFUNCTION("""COMPUTED_VALUE"""),667.34)</f>
        <v>667.34</v>
      </c>
      <c r="E2726" s="1">
        <f>IFERROR(__xludf.DUMMYFUNCTION("""COMPUTED_VALUE"""),671.13)</f>
        <v>671.13</v>
      </c>
      <c r="F2726" s="1">
        <f>IFERROR(__xludf.DUMMYFUNCTION("""COMPUTED_VALUE"""),6.2315624E7)</f>
        <v>62315624</v>
      </c>
    </row>
    <row r="2727">
      <c r="A2727" s="2">
        <f>IFERROR(__xludf.DUMMYFUNCTION("""COMPUTED_VALUE"""),35321.666666666664)</f>
        <v>35321.66667</v>
      </c>
      <c r="B2727" s="1">
        <f>IFERROR(__xludf.DUMMYFUNCTION("""COMPUTED_VALUE"""),671.15)</f>
        <v>671.15</v>
      </c>
      <c r="C2727" s="1">
        <f>IFERROR(__xludf.DUMMYFUNCTION("""COMPUTED_VALUE"""),681.39)</f>
        <v>681.39</v>
      </c>
      <c r="D2727" s="1">
        <f>IFERROR(__xludf.DUMMYFUNCTION("""COMPUTED_VALUE"""),671.15)</f>
        <v>671.15</v>
      </c>
      <c r="E2727" s="1">
        <f>IFERROR(__xludf.DUMMYFUNCTION("""COMPUTED_VALUE"""),680.54)</f>
        <v>680.54</v>
      </c>
      <c r="F2727" s="1">
        <f>IFERROR(__xludf.DUMMYFUNCTION("""COMPUTED_VALUE"""),7.6306248E7)</f>
        <v>76306248</v>
      </c>
    </row>
    <row r="2728">
      <c r="A2728" s="2">
        <f>IFERROR(__xludf.DUMMYFUNCTION("""COMPUTED_VALUE"""),35324.666666666664)</f>
        <v>35324.66667</v>
      </c>
      <c r="B2728" s="1">
        <f>IFERROR(__xludf.DUMMYFUNCTION("""COMPUTED_VALUE"""),680.54)</f>
        <v>680.54</v>
      </c>
      <c r="C2728" s="1">
        <f>IFERROR(__xludf.DUMMYFUNCTION("""COMPUTED_VALUE"""),686.48)</f>
        <v>686.48</v>
      </c>
      <c r="D2728" s="1">
        <f>IFERROR(__xludf.DUMMYFUNCTION("""COMPUTED_VALUE"""),680.53)</f>
        <v>680.53</v>
      </c>
      <c r="E2728" s="1">
        <f>IFERROR(__xludf.DUMMYFUNCTION("""COMPUTED_VALUE"""),683.98)</f>
        <v>683.98</v>
      </c>
      <c r="F2728" s="1">
        <f>IFERROR(__xludf.DUMMYFUNCTION("""COMPUTED_VALUE"""),6.72E7)</f>
        <v>67200000</v>
      </c>
    </row>
    <row r="2729">
      <c r="A2729" s="2">
        <f>IFERROR(__xludf.DUMMYFUNCTION("""COMPUTED_VALUE"""),35325.666666666664)</f>
        <v>35325.66667</v>
      </c>
      <c r="B2729" s="1">
        <f>IFERROR(__xludf.DUMMYFUNCTION("""COMPUTED_VALUE"""),683.98)</f>
        <v>683.98</v>
      </c>
      <c r="C2729" s="1">
        <f>IFERROR(__xludf.DUMMYFUNCTION("""COMPUTED_VALUE"""),685.8)</f>
        <v>685.8</v>
      </c>
      <c r="D2729" s="1">
        <f>IFERROR(__xludf.DUMMYFUNCTION("""COMPUTED_VALUE"""),679.96)</f>
        <v>679.96</v>
      </c>
      <c r="E2729" s="1">
        <f>IFERROR(__xludf.DUMMYFUNCTION("""COMPUTED_VALUE"""),682.94)</f>
        <v>682.94</v>
      </c>
      <c r="F2729" s="1">
        <f>IFERROR(__xludf.DUMMYFUNCTION("""COMPUTED_VALUE"""),7.0289064E7)</f>
        <v>70289064</v>
      </c>
    </row>
    <row r="2730">
      <c r="A2730" s="2">
        <f>IFERROR(__xludf.DUMMYFUNCTION("""COMPUTED_VALUE"""),35326.666666666664)</f>
        <v>35326.66667</v>
      </c>
      <c r="B2730" s="1">
        <f>IFERROR(__xludf.DUMMYFUNCTION("""COMPUTED_VALUE"""),682.94)</f>
        <v>682.94</v>
      </c>
      <c r="C2730" s="1">
        <f>IFERROR(__xludf.DUMMYFUNCTION("""COMPUTED_VALUE"""),683.77)</f>
        <v>683.77</v>
      </c>
      <c r="D2730" s="1">
        <f>IFERROR(__xludf.DUMMYFUNCTION("""COMPUTED_VALUE"""),679.75)</f>
        <v>679.75</v>
      </c>
      <c r="E2730" s="1">
        <f>IFERROR(__xludf.DUMMYFUNCTION("""COMPUTED_VALUE"""),681.47)</f>
        <v>681.47</v>
      </c>
      <c r="F2730" s="1">
        <f>IFERROR(__xludf.DUMMYFUNCTION("""COMPUTED_VALUE"""),6.1968752E7)</f>
        <v>61968752</v>
      </c>
    </row>
    <row r="2731">
      <c r="A2731" s="2">
        <f>IFERROR(__xludf.DUMMYFUNCTION("""COMPUTED_VALUE"""),35327.666666666664)</f>
        <v>35327.66667</v>
      </c>
      <c r="B2731" s="1">
        <f>IFERROR(__xludf.DUMMYFUNCTION("""COMPUTED_VALUE"""),681.47)</f>
        <v>681.47</v>
      </c>
      <c r="C2731" s="1">
        <f>IFERROR(__xludf.DUMMYFUNCTION("""COMPUTED_VALUE"""),684.07)</f>
        <v>684.07</v>
      </c>
      <c r="D2731" s="1">
        <f>IFERROR(__xludf.DUMMYFUNCTION("""COMPUTED_VALUE"""),679.06)</f>
        <v>679.06</v>
      </c>
      <c r="E2731" s="1">
        <f>IFERROR(__xludf.DUMMYFUNCTION("""COMPUTED_VALUE"""),683.0)</f>
        <v>683</v>
      </c>
      <c r="F2731" s="1">
        <f>IFERROR(__xludf.DUMMYFUNCTION("""COMPUTED_VALUE"""),6.2278124E7)</f>
        <v>62278124</v>
      </c>
    </row>
    <row r="2732">
      <c r="A2732" s="2">
        <f>IFERROR(__xludf.DUMMYFUNCTION("""COMPUTED_VALUE"""),35328.666666666664)</f>
        <v>35328.66667</v>
      </c>
      <c r="B2732" s="1">
        <f>IFERROR(__xludf.DUMMYFUNCTION("""COMPUTED_VALUE"""),683.0)</f>
        <v>683</v>
      </c>
      <c r="C2732" s="1">
        <f>IFERROR(__xludf.DUMMYFUNCTION("""COMPUTED_VALUE"""),687.07)</f>
        <v>687.07</v>
      </c>
      <c r="D2732" s="1">
        <f>IFERROR(__xludf.DUMMYFUNCTION("""COMPUTED_VALUE"""),683.0)</f>
        <v>683</v>
      </c>
      <c r="E2732" s="1">
        <f>IFERROR(__xludf.DUMMYFUNCTION("""COMPUTED_VALUE"""),687.03)</f>
        <v>687.03</v>
      </c>
      <c r="F2732" s="1">
        <f>IFERROR(__xludf.DUMMYFUNCTION("""COMPUTED_VALUE"""),8.1159376E7)</f>
        <v>81159376</v>
      </c>
    </row>
    <row r="2733">
      <c r="A2733" s="2">
        <f>IFERROR(__xludf.DUMMYFUNCTION("""COMPUTED_VALUE"""),35331.666666666664)</f>
        <v>35331.66667</v>
      </c>
      <c r="B2733" s="1">
        <f>IFERROR(__xludf.DUMMYFUNCTION("""COMPUTED_VALUE"""),687.03)</f>
        <v>687.03</v>
      </c>
      <c r="C2733" s="1">
        <f>IFERROR(__xludf.DUMMYFUNCTION("""COMPUTED_VALUE"""),687.03)</f>
        <v>687.03</v>
      </c>
      <c r="D2733" s="1">
        <f>IFERROR(__xludf.DUMMYFUNCTION("""COMPUTED_VALUE"""),681.01)</f>
        <v>681.01</v>
      </c>
      <c r="E2733" s="1">
        <f>IFERROR(__xludf.DUMMYFUNCTION("""COMPUTED_VALUE"""),686.48)</f>
        <v>686.48</v>
      </c>
      <c r="F2733" s="1">
        <f>IFERROR(__xludf.DUMMYFUNCTION("""COMPUTED_VALUE"""),4.6525E7)</f>
        <v>46525000</v>
      </c>
    </row>
    <row r="2734">
      <c r="A2734" s="2">
        <f>IFERROR(__xludf.DUMMYFUNCTION("""COMPUTED_VALUE"""),35332.666666666664)</f>
        <v>35332.66667</v>
      </c>
      <c r="B2734" s="1">
        <f>IFERROR(__xludf.DUMMYFUNCTION("""COMPUTED_VALUE"""),686.48)</f>
        <v>686.48</v>
      </c>
      <c r="C2734" s="1">
        <f>IFERROR(__xludf.DUMMYFUNCTION("""COMPUTED_VALUE"""),690.88)</f>
        <v>690.88</v>
      </c>
      <c r="D2734" s="1">
        <f>IFERROR(__xludf.DUMMYFUNCTION("""COMPUTED_VALUE"""),683.72)</f>
        <v>683.72</v>
      </c>
      <c r="E2734" s="1">
        <f>IFERROR(__xludf.DUMMYFUNCTION("""COMPUTED_VALUE"""),685.61)</f>
        <v>685.61</v>
      </c>
      <c r="F2734" s="1">
        <f>IFERROR(__xludf.DUMMYFUNCTION("""COMPUTED_VALUE"""),7.189844E7)</f>
        <v>71898440</v>
      </c>
    </row>
    <row r="2735">
      <c r="A2735" s="2">
        <f>IFERROR(__xludf.DUMMYFUNCTION("""COMPUTED_VALUE"""),35333.666666666664)</f>
        <v>35333.66667</v>
      </c>
      <c r="B2735" s="1">
        <f>IFERROR(__xludf.DUMMYFUNCTION("""COMPUTED_VALUE"""),685.61)</f>
        <v>685.61</v>
      </c>
      <c r="C2735" s="1">
        <f>IFERROR(__xludf.DUMMYFUNCTION("""COMPUTED_VALUE"""),688.26)</f>
        <v>688.26</v>
      </c>
      <c r="D2735" s="1">
        <f>IFERROR(__xludf.DUMMYFUNCTION("""COMPUTED_VALUE"""),684.92)</f>
        <v>684.92</v>
      </c>
      <c r="E2735" s="1">
        <f>IFERROR(__xludf.DUMMYFUNCTION("""COMPUTED_VALUE"""),685.83)</f>
        <v>685.83</v>
      </c>
      <c r="F2735" s="1">
        <f>IFERROR(__xludf.DUMMYFUNCTION("""COMPUTED_VALUE"""),7.0579688E7)</f>
        <v>70579688</v>
      </c>
    </row>
    <row r="2736">
      <c r="A2736" s="2">
        <f>IFERROR(__xludf.DUMMYFUNCTION("""COMPUTED_VALUE"""),35334.666666666664)</f>
        <v>35334.66667</v>
      </c>
      <c r="B2736" s="1">
        <f>IFERROR(__xludf.DUMMYFUNCTION("""COMPUTED_VALUE"""),685.9)</f>
        <v>685.9</v>
      </c>
      <c r="C2736" s="1">
        <f>IFERROR(__xludf.DUMMYFUNCTION("""COMPUTED_VALUE"""),690.15)</f>
        <v>690.15</v>
      </c>
      <c r="D2736" s="1">
        <f>IFERROR(__xludf.DUMMYFUNCTION("""COMPUTED_VALUE"""),683.77)</f>
        <v>683.77</v>
      </c>
      <c r="E2736" s="1">
        <f>IFERROR(__xludf.DUMMYFUNCTION("""COMPUTED_VALUE"""),685.86)</f>
        <v>685.86</v>
      </c>
      <c r="F2736" s="1">
        <f>IFERROR(__xludf.DUMMYFUNCTION("""COMPUTED_VALUE"""),7.8260936E7)</f>
        <v>78260936</v>
      </c>
    </row>
    <row r="2737">
      <c r="A2737" s="2">
        <f>IFERROR(__xludf.DUMMYFUNCTION("""COMPUTED_VALUE"""),35335.666666666664)</f>
        <v>35335.66667</v>
      </c>
      <c r="B2737" s="1">
        <f>IFERROR(__xludf.DUMMYFUNCTION("""COMPUTED_VALUE"""),685.91)</f>
        <v>685.91</v>
      </c>
      <c r="C2737" s="1">
        <f>IFERROR(__xludf.DUMMYFUNCTION("""COMPUTED_VALUE"""),687.11)</f>
        <v>687.11</v>
      </c>
      <c r="D2737" s="1">
        <f>IFERROR(__xludf.DUMMYFUNCTION("""COMPUTED_VALUE"""),683.73)</f>
        <v>683.73</v>
      </c>
      <c r="E2737" s="1">
        <f>IFERROR(__xludf.DUMMYFUNCTION("""COMPUTED_VALUE"""),686.19)</f>
        <v>686.19</v>
      </c>
      <c r="F2737" s="1">
        <f>IFERROR(__xludf.DUMMYFUNCTION("""COMPUTED_VALUE"""),6.4806248E7)</f>
        <v>64806248</v>
      </c>
    </row>
    <row r="2738">
      <c r="A2738" s="2">
        <f>IFERROR(__xludf.DUMMYFUNCTION("""COMPUTED_VALUE"""),35338.666666666664)</f>
        <v>35338.66667</v>
      </c>
      <c r="B2738" s="1">
        <f>IFERROR(__xludf.DUMMYFUNCTION("""COMPUTED_VALUE"""),686.19)</f>
        <v>686.19</v>
      </c>
      <c r="C2738" s="1">
        <f>IFERROR(__xludf.DUMMYFUNCTION("""COMPUTED_VALUE"""),690.11)</f>
        <v>690.11</v>
      </c>
      <c r="D2738" s="1">
        <f>IFERROR(__xludf.DUMMYFUNCTION("""COMPUTED_VALUE"""),686.03)</f>
        <v>686.03</v>
      </c>
      <c r="E2738" s="1">
        <f>IFERROR(__xludf.DUMMYFUNCTION("""COMPUTED_VALUE"""),687.31)</f>
        <v>687.31</v>
      </c>
      <c r="F2738" s="1">
        <f>IFERROR(__xludf.DUMMYFUNCTION("""COMPUTED_VALUE"""),6.0714064E7)</f>
        <v>60714064</v>
      </c>
    </row>
    <row r="2739">
      <c r="A2739" s="2">
        <f>IFERROR(__xludf.DUMMYFUNCTION("""COMPUTED_VALUE"""),35339.666666666664)</f>
        <v>35339.66667</v>
      </c>
      <c r="B2739" s="1">
        <f>IFERROR(__xludf.DUMMYFUNCTION("""COMPUTED_VALUE"""),687.31)</f>
        <v>687.31</v>
      </c>
      <c r="C2739" s="1">
        <f>IFERROR(__xludf.DUMMYFUNCTION("""COMPUTED_VALUE"""),691.43)</f>
        <v>691.43</v>
      </c>
      <c r="D2739" s="1">
        <f>IFERROR(__xludf.DUMMYFUNCTION("""COMPUTED_VALUE"""),684.44)</f>
        <v>684.44</v>
      </c>
      <c r="E2739" s="1">
        <f>IFERROR(__xludf.DUMMYFUNCTION("""COMPUTED_VALUE"""),689.08)</f>
        <v>689.08</v>
      </c>
      <c r="F2739" s="1">
        <f>IFERROR(__xludf.DUMMYFUNCTION("""COMPUTED_VALUE"""),6.5867188E7)</f>
        <v>65867188</v>
      </c>
    </row>
    <row r="2740">
      <c r="A2740" s="2">
        <f>IFERROR(__xludf.DUMMYFUNCTION("""COMPUTED_VALUE"""),35340.666666666664)</f>
        <v>35340.66667</v>
      </c>
      <c r="B2740" s="1">
        <f>IFERROR(__xludf.DUMMYFUNCTION("""COMPUTED_VALUE"""),689.15)</f>
        <v>689.15</v>
      </c>
      <c r="C2740" s="1">
        <f>IFERROR(__xludf.DUMMYFUNCTION("""COMPUTED_VALUE"""),694.82)</f>
        <v>694.82</v>
      </c>
      <c r="D2740" s="1">
        <f>IFERROR(__xludf.DUMMYFUNCTION("""COMPUTED_VALUE"""),689.15)</f>
        <v>689.15</v>
      </c>
      <c r="E2740" s="1">
        <f>IFERROR(__xludf.DUMMYFUNCTION("""COMPUTED_VALUE"""),694.01)</f>
        <v>694.01</v>
      </c>
      <c r="F2740" s="1">
        <f>IFERROR(__xludf.DUMMYFUNCTION("""COMPUTED_VALUE"""),6.8770312E7)</f>
        <v>68770312</v>
      </c>
    </row>
    <row r="2741">
      <c r="A2741" s="2">
        <f>IFERROR(__xludf.DUMMYFUNCTION("""COMPUTED_VALUE"""),35341.666666666664)</f>
        <v>35341.66667</v>
      </c>
      <c r="B2741" s="1">
        <f>IFERROR(__xludf.DUMMYFUNCTION("""COMPUTED_VALUE"""),694.06)</f>
        <v>694.06</v>
      </c>
      <c r="C2741" s="1">
        <f>IFERROR(__xludf.DUMMYFUNCTION("""COMPUTED_VALUE"""),694.81)</f>
        <v>694.81</v>
      </c>
      <c r="D2741" s="1">
        <f>IFERROR(__xludf.DUMMYFUNCTION("""COMPUTED_VALUE"""),691.78)</f>
        <v>691.78</v>
      </c>
      <c r="E2741" s="1">
        <f>IFERROR(__xludf.DUMMYFUNCTION("""COMPUTED_VALUE"""),692.78)</f>
        <v>692.78</v>
      </c>
      <c r="F2741" s="1">
        <f>IFERROR(__xludf.DUMMYFUNCTION("""COMPUTED_VALUE"""),6.0390624E7)</f>
        <v>60390624</v>
      </c>
    </row>
    <row r="2742">
      <c r="A2742" s="2">
        <f>IFERROR(__xludf.DUMMYFUNCTION("""COMPUTED_VALUE"""),35342.666666666664)</f>
        <v>35342.66667</v>
      </c>
      <c r="B2742" s="1">
        <f>IFERROR(__xludf.DUMMYFUNCTION("""COMPUTED_VALUE"""),692.78)</f>
        <v>692.78</v>
      </c>
      <c r="C2742" s="1">
        <f>IFERROR(__xludf.DUMMYFUNCTION("""COMPUTED_VALUE"""),701.74)</f>
        <v>701.74</v>
      </c>
      <c r="D2742" s="1">
        <f>IFERROR(__xludf.DUMMYFUNCTION("""COMPUTED_VALUE"""),692.78)</f>
        <v>692.78</v>
      </c>
      <c r="E2742" s="1">
        <f>IFERROR(__xludf.DUMMYFUNCTION("""COMPUTED_VALUE"""),701.46)</f>
        <v>701.46</v>
      </c>
      <c r="F2742" s="1">
        <f>IFERROR(__xludf.DUMMYFUNCTION("""COMPUTED_VALUE"""),7.2490624E7)</f>
        <v>72490624</v>
      </c>
    </row>
    <row r="2743">
      <c r="A2743" s="2">
        <f>IFERROR(__xludf.DUMMYFUNCTION("""COMPUTED_VALUE"""),35345.666666666664)</f>
        <v>35345.66667</v>
      </c>
      <c r="B2743" s="1">
        <f>IFERROR(__xludf.DUMMYFUNCTION("""COMPUTED_VALUE"""),701.46)</f>
        <v>701.46</v>
      </c>
      <c r="C2743" s="1">
        <f>IFERROR(__xludf.DUMMYFUNCTION("""COMPUTED_VALUE"""),704.17)</f>
        <v>704.17</v>
      </c>
      <c r="D2743" s="1">
        <f>IFERROR(__xludf.DUMMYFUNCTION("""COMPUTED_VALUE"""),701.39)</f>
        <v>701.39</v>
      </c>
      <c r="E2743" s="1">
        <f>IFERROR(__xludf.DUMMYFUNCTION("""COMPUTED_VALUE"""),703.34)</f>
        <v>703.34</v>
      </c>
      <c r="F2743" s="1">
        <f>IFERROR(__xludf.DUMMYFUNCTION("""COMPUTED_VALUE"""),5.9492188E7)</f>
        <v>59492188</v>
      </c>
    </row>
    <row r="2744">
      <c r="A2744" s="2">
        <f>IFERROR(__xludf.DUMMYFUNCTION("""COMPUTED_VALUE"""),35346.666666666664)</f>
        <v>35346.66667</v>
      </c>
      <c r="B2744" s="1">
        <f>IFERROR(__xludf.DUMMYFUNCTION("""COMPUTED_VALUE"""),703.35)</f>
        <v>703.35</v>
      </c>
      <c r="C2744" s="1">
        <f>IFERROR(__xludf.DUMMYFUNCTION("""COMPUTED_VALUE"""),705.76)</f>
        <v>705.76</v>
      </c>
      <c r="D2744" s="1">
        <f>IFERROR(__xludf.DUMMYFUNCTION("""COMPUTED_VALUE"""),699.88)</f>
        <v>699.88</v>
      </c>
      <c r="E2744" s="1">
        <f>IFERROR(__xludf.DUMMYFUNCTION("""COMPUTED_VALUE"""),700.64)</f>
        <v>700.64</v>
      </c>
      <c r="F2744" s="1">
        <f>IFERROR(__xludf.DUMMYFUNCTION("""COMPUTED_VALUE"""),6.7979688E7)</f>
        <v>67979688</v>
      </c>
    </row>
    <row r="2745">
      <c r="A2745" s="2">
        <f>IFERROR(__xludf.DUMMYFUNCTION("""COMPUTED_VALUE"""),35347.666666666664)</f>
        <v>35347.66667</v>
      </c>
      <c r="B2745" s="1">
        <f>IFERROR(__xludf.DUMMYFUNCTION("""COMPUTED_VALUE"""),700.64)</f>
        <v>700.64</v>
      </c>
      <c r="C2745" s="1">
        <f>IFERROR(__xludf.DUMMYFUNCTION("""COMPUTED_VALUE"""),702.36)</f>
        <v>702.36</v>
      </c>
      <c r="D2745" s="1">
        <f>IFERROR(__xludf.DUMMYFUNCTION("""COMPUTED_VALUE"""),694.42)</f>
        <v>694.42</v>
      </c>
      <c r="E2745" s="1">
        <f>IFERROR(__xludf.DUMMYFUNCTION("""COMPUTED_VALUE"""),696.74)</f>
        <v>696.74</v>
      </c>
      <c r="F2745" s="1">
        <f>IFERROR(__xludf.DUMMYFUNCTION("""COMPUTED_VALUE"""),6.3820312E7)</f>
        <v>63820312</v>
      </c>
    </row>
    <row r="2746">
      <c r="A2746" s="2">
        <f>IFERROR(__xludf.DUMMYFUNCTION("""COMPUTED_VALUE"""),35348.666666666664)</f>
        <v>35348.66667</v>
      </c>
      <c r="B2746" s="1">
        <f>IFERROR(__xludf.DUMMYFUNCTION("""COMPUTED_VALUE"""),696.74)</f>
        <v>696.74</v>
      </c>
      <c r="C2746" s="1">
        <f>IFERROR(__xludf.DUMMYFUNCTION("""COMPUTED_VALUE"""),696.82)</f>
        <v>696.82</v>
      </c>
      <c r="D2746" s="1">
        <f>IFERROR(__xludf.DUMMYFUNCTION("""COMPUTED_VALUE"""),693.34)</f>
        <v>693.34</v>
      </c>
      <c r="E2746" s="1">
        <f>IFERROR(__xludf.DUMMYFUNCTION("""COMPUTED_VALUE"""),694.61)</f>
        <v>694.61</v>
      </c>
      <c r="F2746" s="1">
        <f>IFERROR(__xludf.DUMMYFUNCTION("""COMPUTED_VALUE"""),6.1710936E7)</f>
        <v>61710936</v>
      </c>
    </row>
    <row r="2747">
      <c r="A2747" s="2">
        <f>IFERROR(__xludf.DUMMYFUNCTION("""COMPUTED_VALUE"""),35349.666666666664)</f>
        <v>35349.66667</v>
      </c>
      <c r="B2747" s="1">
        <f>IFERROR(__xludf.DUMMYFUNCTION("""COMPUTED_VALUE"""),694.61)</f>
        <v>694.61</v>
      </c>
      <c r="C2747" s="1">
        <f>IFERROR(__xludf.DUMMYFUNCTION("""COMPUTED_VALUE"""),700.67)</f>
        <v>700.67</v>
      </c>
      <c r="D2747" s="1">
        <f>IFERROR(__xludf.DUMMYFUNCTION("""COMPUTED_VALUE"""),694.61)</f>
        <v>694.61</v>
      </c>
      <c r="E2747" s="1">
        <f>IFERROR(__xludf.DUMMYFUNCTION("""COMPUTED_VALUE"""),700.66)</f>
        <v>700.66</v>
      </c>
      <c r="F2747" s="1">
        <f>IFERROR(__xludf.DUMMYFUNCTION("""COMPUTED_VALUE"""),6.1882812E7)</f>
        <v>61882812</v>
      </c>
    </row>
    <row r="2748">
      <c r="A2748" s="2">
        <f>IFERROR(__xludf.DUMMYFUNCTION("""COMPUTED_VALUE"""),35352.666666666664)</f>
        <v>35352.66667</v>
      </c>
      <c r="B2748" s="1">
        <f>IFERROR(__xludf.DUMMYFUNCTION("""COMPUTED_VALUE"""),700.66)</f>
        <v>700.66</v>
      </c>
      <c r="C2748" s="1">
        <f>IFERROR(__xludf.DUMMYFUNCTION("""COMPUTED_VALUE"""),705.16)</f>
        <v>705.16</v>
      </c>
      <c r="D2748" s="1">
        <f>IFERROR(__xludf.DUMMYFUNCTION("""COMPUTED_VALUE"""),700.66)</f>
        <v>700.66</v>
      </c>
      <c r="E2748" s="1">
        <f>IFERROR(__xludf.DUMMYFUNCTION("""COMPUTED_VALUE"""),703.54)</f>
        <v>703.54</v>
      </c>
      <c r="F2748" s="1">
        <f>IFERROR(__xludf.DUMMYFUNCTION("""COMPUTED_VALUE"""),5.03125E7)</f>
        <v>50312500</v>
      </c>
    </row>
    <row r="2749">
      <c r="A2749" s="2">
        <f>IFERROR(__xludf.DUMMYFUNCTION("""COMPUTED_VALUE"""),35353.666666666664)</f>
        <v>35353.66667</v>
      </c>
      <c r="B2749" s="1">
        <f>IFERROR(__xludf.DUMMYFUNCTION("""COMPUTED_VALUE"""),704.26)</f>
        <v>704.26</v>
      </c>
      <c r="C2749" s="1">
        <f>IFERROR(__xludf.DUMMYFUNCTION("""COMPUTED_VALUE"""),708.07)</f>
        <v>708.07</v>
      </c>
      <c r="D2749" s="1">
        <f>IFERROR(__xludf.DUMMYFUNCTION("""COMPUTED_VALUE"""),699.07)</f>
        <v>699.07</v>
      </c>
      <c r="E2749" s="1">
        <f>IFERROR(__xludf.DUMMYFUNCTION("""COMPUTED_VALUE"""),702.57)</f>
        <v>702.57</v>
      </c>
      <c r="F2749" s="1">
        <f>IFERROR(__xludf.DUMMYFUNCTION("""COMPUTED_VALUE"""),7.1715624E7)</f>
        <v>71715624</v>
      </c>
    </row>
    <row r="2750">
      <c r="A2750" s="2">
        <f>IFERROR(__xludf.DUMMYFUNCTION("""COMPUTED_VALUE"""),35354.666666666664)</f>
        <v>35354.66667</v>
      </c>
      <c r="B2750" s="1">
        <f>IFERROR(__xludf.DUMMYFUNCTION("""COMPUTED_VALUE"""),702.41)</f>
        <v>702.41</v>
      </c>
      <c r="C2750" s="1">
        <f>IFERROR(__xludf.DUMMYFUNCTION("""COMPUTED_VALUE"""),704.42)</f>
        <v>704.42</v>
      </c>
      <c r="D2750" s="1">
        <f>IFERROR(__xludf.DUMMYFUNCTION("""COMPUTED_VALUE"""),699.15)</f>
        <v>699.15</v>
      </c>
      <c r="E2750" s="1">
        <f>IFERROR(__xludf.DUMMYFUNCTION("""COMPUTED_VALUE"""),704.41)</f>
        <v>704.41</v>
      </c>
      <c r="F2750" s="1">
        <f>IFERROR(__xludf.DUMMYFUNCTION("""COMPUTED_VALUE"""),6.8970312E7)</f>
        <v>68970312</v>
      </c>
    </row>
    <row r="2751">
      <c r="A2751" s="2">
        <f>IFERROR(__xludf.DUMMYFUNCTION("""COMPUTED_VALUE"""),35355.666666666664)</f>
        <v>35355.66667</v>
      </c>
      <c r="B2751" s="1">
        <f>IFERROR(__xludf.DUMMYFUNCTION("""COMPUTED_VALUE"""),705.0)</f>
        <v>705</v>
      </c>
      <c r="C2751" s="1">
        <f>IFERROR(__xludf.DUMMYFUNCTION("""COMPUTED_VALUE"""),708.52)</f>
        <v>708.52</v>
      </c>
      <c r="D2751" s="1">
        <f>IFERROR(__xludf.DUMMYFUNCTION("""COMPUTED_VALUE"""),704.76)</f>
        <v>704.76</v>
      </c>
      <c r="E2751" s="1">
        <f>IFERROR(__xludf.DUMMYFUNCTION("""COMPUTED_VALUE"""),706.99)</f>
        <v>706.99</v>
      </c>
      <c r="F2751" s="1">
        <f>IFERROR(__xludf.DUMMYFUNCTION("""COMPUTED_VALUE"""),7.477344E7)</f>
        <v>74773440</v>
      </c>
    </row>
    <row r="2752">
      <c r="A2752" s="2">
        <f>IFERROR(__xludf.DUMMYFUNCTION("""COMPUTED_VALUE"""),35356.666666666664)</f>
        <v>35356.66667</v>
      </c>
      <c r="B2752" s="1">
        <f>IFERROR(__xludf.DUMMYFUNCTION("""COMPUTED_VALUE"""),706.89)</f>
        <v>706.89</v>
      </c>
      <c r="C2752" s="1">
        <f>IFERROR(__xludf.DUMMYFUNCTION("""COMPUTED_VALUE"""),711.04)</f>
        <v>711.04</v>
      </c>
      <c r="D2752" s="1">
        <f>IFERROR(__xludf.DUMMYFUNCTION("""COMPUTED_VALUE"""),706.11)</f>
        <v>706.11</v>
      </c>
      <c r="E2752" s="1">
        <f>IFERROR(__xludf.DUMMYFUNCTION("""COMPUTED_VALUE"""),710.82)</f>
        <v>710.82</v>
      </c>
      <c r="F2752" s="1">
        <f>IFERROR(__xludf.DUMMYFUNCTION("""COMPUTED_VALUE"""),7.3909376E7)</f>
        <v>73909376</v>
      </c>
    </row>
    <row r="2753">
      <c r="A2753" s="2">
        <f>IFERROR(__xludf.DUMMYFUNCTION("""COMPUTED_VALUE"""),35359.666666666664)</f>
        <v>35359.66667</v>
      </c>
      <c r="B2753" s="1">
        <f>IFERROR(__xludf.DUMMYFUNCTION("""COMPUTED_VALUE"""),710.82)</f>
        <v>710.82</v>
      </c>
      <c r="C2753" s="1">
        <f>IFERROR(__xludf.DUMMYFUNCTION("""COMPUTED_VALUE"""),714.1)</f>
        <v>714.1</v>
      </c>
      <c r="D2753" s="1">
        <f>IFERROR(__xludf.DUMMYFUNCTION("""COMPUTED_VALUE"""),707.71)</f>
        <v>707.71</v>
      </c>
      <c r="E2753" s="1">
        <f>IFERROR(__xludf.DUMMYFUNCTION("""COMPUTED_VALUE"""),709.85)</f>
        <v>709.85</v>
      </c>
      <c r="F2753" s="1">
        <f>IFERROR(__xludf.DUMMYFUNCTION("""COMPUTED_VALUE"""),6.4785936E7)</f>
        <v>64785936</v>
      </c>
    </row>
    <row r="2754">
      <c r="A2754" s="2">
        <f>IFERROR(__xludf.DUMMYFUNCTION("""COMPUTED_VALUE"""),35360.666666666664)</f>
        <v>35360.66667</v>
      </c>
      <c r="B2754" s="1">
        <f>IFERROR(__xludf.DUMMYFUNCTION("""COMPUTED_VALUE"""),709.78)</f>
        <v>709.78</v>
      </c>
      <c r="C2754" s="1">
        <f>IFERROR(__xludf.DUMMYFUNCTION("""COMPUTED_VALUE"""),709.78)</f>
        <v>709.78</v>
      </c>
      <c r="D2754" s="1">
        <f>IFERROR(__xludf.DUMMYFUNCTION("""COMPUTED_VALUE"""),704.55)</f>
        <v>704.55</v>
      </c>
      <c r="E2754" s="1">
        <f>IFERROR(__xludf.DUMMYFUNCTION("""COMPUTED_VALUE"""),706.57)</f>
        <v>706.57</v>
      </c>
      <c r="F2754" s="1">
        <f>IFERROR(__xludf.DUMMYFUNCTION("""COMPUTED_VALUE"""),6.4185936E7)</f>
        <v>64185936</v>
      </c>
    </row>
    <row r="2755">
      <c r="A2755" s="2">
        <f>IFERROR(__xludf.DUMMYFUNCTION("""COMPUTED_VALUE"""),35361.666666666664)</f>
        <v>35361.66667</v>
      </c>
      <c r="B2755" s="1">
        <f>IFERROR(__xludf.DUMMYFUNCTION("""COMPUTED_VALUE"""),706.57)</f>
        <v>706.57</v>
      </c>
      <c r="C2755" s="1">
        <f>IFERROR(__xludf.DUMMYFUNCTION("""COMPUTED_VALUE"""),707.31)</f>
        <v>707.31</v>
      </c>
      <c r="D2755" s="1">
        <f>IFERROR(__xludf.DUMMYFUNCTION("""COMPUTED_VALUE"""),700.98)</f>
        <v>700.98</v>
      </c>
      <c r="E2755" s="1">
        <f>IFERROR(__xludf.DUMMYFUNCTION("""COMPUTED_VALUE"""),707.27)</f>
        <v>707.27</v>
      </c>
      <c r="F2755" s="1">
        <f>IFERROR(__xludf.DUMMYFUNCTION("""COMPUTED_VALUE"""),6.9089064E7)</f>
        <v>69089064</v>
      </c>
    </row>
    <row r="2756">
      <c r="A2756" s="2">
        <f>IFERROR(__xludf.DUMMYFUNCTION("""COMPUTED_VALUE"""),35362.666666666664)</f>
        <v>35362.66667</v>
      </c>
      <c r="B2756" s="1">
        <f>IFERROR(__xludf.DUMMYFUNCTION("""COMPUTED_VALUE"""),707.33)</f>
        <v>707.33</v>
      </c>
      <c r="C2756" s="1">
        <f>IFERROR(__xludf.DUMMYFUNCTION("""COMPUTED_VALUE"""),708.25)</f>
        <v>708.25</v>
      </c>
      <c r="D2756" s="1">
        <f>IFERROR(__xludf.DUMMYFUNCTION("""COMPUTED_VALUE"""),702.11)</f>
        <v>702.11</v>
      </c>
      <c r="E2756" s="1">
        <f>IFERROR(__xludf.DUMMYFUNCTION("""COMPUTED_VALUE"""),702.29)</f>
        <v>702.29</v>
      </c>
      <c r="F2756" s="1">
        <f>IFERROR(__xludf.DUMMYFUNCTION("""COMPUTED_VALUE"""),6.5464064E7)</f>
        <v>65464064</v>
      </c>
    </row>
    <row r="2757">
      <c r="A2757" s="2">
        <f>IFERROR(__xludf.DUMMYFUNCTION("""COMPUTED_VALUE"""),35363.666666666664)</f>
        <v>35363.66667</v>
      </c>
      <c r="B2757" s="1">
        <f>IFERROR(__xludf.DUMMYFUNCTION("""COMPUTED_VALUE"""),702.31)</f>
        <v>702.31</v>
      </c>
      <c r="C2757" s="1">
        <f>IFERROR(__xludf.DUMMYFUNCTION("""COMPUTED_VALUE"""),704.11)</f>
        <v>704.11</v>
      </c>
      <c r="D2757" s="1">
        <f>IFERROR(__xludf.DUMMYFUNCTION("""COMPUTED_VALUE"""),700.53)</f>
        <v>700.53</v>
      </c>
      <c r="E2757" s="1">
        <f>IFERROR(__xludf.DUMMYFUNCTION("""COMPUTED_VALUE"""),700.92)</f>
        <v>700.92</v>
      </c>
      <c r="F2757" s="1">
        <f>IFERROR(__xludf.DUMMYFUNCTION("""COMPUTED_VALUE"""),5.7443752E7)</f>
        <v>57443752</v>
      </c>
    </row>
    <row r="2758">
      <c r="A2758" s="2">
        <f>IFERROR(__xludf.DUMMYFUNCTION("""COMPUTED_VALUE"""),35366.666666666664)</f>
        <v>35366.66667</v>
      </c>
      <c r="B2758" s="1">
        <f>IFERROR(__xludf.DUMMYFUNCTION("""COMPUTED_VALUE"""),700.92)</f>
        <v>700.92</v>
      </c>
      <c r="C2758" s="1">
        <f>IFERROR(__xludf.DUMMYFUNCTION("""COMPUTED_VALUE"""),705.4)</f>
        <v>705.4</v>
      </c>
      <c r="D2758" s="1">
        <f>IFERROR(__xludf.DUMMYFUNCTION("""COMPUTED_VALUE"""),697.25)</f>
        <v>697.25</v>
      </c>
      <c r="E2758" s="1">
        <f>IFERROR(__xludf.DUMMYFUNCTION("""COMPUTED_VALUE"""),697.26)</f>
        <v>697.26</v>
      </c>
      <c r="F2758" s="1">
        <f>IFERROR(__xludf.DUMMYFUNCTION("""COMPUTED_VALUE"""),5.9940624E7)</f>
        <v>59940624</v>
      </c>
    </row>
    <row r="2759">
      <c r="A2759" s="2">
        <f>IFERROR(__xludf.DUMMYFUNCTION("""COMPUTED_VALUE"""),35367.666666666664)</f>
        <v>35367.66667</v>
      </c>
      <c r="B2759" s="1">
        <f>IFERROR(__xludf.DUMMYFUNCTION("""COMPUTED_VALUE"""),697.32)</f>
        <v>697.32</v>
      </c>
      <c r="C2759" s="1">
        <f>IFERROR(__xludf.DUMMYFUNCTION("""COMPUTED_VALUE"""),703.25)</f>
        <v>703.25</v>
      </c>
      <c r="D2759" s="1">
        <f>IFERROR(__xludf.DUMMYFUNCTION("""COMPUTED_VALUE"""),696.22)</f>
        <v>696.22</v>
      </c>
      <c r="E2759" s="1">
        <f>IFERROR(__xludf.DUMMYFUNCTION("""COMPUTED_VALUE"""),701.5)</f>
        <v>701.5</v>
      </c>
      <c r="F2759" s="1">
        <f>IFERROR(__xludf.DUMMYFUNCTION("""COMPUTED_VALUE"""),6.9357816E7)</f>
        <v>69357816</v>
      </c>
    </row>
    <row r="2760">
      <c r="A2760" s="2">
        <f>IFERROR(__xludf.DUMMYFUNCTION("""COMPUTED_VALUE"""),35368.666666666664)</f>
        <v>35368.66667</v>
      </c>
      <c r="B2760" s="1">
        <f>IFERROR(__xludf.DUMMYFUNCTION("""COMPUTED_VALUE"""),701.59)</f>
        <v>701.59</v>
      </c>
      <c r="C2760" s="1">
        <f>IFERROR(__xludf.DUMMYFUNCTION("""COMPUTED_VALUE"""),703.44)</f>
        <v>703.44</v>
      </c>
      <c r="D2760" s="1">
        <f>IFERROR(__xludf.DUMMYFUNCTION("""COMPUTED_VALUE"""),700.05)</f>
        <v>700.05</v>
      </c>
      <c r="E2760" s="1">
        <f>IFERROR(__xludf.DUMMYFUNCTION("""COMPUTED_VALUE"""),700.9)</f>
        <v>700.9</v>
      </c>
      <c r="F2760" s="1">
        <f>IFERROR(__xludf.DUMMYFUNCTION("""COMPUTED_VALUE"""),6.840156E7)</f>
        <v>68401560</v>
      </c>
    </row>
    <row r="2761">
      <c r="A2761" s="2">
        <f>IFERROR(__xludf.DUMMYFUNCTION("""COMPUTED_VALUE"""),35369.666666666664)</f>
        <v>35369.66667</v>
      </c>
      <c r="B2761" s="1">
        <f>IFERROR(__xludf.DUMMYFUNCTION("""COMPUTED_VALUE"""),700.9)</f>
        <v>700.9</v>
      </c>
      <c r="C2761" s="1">
        <f>IFERROR(__xludf.DUMMYFUNCTION("""COMPUTED_VALUE"""),706.61)</f>
        <v>706.61</v>
      </c>
      <c r="D2761" s="1">
        <f>IFERROR(__xludf.DUMMYFUNCTION("""COMPUTED_VALUE"""),700.35)</f>
        <v>700.35</v>
      </c>
      <c r="E2761" s="1">
        <f>IFERROR(__xludf.DUMMYFUNCTION("""COMPUTED_VALUE"""),705.27)</f>
        <v>705.27</v>
      </c>
      <c r="F2761" s="1">
        <f>IFERROR(__xludf.DUMMYFUNCTION("""COMPUTED_VALUE"""),7.5443752E7)</f>
        <v>75443752</v>
      </c>
    </row>
    <row r="2762">
      <c r="A2762" s="2">
        <f>IFERROR(__xludf.DUMMYFUNCTION("""COMPUTED_VALUE"""),35370.666666666664)</f>
        <v>35370.66667</v>
      </c>
      <c r="B2762" s="1">
        <f>IFERROR(__xludf.DUMMYFUNCTION("""COMPUTED_VALUE"""),705.27)</f>
        <v>705.27</v>
      </c>
      <c r="C2762" s="1">
        <f>IFERROR(__xludf.DUMMYFUNCTION("""COMPUTED_VALUE"""),708.6)</f>
        <v>708.6</v>
      </c>
      <c r="D2762" s="1">
        <f>IFERROR(__xludf.DUMMYFUNCTION("""COMPUTED_VALUE"""),701.3)</f>
        <v>701.3</v>
      </c>
      <c r="E2762" s="1">
        <f>IFERROR(__xludf.DUMMYFUNCTION("""COMPUTED_VALUE"""),703.77)</f>
        <v>703.77</v>
      </c>
      <c r="F2762" s="1">
        <f>IFERROR(__xludf.DUMMYFUNCTION("""COMPUTED_VALUE"""),7.2735936E7)</f>
        <v>72735936</v>
      </c>
    </row>
    <row r="2763">
      <c r="A2763" s="2">
        <f>IFERROR(__xludf.DUMMYFUNCTION("""COMPUTED_VALUE"""),35373.666666666664)</f>
        <v>35373.66667</v>
      </c>
      <c r="B2763" s="1">
        <f>IFERROR(__xludf.DUMMYFUNCTION("""COMPUTED_VALUE"""),703.81)</f>
        <v>703.81</v>
      </c>
      <c r="C2763" s="1">
        <f>IFERROR(__xludf.DUMMYFUNCTION("""COMPUTED_VALUE"""),707.02)</f>
        <v>707.02</v>
      </c>
      <c r="D2763" s="1">
        <f>IFERROR(__xludf.DUMMYFUNCTION("""COMPUTED_VALUE"""),702.84)</f>
        <v>702.84</v>
      </c>
      <c r="E2763" s="1">
        <f>IFERROR(__xludf.DUMMYFUNCTION("""COMPUTED_VALUE"""),706.73)</f>
        <v>706.73</v>
      </c>
      <c r="F2763" s="1">
        <f>IFERROR(__xludf.DUMMYFUNCTION("""COMPUTED_VALUE"""),6.2310936E7)</f>
        <v>62310936</v>
      </c>
    </row>
    <row r="2764">
      <c r="A2764" s="2">
        <f>IFERROR(__xludf.DUMMYFUNCTION("""COMPUTED_VALUE"""),35374.666666666664)</f>
        <v>35374.66667</v>
      </c>
      <c r="B2764" s="1">
        <f>IFERROR(__xludf.DUMMYFUNCTION("""COMPUTED_VALUE"""),706.76)</f>
        <v>706.76</v>
      </c>
      <c r="C2764" s="1">
        <f>IFERROR(__xludf.DUMMYFUNCTION("""COMPUTED_VALUE"""),714.56)</f>
        <v>714.56</v>
      </c>
      <c r="D2764" s="1">
        <f>IFERROR(__xludf.DUMMYFUNCTION("""COMPUTED_VALUE"""),706.76)</f>
        <v>706.76</v>
      </c>
      <c r="E2764" s="1">
        <f>IFERROR(__xludf.DUMMYFUNCTION("""COMPUTED_VALUE"""),714.14)</f>
        <v>714.14</v>
      </c>
      <c r="F2764" s="1">
        <f>IFERROR(__xludf.DUMMYFUNCTION("""COMPUTED_VALUE"""),7.6040624E7)</f>
        <v>76040624</v>
      </c>
    </row>
    <row r="2765">
      <c r="A2765" s="2">
        <f>IFERROR(__xludf.DUMMYFUNCTION("""COMPUTED_VALUE"""),35375.666666666664)</f>
        <v>35375.66667</v>
      </c>
      <c r="B2765" s="1">
        <f>IFERROR(__xludf.DUMMYFUNCTION("""COMPUTED_VALUE"""),714.14)</f>
        <v>714.14</v>
      </c>
      <c r="C2765" s="1">
        <f>IFERROR(__xludf.DUMMYFUNCTION("""COMPUTED_VALUE"""),724.6)</f>
        <v>724.6</v>
      </c>
      <c r="D2765" s="1">
        <f>IFERROR(__xludf.DUMMYFUNCTION("""COMPUTED_VALUE"""),712.83)</f>
        <v>712.83</v>
      </c>
      <c r="E2765" s="1">
        <f>IFERROR(__xludf.DUMMYFUNCTION("""COMPUTED_VALUE"""),724.59)</f>
        <v>724.59</v>
      </c>
      <c r="F2765" s="1">
        <f>IFERROR(__xludf.DUMMYFUNCTION("""COMPUTED_VALUE"""),7.9625E7)</f>
        <v>79625000</v>
      </c>
    </row>
    <row r="2766">
      <c r="A2766" s="2">
        <f>IFERROR(__xludf.DUMMYFUNCTION("""COMPUTED_VALUE"""),35376.666666666664)</f>
        <v>35376.66667</v>
      </c>
      <c r="B2766" s="1">
        <f>IFERROR(__xludf.DUMMYFUNCTION("""COMPUTED_VALUE"""),724.59)</f>
        <v>724.59</v>
      </c>
      <c r="C2766" s="1">
        <f>IFERROR(__xludf.DUMMYFUNCTION("""COMPUTED_VALUE"""),729.49)</f>
        <v>729.49</v>
      </c>
      <c r="D2766" s="1">
        <f>IFERROR(__xludf.DUMMYFUNCTION("""COMPUTED_VALUE"""),722.23)</f>
        <v>722.23</v>
      </c>
      <c r="E2766" s="1">
        <f>IFERROR(__xludf.DUMMYFUNCTION("""COMPUTED_VALUE"""),727.65)</f>
        <v>727.65</v>
      </c>
      <c r="F2766" s="1">
        <f>IFERROR(__xludf.DUMMYFUNCTION("""COMPUTED_VALUE"""),7.8520312E7)</f>
        <v>78520312</v>
      </c>
    </row>
    <row r="2767">
      <c r="A2767" s="2">
        <f>IFERROR(__xludf.DUMMYFUNCTION("""COMPUTED_VALUE"""),35377.666666666664)</f>
        <v>35377.66667</v>
      </c>
      <c r="B2767" s="1">
        <f>IFERROR(__xludf.DUMMYFUNCTION("""COMPUTED_VALUE"""),727.65)</f>
        <v>727.65</v>
      </c>
      <c r="C2767" s="1">
        <f>IFERROR(__xludf.DUMMYFUNCTION("""COMPUTED_VALUE"""),730.82)</f>
        <v>730.82</v>
      </c>
      <c r="D2767" s="1">
        <f>IFERROR(__xludf.DUMMYFUNCTION("""COMPUTED_VALUE"""),725.22)</f>
        <v>725.22</v>
      </c>
      <c r="E2767" s="1">
        <f>IFERROR(__xludf.DUMMYFUNCTION("""COMPUTED_VALUE"""),730.82)</f>
        <v>730.82</v>
      </c>
      <c r="F2767" s="1">
        <f>IFERROR(__xludf.DUMMYFUNCTION("""COMPUTED_VALUE"""),6.28625E7)</f>
        <v>62862500</v>
      </c>
    </row>
    <row r="2768">
      <c r="A2768" s="2">
        <f>IFERROR(__xludf.DUMMYFUNCTION("""COMPUTED_VALUE"""),35380.666666666664)</f>
        <v>35380.66667</v>
      </c>
      <c r="B2768" s="1">
        <f>IFERROR(__xludf.DUMMYFUNCTION("""COMPUTED_VALUE"""),730.79)</f>
        <v>730.79</v>
      </c>
      <c r="C2768" s="1">
        <f>IFERROR(__xludf.DUMMYFUNCTION("""COMPUTED_VALUE"""),732.6)</f>
        <v>732.6</v>
      </c>
      <c r="D2768" s="1">
        <f>IFERROR(__xludf.DUMMYFUNCTION("""COMPUTED_VALUE"""),729.94)</f>
        <v>729.94</v>
      </c>
      <c r="E2768" s="1">
        <f>IFERROR(__xludf.DUMMYFUNCTION("""COMPUTED_VALUE"""),731.87)</f>
        <v>731.87</v>
      </c>
      <c r="F2768" s="1">
        <f>IFERROR(__xludf.DUMMYFUNCTION("""COMPUTED_VALUE"""),5.5306248E7)</f>
        <v>55306248</v>
      </c>
    </row>
    <row r="2769">
      <c r="A2769" s="2">
        <f>IFERROR(__xludf.DUMMYFUNCTION("""COMPUTED_VALUE"""),35381.666666666664)</f>
        <v>35381.66667</v>
      </c>
      <c r="B2769" s="1">
        <f>IFERROR(__xludf.DUMMYFUNCTION("""COMPUTED_VALUE"""),731.87)</f>
        <v>731.87</v>
      </c>
      <c r="C2769" s="1">
        <f>IFERROR(__xludf.DUMMYFUNCTION("""COMPUTED_VALUE"""),733.04)</f>
        <v>733.04</v>
      </c>
      <c r="D2769" s="1">
        <f>IFERROR(__xludf.DUMMYFUNCTION("""COMPUTED_VALUE"""),728.2)</f>
        <v>728.2</v>
      </c>
      <c r="E2769" s="1">
        <f>IFERROR(__xludf.DUMMYFUNCTION("""COMPUTED_VALUE"""),729.56)</f>
        <v>729.56</v>
      </c>
      <c r="F2769" s="1">
        <f>IFERROR(__xludf.DUMMYFUNCTION("""COMPUTED_VALUE"""),7.3709376E7)</f>
        <v>73709376</v>
      </c>
    </row>
    <row r="2770">
      <c r="A2770" s="2">
        <f>IFERROR(__xludf.DUMMYFUNCTION("""COMPUTED_VALUE"""),35382.666666666664)</f>
        <v>35382.66667</v>
      </c>
      <c r="B2770" s="1">
        <f>IFERROR(__xludf.DUMMYFUNCTION("""COMPUTED_VALUE"""),729.59)</f>
        <v>729.59</v>
      </c>
      <c r="C2770" s="1">
        <f>IFERROR(__xludf.DUMMYFUNCTION("""COMPUTED_VALUE"""),732.11)</f>
        <v>732.11</v>
      </c>
      <c r="D2770" s="1">
        <f>IFERROR(__xludf.DUMMYFUNCTION("""COMPUTED_VALUE"""),728.03)</f>
        <v>728.03</v>
      </c>
      <c r="E2770" s="1">
        <f>IFERROR(__xludf.DUMMYFUNCTION("""COMPUTED_VALUE"""),731.13)</f>
        <v>731.13</v>
      </c>
      <c r="F2770" s="1">
        <f>IFERROR(__xludf.DUMMYFUNCTION("""COMPUTED_VALUE"""),6.7162496E7)</f>
        <v>67162496</v>
      </c>
    </row>
    <row r="2771">
      <c r="A2771" s="2">
        <f>IFERROR(__xludf.DUMMYFUNCTION("""COMPUTED_VALUE"""),35383.666666666664)</f>
        <v>35383.66667</v>
      </c>
      <c r="B2771" s="1">
        <f>IFERROR(__xludf.DUMMYFUNCTION("""COMPUTED_VALUE"""),731.13)</f>
        <v>731.13</v>
      </c>
      <c r="C2771" s="1">
        <f>IFERROR(__xludf.DUMMYFUNCTION("""COMPUTED_VALUE"""),735.99)</f>
        <v>735.99</v>
      </c>
      <c r="D2771" s="1">
        <f>IFERROR(__xludf.DUMMYFUNCTION("""COMPUTED_VALUE"""),729.2)</f>
        <v>729.2</v>
      </c>
      <c r="E2771" s="1">
        <f>IFERROR(__xludf.DUMMYFUNCTION("""COMPUTED_VALUE"""),735.88)</f>
        <v>735.88</v>
      </c>
      <c r="F2771" s="1">
        <f>IFERROR(__xludf.DUMMYFUNCTION("""COMPUTED_VALUE"""),7.5054688E7)</f>
        <v>75054688</v>
      </c>
    </row>
    <row r="2772">
      <c r="A2772" s="2">
        <f>IFERROR(__xludf.DUMMYFUNCTION("""COMPUTED_VALUE"""),35384.666666666664)</f>
        <v>35384.66667</v>
      </c>
      <c r="B2772" s="1">
        <f>IFERROR(__xludf.DUMMYFUNCTION("""COMPUTED_VALUE"""),735.88)</f>
        <v>735.88</v>
      </c>
      <c r="C2772" s="1">
        <f>IFERROR(__xludf.DUMMYFUNCTION("""COMPUTED_VALUE"""),741.92)</f>
        <v>741.92</v>
      </c>
      <c r="D2772" s="1">
        <f>IFERROR(__xludf.DUMMYFUNCTION("""COMPUTED_VALUE"""),735.15)</f>
        <v>735.15</v>
      </c>
      <c r="E2772" s="1">
        <f>IFERROR(__xludf.DUMMYFUNCTION("""COMPUTED_VALUE"""),737.62)</f>
        <v>737.62</v>
      </c>
      <c r="F2772" s="1">
        <f>IFERROR(__xludf.DUMMYFUNCTION("""COMPUTED_VALUE"""),8.2671872E7)</f>
        <v>82671872</v>
      </c>
    </row>
    <row r="2773">
      <c r="A2773" s="2">
        <f>IFERROR(__xludf.DUMMYFUNCTION("""COMPUTED_VALUE"""),35387.666666666664)</f>
        <v>35387.66667</v>
      </c>
      <c r="B2773" s="1">
        <f>IFERROR(__xludf.DUMMYFUNCTION("""COMPUTED_VALUE"""),737.62)</f>
        <v>737.62</v>
      </c>
      <c r="C2773" s="1">
        <f>IFERROR(__xludf.DUMMYFUNCTION("""COMPUTED_VALUE"""),739.24)</f>
        <v>739.24</v>
      </c>
      <c r="D2773" s="1">
        <f>IFERROR(__xludf.DUMMYFUNCTION("""COMPUTED_VALUE"""),734.39)</f>
        <v>734.39</v>
      </c>
      <c r="E2773" s="1">
        <f>IFERROR(__xludf.DUMMYFUNCTION("""COMPUTED_VALUE"""),737.02)</f>
        <v>737.02</v>
      </c>
      <c r="F2773" s="1">
        <f>IFERROR(__xludf.DUMMYFUNCTION("""COMPUTED_VALUE"""),6.0706248E7)</f>
        <v>60706248</v>
      </c>
    </row>
    <row r="2774">
      <c r="A2774" s="2">
        <f>IFERROR(__xludf.DUMMYFUNCTION("""COMPUTED_VALUE"""),35388.666666666664)</f>
        <v>35388.66667</v>
      </c>
      <c r="B2774" s="1">
        <f>IFERROR(__xludf.DUMMYFUNCTION("""COMPUTED_VALUE"""),737.02)</f>
        <v>737.02</v>
      </c>
      <c r="C2774" s="1">
        <f>IFERROR(__xludf.DUMMYFUNCTION("""COMPUTED_VALUE"""),742.18)</f>
        <v>742.18</v>
      </c>
      <c r="D2774" s="1">
        <f>IFERROR(__xludf.DUMMYFUNCTION("""COMPUTED_VALUE"""),736.87)</f>
        <v>736.87</v>
      </c>
      <c r="E2774" s="1">
        <f>IFERROR(__xludf.DUMMYFUNCTION("""COMPUTED_VALUE"""),742.16)</f>
        <v>742.16</v>
      </c>
      <c r="F2774" s="1">
        <f>IFERROR(__xludf.DUMMYFUNCTION("""COMPUTED_VALUE"""),7.2184376E7)</f>
        <v>72184376</v>
      </c>
    </row>
    <row r="2775">
      <c r="A2775" s="2">
        <f>IFERROR(__xludf.DUMMYFUNCTION("""COMPUTED_VALUE"""),35389.666666666664)</f>
        <v>35389.66667</v>
      </c>
      <c r="B2775" s="1">
        <f>IFERROR(__xludf.DUMMYFUNCTION("""COMPUTED_VALUE"""),742.16)</f>
        <v>742.16</v>
      </c>
      <c r="C2775" s="1">
        <f>IFERROR(__xludf.DUMMYFUNCTION("""COMPUTED_VALUE"""),746.99)</f>
        <v>746.99</v>
      </c>
      <c r="D2775" s="1">
        <f>IFERROR(__xludf.DUMMYFUNCTION("""COMPUTED_VALUE"""),740.4)</f>
        <v>740.4</v>
      </c>
      <c r="E2775" s="1">
        <f>IFERROR(__xludf.DUMMYFUNCTION("""COMPUTED_VALUE"""),743.95)</f>
        <v>743.95</v>
      </c>
      <c r="F2775" s="1">
        <f>IFERROR(__xludf.DUMMYFUNCTION("""COMPUTED_VALUE"""),7.7796872E7)</f>
        <v>77796872</v>
      </c>
    </row>
    <row r="2776">
      <c r="A2776" s="2">
        <f>IFERROR(__xludf.DUMMYFUNCTION("""COMPUTED_VALUE"""),35390.666666666664)</f>
        <v>35390.66667</v>
      </c>
      <c r="B2776" s="1">
        <f>IFERROR(__xludf.DUMMYFUNCTION("""COMPUTED_VALUE"""),743.95)</f>
        <v>743.95</v>
      </c>
      <c r="C2776" s="1">
        <f>IFERROR(__xludf.DUMMYFUNCTION("""COMPUTED_VALUE"""),745.2)</f>
        <v>745.2</v>
      </c>
      <c r="D2776" s="1">
        <f>IFERROR(__xludf.DUMMYFUNCTION("""COMPUTED_VALUE"""),741.08)</f>
        <v>741.08</v>
      </c>
      <c r="E2776" s="1">
        <f>IFERROR(__xludf.DUMMYFUNCTION("""COMPUTED_VALUE"""),742.75)</f>
        <v>742.75</v>
      </c>
      <c r="F2776" s="1">
        <f>IFERROR(__xludf.DUMMYFUNCTION("""COMPUTED_VALUE"""),7.2567184E7)</f>
        <v>72567184</v>
      </c>
    </row>
    <row r="2777">
      <c r="A2777" s="2">
        <f>IFERROR(__xludf.DUMMYFUNCTION("""COMPUTED_VALUE"""),35391.666666666664)</f>
        <v>35391.66667</v>
      </c>
      <c r="B2777" s="1">
        <f>IFERROR(__xludf.DUMMYFUNCTION("""COMPUTED_VALUE"""),742.75)</f>
        <v>742.75</v>
      </c>
      <c r="C2777" s="1">
        <f>IFERROR(__xludf.DUMMYFUNCTION("""COMPUTED_VALUE"""),748.73)</f>
        <v>748.73</v>
      </c>
      <c r="D2777" s="1">
        <f>IFERROR(__xludf.DUMMYFUNCTION("""COMPUTED_VALUE"""),742.75)</f>
        <v>742.75</v>
      </c>
      <c r="E2777" s="1">
        <f>IFERROR(__xludf.DUMMYFUNCTION("""COMPUTED_VALUE"""),748.73)</f>
        <v>748.73</v>
      </c>
      <c r="F2777" s="1">
        <f>IFERROR(__xludf.DUMMYFUNCTION("""COMPUTED_VALUE"""),8.2064064E7)</f>
        <v>82064064</v>
      </c>
    </row>
    <row r="2778">
      <c r="A2778" s="2">
        <f>IFERROR(__xludf.DUMMYFUNCTION("""COMPUTED_VALUE"""),35394.666666666664)</f>
        <v>35394.66667</v>
      </c>
      <c r="B2778" s="1">
        <f>IFERROR(__xludf.DUMMYFUNCTION("""COMPUTED_VALUE"""),748.81)</f>
        <v>748.81</v>
      </c>
      <c r="C2778" s="1">
        <f>IFERROR(__xludf.DUMMYFUNCTION("""COMPUTED_VALUE"""),757.05)</f>
        <v>757.05</v>
      </c>
      <c r="D2778" s="1">
        <f>IFERROR(__xludf.DUMMYFUNCTION("""COMPUTED_VALUE"""),747.99)</f>
        <v>747.99</v>
      </c>
      <c r="E2778" s="1">
        <f>IFERROR(__xludf.DUMMYFUNCTION("""COMPUTED_VALUE"""),757.03)</f>
        <v>757.03</v>
      </c>
      <c r="F2778" s="1">
        <f>IFERROR(__xludf.DUMMYFUNCTION("""COMPUTED_VALUE"""),7.4259376E7)</f>
        <v>74259376</v>
      </c>
    </row>
    <row r="2779">
      <c r="A2779" s="2">
        <f>IFERROR(__xludf.DUMMYFUNCTION("""COMPUTED_VALUE"""),35395.666666666664)</f>
        <v>35395.66667</v>
      </c>
      <c r="B2779" s="1">
        <f>IFERROR(__xludf.DUMMYFUNCTION("""COMPUTED_VALUE"""),757.03)</f>
        <v>757.03</v>
      </c>
      <c r="C2779" s="1">
        <f>IFERROR(__xludf.DUMMYFUNCTION("""COMPUTED_VALUE"""),762.12)</f>
        <v>762.12</v>
      </c>
      <c r="D2779" s="1">
        <f>IFERROR(__xludf.DUMMYFUNCTION("""COMPUTED_VALUE"""),752.83)</f>
        <v>752.83</v>
      </c>
      <c r="E2779" s="1">
        <f>IFERROR(__xludf.DUMMYFUNCTION("""COMPUTED_VALUE"""),755.96)</f>
        <v>755.96</v>
      </c>
      <c r="F2779" s="1">
        <f>IFERROR(__xludf.DUMMYFUNCTION("""COMPUTED_VALUE"""),8.2403128E7)</f>
        <v>82403128</v>
      </c>
    </row>
    <row r="2780">
      <c r="A2780" s="2">
        <f>IFERROR(__xludf.DUMMYFUNCTION("""COMPUTED_VALUE"""),35396.666666666664)</f>
        <v>35396.66667</v>
      </c>
      <c r="B2780" s="1">
        <f>IFERROR(__xludf.DUMMYFUNCTION("""COMPUTED_VALUE"""),756.08)</f>
        <v>756.08</v>
      </c>
      <c r="C2780" s="1">
        <f>IFERROR(__xludf.DUMMYFUNCTION("""COMPUTED_VALUE"""),757.3)</f>
        <v>757.3</v>
      </c>
      <c r="D2780" s="1">
        <f>IFERROR(__xludf.DUMMYFUNCTION("""COMPUTED_VALUE"""),753.18)</f>
        <v>753.18</v>
      </c>
      <c r="E2780" s="1">
        <f>IFERROR(__xludf.DUMMYFUNCTION("""COMPUTED_VALUE"""),755.0)</f>
        <v>755</v>
      </c>
      <c r="F2780" s="1">
        <f>IFERROR(__xludf.DUMMYFUNCTION("""COMPUTED_VALUE"""),5.9028124E7)</f>
        <v>59028124</v>
      </c>
    </row>
    <row r="2781">
      <c r="A2781" s="2">
        <f>IFERROR(__xludf.DUMMYFUNCTION("""COMPUTED_VALUE"""),35398.666666666664)</f>
        <v>35398.66667</v>
      </c>
      <c r="B2781" s="1">
        <f>IFERROR(__xludf.DUMMYFUNCTION("""COMPUTED_VALUE"""),755.0)</f>
        <v>755</v>
      </c>
      <c r="C2781" s="1">
        <f>IFERROR(__xludf.DUMMYFUNCTION("""COMPUTED_VALUE"""),758.27)</f>
        <v>758.27</v>
      </c>
      <c r="D2781" s="1">
        <f>IFERROR(__xludf.DUMMYFUNCTION("""COMPUTED_VALUE"""),755.0)</f>
        <v>755</v>
      </c>
      <c r="E2781" s="1">
        <f>IFERROR(__xludf.DUMMYFUNCTION("""COMPUTED_VALUE"""),757.02)</f>
        <v>757.02</v>
      </c>
      <c r="F2781" s="1">
        <f>IFERROR(__xludf.DUMMYFUNCTION("""COMPUTED_VALUE"""),2342187.0)</f>
        <v>2342187</v>
      </c>
    </row>
    <row r="2782">
      <c r="A2782" s="2">
        <f>IFERROR(__xludf.DUMMYFUNCTION("""COMPUTED_VALUE"""),35401.666666666664)</f>
        <v>35401.66667</v>
      </c>
      <c r="B2782" s="1">
        <f>IFERROR(__xludf.DUMMYFUNCTION("""COMPUTED_VALUE"""),757.02)</f>
        <v>757.02</v>
      </c>
      <c r="C2782" s="1">
        <f>IFERROR(__xludf.DUMMYFUNCTION("""COMPUTED_VALUE"""),757.03)</f>
        <v>757.03</v>
      </c>
      <c r="D2782" s="1">
        <f>IFERROR(__xludf.DUMMYFUNCTION("""COMPUTED_VALUE"""),751.49)</f>
        <v>751.49</v>
      </c>
      <c r="E2782" s="1">
        <f>IFERROR(__xludf.DUMMYFUNCTION("""COMPUTED_VALUE"""),756.56)</f>
        <v>756.56</v>
      </c>
      <c r="F2782" s="1">
        <f>IFERROR(__xludf.DUMMYFUNCTION("""COMPUTED_VALUE"""),6.4456248E7)</f>
        <v>64456248</v>
      </c>
    </row>
    <row r="2783">
      <c r="A2783" s="2">
        <f>IFERROR(__xludf.DUMMYFUNCTION("""COMPUTED_VALUE"""),35402.666666666664)</f>
        <v>35402.66667</v>
      </c>
      <c r="B2783" s="1">
        <f>IFERROR(__xludf.DUMMYFUNCTION("""COMPUTED_VALUE"""),756.61)</f>
        <v>756.61</v>
      </c>
      <c r="C2783" s="1">
        <f>IFERROR(__xludf.DUMMYFUNCTION("""COMPUTED_VALUE"""),761.75)</f>
        <v>761.75</v>
      </c>
      <c r="D2783" s="1">
        <f>IFERROR(__xludf.DUMMYFUNCTION("""COMPUTED_VALUE"""),747.58)</f>
        <v>747.58</v>
      </c>
      <c r="E2783" s="1">
        <f>IFERROR(__xludf.DUMMYFUNCTION("""COMPUTED_VALUE"""),748.28)</f>
        <v>748.28</v>
      </c>
      <c r="F2783" s="1">
        <f>IFERROR(__xludf.DUMMYFUNCTION("""COMPUTED_VALUE"""),8.065E7)</f>
        <v>80650000</v>
      </c>
    </row>
    <row r="2784">
      <c r="A2784" s="2">
        <f>IFERROR(__xludf.DUMMYFUNCTION("""COMPUTED_VALUE"""),35403.666666666664)</f>
        <v>35403.66667</v>
      </c>
      <c r="B2784" s="1">
        <f>IFERROR(__xludf.DUMMYFUNCTION("""COMPUTED_VALUE"""),748.4)</f>
        <v>748.4</v>
      </c>
      <c r="C2784" s="1">
        <f>IFERROR(__xludf.DUMMYFUNCTION("""COMPUTED_VALUE"""),748.4)</f>
        <v>748.4</v>
      </c>
      <c r="D2784" s="1">
        <f>IFERROR(__xludf.DUMMYFUNCTION("""COMPUTED_VALUE"""),738.46)</f>
        <v>738.46</v>
      </c>
      <c r="E2784" s="1">
        <f>IFERROR(__xludf.DUMMYFUNCTION("""COMPUTED_VALUE"""),745.1)</f>
        <v>745.1</v>
      </c>
      <c r="F2784" s="1">
        <f>IFERROR(__xludf.DUMMYFUNCTION("""COMPUTED_VALUE"""),7.785E7)</f>
        <v>77850000</v>
      </c>
    </row>
    <row r="2785">
      <c r="A2785" s="2">
        <f>IFERROR(__xludf.DUMMYFUNCTION("""COMPUTED_VALUE"""),35404.666666666664)</f>
        <v>35404.66667</v>
      </c>
      <c r="B2785" s="1">
        <f>IFERROR(__xludf.DUMMYFUNCTION("""COMPUTED_VALUE"""),745.22)</f>
        <v>745.22</v>
      </c>
      <c r="C2785" s="1">
        <f>IFERROR(__xludf.DUMMYFUNCTION("""COMPUTED_VALUE"""),747.65)</f>
        <v>747.65</v>
      </c>
      <c r="D2785" s="1">
        <f>IFERROR(__xludf.DUMMYFUNCTION("""COMPUTED_VALUE"""),742.61)</f>
        <v>742.61</v>
      </c>
      <c r="E2785" s="1">
        <f>IFERROR(__xludf.DUMMYFUNCTION("""COMPUTED_VALUE"""),744.38)</f>
        <v>744.38</v>
      </c>
      <c r="F2785" s="1">
        <f>IFERROR(__xludf.DUMMYFUNCTION("""COMPUTED_VALUE"""),7.5579688E7)</f>
        <v>75579688</v>
      </c>
    </row>
    <row r="2786">
      <c r="A2786" s="2">
        <f>IFERROR(__xludf.DUMMYFUNCTION("""COMPUTED_VALUE"""),35405.666666666664)</f>
        <v>35405.66667</v>
      </c>
      <c r="B2786" s="1">
        <f>IFERROR(__xludf.DUMMYFUNCTION("""COMPUTED_VALUE"""),744.38)</f>
        <v>744.38</v>
      </c>
      <c r="C2786" s="1">
        <f>IFERROR(__xludf.DUMMYFUNCTION("""COMPUTED_VALUE"""),744.38)</f>
        <v>744.38</v>
      </c>
      <c r="D2786" s="1">
        <f>IFERROR(__xludf.DUMMYFUNCTION("""COMPUTED_VALUE"""),726.89)</f>
        <v>726.89</v>
      </c>
      <c r="E2786" s="1">
        <f>IFERROR(__xludf.DUMMYFUNCTION("""COMPUTED_VALUE"""),739.6)</f>
        <v>739.6</v>
      </c>
      <c r="F2786" s="1">
        <f>IFERROR(__xludf.DUMMYFUNCTION("""COMPUTED_VALUE"""),7.8259376E7)</f>
        <v>78259376</v>
      </c>
    </row>
    <row r="2787">
      <c r="A2787" s="2">
        <f>IFERROR(__xludf.DUMMYFUNCTION("""COMPUTED_VALUE"""),35408.666666666664)</f>
        <v>35408.66667</v>
      </c>
      <c r="B2787" s="1">
        <f>IFERROR(__xludf.DUMMYFUNCTION("""COMPUTED_VALUE"""),739.75)</f>
        <v>739.75</v>
      </c>
      <c r="C2787" s="1">
        <f>IFERROR(__xludf.DUMMYFUNCTION("""COMPUTED_VALUE"""),749.76)</f>
        <v>749.76</v>
      </c>
      <c r="D2787" s="1">
        <f>IFERROR(__xludf.DUMMYFUNCTION("""COMPUTED_VALUE"""),739.75)</f>
        <v>739.75</v>
      </c>
      <c r="E2787" s="1">
        <f>IFERROR(__xludf.DUMMYFUNCTION("""COMPUTED_VALUE"""),749.76)</f>
        <v>749.76</v>
      </c>
      <c r="F2787" s="1">
        <f>IFERROR(__xludf.DUMMYFUNCTION("""COMPUTED_VALUE"""),5.9620312E7)</f>
        <v>59620312</v>
      </c>
    </row>
    <row r="2788">
      <c r="A2788" s="2">
        <f>IFERROR(__xludf.DUMMYFUNCTION("""COMPUTED_VALUE"""),35409.666666666664)</f>
        <v>35409.66667</v>
      </c>
      <c r="B2788" s="1">
        <f>IFERROR(__xludf.DUMMYFUNCTION("""COMPUTED_VALUE"""),749.76)</f>
        <v>749.76</v>
      </c>
      <c r="C2788" s="1">
        <f>IFERROR(__xludf.DUMMYFUNCTION("""COMPUTED_VALUE"""),753.43)</f>
        <v>753.43</v>
      </c>
      <c r="D2788" s="1">
        <f>IFERROR(__xludf.DUMMYFUNCTION("""COMPUTED_VALUE"""),747.02)</f>
        <v>747.02</v>
      </c>
      <c r="E2788" s="1">
        <f>IFERROR(__xludf.DUMMYFUNCTION("""COMPUTED_VALUE"""),747.54)</f>
        <v>747.54</v>
      </c>
      <c r="F2788" s="1">
        <f>IFERROR(__xludf.DUMMYFUNCTION("""COMPUTED_VALUE"""),6.9706248E7)</f>
        <v>69706248</v>
      </c>
    </row>
    <row r="2789">
      <c r="A2789" s="2">
        <f>IFERROR(__xludf.DUMMYFUNCTION("""COMPUTED_VALUE"""),35410.666666666664)</f>
        <v>35410.66667</v>
      </c>
      <c r="B2789" s="1">
        <f>IFERROR(__xludf.DUMMYFUNCTION("""COMPUTED_VALUE"""),747.54)</f>
        <v>747.54</v>
      </c>
      <c r="C2789" s="1">
        <f>IFERROR(__xludf.DUMMYFUNCTION("""COMPUTED_VALUE"""),747.54)</f>
        <v>747.54</v>
      </c>
      <c r="D2789" s="1">
        <f>IFERROR(__xludf.DUMMYFUNCTION("""COMPUTED_VALUE"""),732.75)</f>
        <v>732.75</v>
      </c>
      <c r="E2789" s="1">
        <f>IFERROR(__xludf.DUMMYFUNCTION("""COMPUTED_VALUE"""),740.73)</f>
        <v>740.73</v>
      </c>
      <c r="F2789" s="1">
        <f>IFERROR(__xludf.DUMMYFUNCTION("""COMPUTED_VALUE"""),7.7220312E7)</f>
        <v>77220312</v>
      </c>
    </row>
    <row r="2790">
      <c r="A2790" s="2">
        <f>IFERROR(__xludf.DUMMYFUNCTION("""COMPUTED_VALUE"""),35411.666666666664)</f>
        <v>35411.66667</v>
      </c>
      <c r="B2790" s="1">
        <f>IFERROR(__xludf.DUMMYFUNCTION("""COMPUTED_VALUE"""),740.73)</f>
        <v>740.73</v>
      </c>
      <c r="C2790" s="1">
        <f>IFERROR(__xludf.DUMMYFUNCTION("""COMPUTED_VALUE"""),744.86)</f>
        <v>744.86</v>
      </c>
      <c r="D2790" s="1">
        <f>IFERROR(__xludf.DUMMYFUNCTION("""COMPUTED_VALUE"""),729.3)</f>
        <v>729.3</v>
      </c>
      <c r="E2790" s="1">
        <f>IFERROR(__xludf.DUMMYFUNCTION("""COMPUTED_VALUE"""),729.3)</f>
        <v>729.3</v>
      </c>
      <c r="F2790" s="1">
        <f>IFERROR(__xludf.DUMMYFUNCTION("""COMPUTED_VALUE"""),7.7018752E7)</f>
        <v>77018752</v>
      </c>
    </row>
    <row r="2791">
      <c r="A2791" s="2">
        <f>IFERROR(__xludf.DUMMYFUNCTION("""COMPUTED_VALUE"""),35412.666666666664)</f>
        <v>35412.66667</v>
      </c>
      <c r="B2791" s="1">
        <f>IFERROR(__xludf.DUMMYFUNCTION("""COMPUTED_VALUE"""),729.33)</f>
        <v>729.33</v>
      </c>
      <c r="C2791" s="1">
        <f>IFERROR(__xludf.DUMMYFUNCTION("""COMPUTED_VALUE"""),731.47)</f>
        <v>731.47</v>
      </c>
      <c r="D2791" s="1">
        <f>IFERROR(__xludf.DUMMYFUNCTION("""COMPUTED_VALUE"""),721.88)</f>
        <v>721.88</v>
      </c>
      <c r="E2791" s="1">
        <f>IFERROR(__xludf.DUMMYFUNCTION("""COMPUTED_VALUE"""),728.64)</f>
        <v>728.64</v>
      </c>
      <c r="F2791" s="1">
        <f>IFERROR(__xludf.DUMMYFUNCTION("""COMPUTED_VALUE"""),7.1646872E7)</f>
        <v>71646872</v>
      </c>
    </row>
    <row r="2792">
      <c r="A2792" s="2">
        <f>IFERROR(__xludf.DUMMYFUNCTION("""COMPUTED_VALUE"""),35415.666666666664)</f>
        <v>35415.66667</v>
      </c>
      <c r="B2792" s="1">
        <f>IFERROR(__xludf.DUMMYFUNCTION("""COMPUTED_VALUE"""),728.64)</f>
        <v>728.64</v>
      </c>
      <c r="C2792" s="1">
        <f>IFERROR(__xludf.DUMMYFUNCTION("""COMPUTED_VALUE"""),732.68)</f>
        <v>732.68</v>
      </c>
      <c r="D2792" s="1">
        <f>IFERROR(__xludf.DUMMYFUNCTION("""COMPUTED_VALUE"""),719.4)</f>
        <v>719.4</v>
      </c>
      <c r="E2792" s="1">
        <f>IFERROR(__xludf.DUMMYFUNCTION("""COMPUTED_VALUE"""),720.98)</f>
        <v>720.98</v>
      </c>
      <c r="F2792" s="1">
        <f>IFERROR(__xludf.DUMMYFUNCTION("""COMPUTED_VALUE"""),6.9931248E7)</f>
        <v>69931248</v>
      </c>
    </row>
    <row r="2793">
      <c r="A2793" s="2">
        <f>IFERROR(__xludf.DUMMYFUNCTION("""COMPUTED_VALUE"""),35416.666666666664)</f>
        <v>35416.66667</v>
      </c>
      <c r="B2793" s="1">
        <f>IFERROR(__xludf.DUMMYFUNCTION("""COMPUTED_VALUE"""),720.98)</f>
        <v>720.98</v>
      </c>
      <c r="C2793" s="1">
        <f>IFERROR(__xludf.DUMMYFUNCTION("""COMPUTED_VALUE"""),727.67)</f>
        <v>727.67</v>
      </c>
      <c r="D2793" s="1">
        <f>IFERROR(__xludf.DUMMYFUNCTION("""COMPUTED_VALUE"""),716.69)</f>
        <v>716.69</v>
      </c>
      <c r="E2793" s="1">
        <f>IFERROR(__xludf.DUMMYFUNCTION("""COMPUTED_VALUE"""),726.04)</f>
        <v>726.04</v>
      </c>
      <c r="F2793" s="1">
        <f>IFERROR(__xludf.DUMMYFUNCTION("""COMPUTED_VALUE"""),8.1225E7)</f>
        <v>81225000</v>
      </c>
    </row>
    <row r="2794">
      <c r="A2794" s="2">
        <f>IFERROR(__xludf.DUMMYFUNCTION("""COMPUTED_VALUE"""),35417.666666666664)</f>
        <v>35417.66667</v>
      </c>
      <c r="B2794" s="1">
        <f>IFERROR(__xludf.DUMMYFUNCTION("""COMPUTED_VALUE"""),726.36)</f>
        <v>726.36</v>
      </c>
      <c r="C2794" s="1">
        <f>IFERROR(__xludf.DUMMYFUNCTION("""COMPUTED_VALUE"""),732.76)</f>
        <v>732.76</v>
      </c>
      <c r="D2794" s="1">
        <f>IFERROR(__xludf.DUMMYFUNCTION("""COMPUTED_VALUE"""),726.36)</f>
        <v>726.36</v>
      </c>
      <c r="E2794" s="1">
        <f>IFERROR(__xludf.DUMMYFUNCTION("""COMPUTED_VALUE"""),731.54)</f>
        <v>731.54</v>
      </c>
      <c r="F2794" s="1">
        <f>IFERROR(__xludf.DUMMYFUNCTION("""COMPUTED_VALUE"""),7.820156E7)</f>
        <v>78201560</v>
      </c>
    </row>
    <row r="2795">
      <c r="A2795" s="2">
        <f>IFERROR(__xludf.DUMMYFUNCTION("""COMPUTED_VALUE"""),35418.666666666664)</f>
        <v>35418.66667</v>
      </c>
      <c r="B2795" s="1">
        <f>IFERROR(__xludf.DUMMYFUNCTION("""COMPUTED_VALUE"""),731.54)</f>
        <v>731.54</v>
      </c>
      <c r="C2795" s="1">
        <f>IFERROR(__xludf.DUMMYFUNCTION("""COMPUTED_VALUE"""),746.06)</f>
        <v>746.06</v>
      </c>
      <c r="D2795" s="1">
        <f>IFERROR(__xludf.DUMMYFUNCTION("""COMPUTED_VALUE"""),731.54)</f>
        <v>731.54</v>
      </c>
      <c r="E2795" s="1">
        <f>IFERROR(__xludf.DUMMYFUNCTION("""COMPUTED_VALUE"""),745.76)</f>
        <v>745.76</v>
      </c>
      <c r="F2795" s="1">
        <f>IFERROR(__xludf.DUMMYFUNCTION("""COMPUTED_VALUE"""),8.225156E7)</f>
        <v>82251560</v>
      </c>
    </row>
    <row r="2796">
      <c r="A2796" s="2">
        <f>IFERROR(__xludf.DUMMYFUNCTION("""COMPUTED_VALUE"""),35419.666666666664)</f>
        <v>35419.66667</v>
      </c>
      <c r="B2796" s="1">
        <f>IFERROR(__xludf.DUMMYFUNCTION("""COMPUTED_VALUE"""),745.76)</f>
        <v>745.76</v>
      </c>
      <c r="C2796" s="1">
        <f>IFERROR(__xludf.DUMMYFUNCTION("""COMPUTED_VALUE"""),755.41)</f>
        <v>755.41</v>
      </c>
      <c r="D2796" s="1">
        <f>IFERROR(__xludf.DUMMYFUNCTION("""COMPUTED_VALUE"""),745.76)</f>
        <v>745.76</v>
      </c>
      <c r="E2796" s="1">
        <f>IFERROR(__xludf.DUMMYFUNCTION("""COMPUTED_VALUE"""),748.87)</f>
        <v>748.87</v>
      </c>
      <c r="F2796" s="1">
        <f>IFERROR(__xludf.DUMMYFUNCTION("""COMPUTED_VALUE"""),1.02240624E8)</f>
        <v>102240624</v>
      </c>
    </row>
    <row r="2797">
      <c r="A2797" s="2">
        <f>IFERROR(__xludf.DUMMYFUNCTION("""COMPUTED_VALUE"""),35422.666666666664)</f>
        <v>35422.66667</v>
      </c>
      <c r="B2797" s="1">
        <f>IFERROR(__xludf.DUMMYFUNCTION("""COMPUTED_VALUE"""),748.87)</f>
        <v>748.87</v>
      </c>
      <c r="C2797" s="1">
        <f>IFERROR(__xludf.DUMMYFUNCTION("""COMPUTED_VALUE"""),750.4)</f>
        <v>750.4</v>
      </c>
      <c r="D2797" s="1">
        <f>IFERROR(__xludf.DUMMYFUNCTION("""COMPUTED_VALUE"""),743.28)</f>
        <v>743.28</v>
      </c>
      <c r="E2797" s="1">
        <f>IFERROR(__xludf.DUMMYFUNCTION("""COMPUTED_VALUE"""),746.92)</f>
        <v>746.92</v>
      </c>
      <c r="F2797" s="1">
        <f>IFERROR(__xludf.DUMMYFUNCTION("""COMPUTED_VALUE"""),5.36375E7)</f>
        <v>53637500</v>
      </c>
    </row>
    <row r="2798">
      <c r="A2798" s="2">
        <f>IFERROR(__xludf.DUMMYFUNCTION("""COMPUTED_VALUE"""),35423.666666666664)</f>
        <v>35423.66667</v>
      </c>
      <c r="B2798" s="1">
        <f>IFERROR(__xludf.DUMMYFUNCTION("""COMPUTED_VALUE"""),746.92)</f>
        <v>746.92</v>
      </c>
      <c r="C2798" s="1">
        <f>IFERROR(__xludf.DUMMYFUNCTION("""COMPUTED_VALUE"""),751.03)</f>
        <v>751.03</v>
      </c>
      <c r="D2798" s="1">
        <f>IFERROR(__xludf.DUMMYFUNCTION("""COMPUTED_VALUE"""),746.92)</f>
        <v>746.92</v>
      </c>
      <c r="E2798" s="1">
        <f>IFERROR(__xludf.DUMMYFUNCTION("""COMPUTED_VALUE"""),751.03)</f>
        <v>751.03</v>
      </c>
      <c r="F2798" s="1">
        <f>IFERROR(__xludf.DUMMYFUNCTION("""COMPUTED_VALUE"""),2.5803124E7)</f>
        <v>25803124</v>
      </c>
    </row>
    <row r="2799">
      <c r="A2799" s="2">
        <f>IFERROR(__xludf.DUMMYFUNCTION("""COMPUTED_VALUE"""),35425.666666666664)</f>
        <v>35425.66667</v>
      </c>
      <c r="B2799" s="1">
        <f>IFERROR(__xludf.DUMMYFUNCTION("""COMPUTED_VALUE"""),751.02)</f>
        <v>751.02</v>
      </c>
      <c r="C2799" s="1">
        <f>IFERROR(__xludf.DUMMYFUNCTION("""COMPUTED_VALUE"""),757.07)</f>
        <v>757.07</v>
      </c>
      <c r="D2799" s="1">
        <f>IFERROR(__xludf.DUMMYFUNCTION("""COMPUTED_VALUE"""),751.02)</f>
        <v>751.02</v>
      </c>
      <c r="E2799" s="1">
        <f>IFERROR(__xludf.DUMMYFUNCTION("""COMPUTED_VALUE"""),755.82)</f>
        <v>755.82</v>
      </c>
      <c r="F2799" s="1">
        <f>IFERROR(__xludf.DUMMYFUNCTION("""COMPUTED_VALUE"""),3.9785936E7)</f>
        <v>39785936</v>
      </c>
    </row>
    <row r="2800">
      <c r="A2800" s="2">
        <f>IFERROR(__xludf.DUMMYFUNCTION("""COMPUTED_VALUE"""),35426.666666666664)</f>
        <v>35426.66667</v>
      </c>
      <c r="B2800" s="1">
        <f>IFERROR(__xludf.DUMMYFUNCTION("""COMPUTED_VALUE"""),755.82)</f>
        <v>755.82</v>
      </c>
      <c r="C2800" s="1">
        <f>IFERROR(__xludf.DUMMYFUNCTION("""COMPUTED_VALUE"""),758.75)</f>
        <v>758.75</v>
      </c>
      <c r="D2800" s="1">
        <f>IFERROR(__xludf.DUMMYFUNCTION("""COMPUTED_VALUE"""),754.82)</f>
        <v>754.82</v>
      </c>
      <c r="E2800" s="1">
        <f>IFERROR(__xludf.DUMMYFUNCTION("""COMPUTED_VALUE"""),756.79)</f>
        <v>756.79</v>
      </c>
      <c r="F2800" s="1">
        <f>IFERROR(__xludf.DUMMYFUNCTION("""COMPUTED_VALUE"""),3.9657812E7)</f>
        <v>39657812</v>
      </c>
    </row>
    <row r="2801">
      <c r="A2801" s="2">
        <f>IFERROR(__xludf.DUMMYFUNCTION("""COMPUTED_VALUE"""),35429.666666666664)</f>
        <v>35429.66667</v>
      </c>
      <c r="B2801" s="1">
        <f>IFERROR(__xludf.DUMMYFUNCTION("""COMPUTED_VALUE"""),756.79)</f>
        <v>756.79</v>
      </c>
      <c r="C2801" s="1">
        <f>IFERROR(__xludf.DUMMYFUNCTION("""COMPUTED_VALUE"""),759.2)</f>
        <v>759.2</v>
      </c>
      <c r="D2801" s="1">
        <f>IFERROR(__xludf.DUMMYFUNCTION("""COMPUTED_VALUE"""),752.73)</f>
        <v>752.73</v>
      </c>
      <c r="E2801" s="1">
        <f>IFERROR(__xludf.DUMMYFUNCTION("""COMPUTED_VALUE"""),753.85)</f>
        <v>753.85</v>
      </c>
      <c r="F2801" s="1">
        <f>IFERROR(__xludf.DUMMYFUNCTION("""COMPUTED_VALUE"""),5.2978124E7)</f>
        <v>52978124</v>
      </c>
    </row>
    <row r="2802">
      <c r="A2802" s="2">
        <f>IFERROR(__xludf.DUMMYFUNCTION("""COMPUTED_VALUE"""),35430.666666666664)</f>
        <v>35430.66667</v>
      </c>
      <c r="B2802" s="1">
        <f>IFERROR(__xludf.DUMMYFUNCTION("""COMPUTED_VALUE"""),753.85)</f>
        <v>753.85</v>
      </c>
      <c r="C2802" s="1">
        <f>IFERROR(__xludf.DUMMYFUNCTION("""COMPUTED_VALUE"""),753.95)</f>
        <v>753.95</v>
      </c>
      <c r="D2802" s="1">
        <f>IFERROR(__xludf.DUMMYFUNCTION("""COMPUTED_VALUE"""),740.74)</f>
        <v>740.74</v>
      </c>
      <c r="E2802" s="1">
        <f>IFERROR(__xludf.DUMMYFUNCTION("""COMPUTED_VALUE"""),740.74)</f>
        <v>740.74</v>
      </c>
      <c r="F2802" s="1">
        <f>IFERROR(__xludf.DUMMYFUNCTION("""COMPUTED_VALUE"""),6.24625E7)</f>
        <v>62462500</v>
      </c>
    </row>
    <row r="2803">
      <c r="A2803" s="2">
        <f>IFERROR(__xludf.DUMMYFUNCTION("""COMPUTED_VALUE"""),35432.666666666664)</f>
        <v>35432.66667</v>
      </c>
      <c r="B2803" s="1">
        <f>IFERROR(__xludf.DUMMYFUNCTION("""COMPUTED_VALUE"""),740.74)</f>
        <v>740.74</v>
      </c>
      <c r="C2803" s="1">
        <f>IFERROR(__xludf.DUMMYFUNCTION("""COMPUTED_VALUE"""),742.81)</f>
        <v>742.81</v>
      </c>
      <c r="D2803" s="1">
        <f>IFERROR(__xludf.DUMMYFUNCTION("""COMPUTED_VALUE"""),729.55)</f>
        <v>729.55</v>
      </c>
      <c r="E2803" s="1">
        <f>IFERROR(__xludf.DUMMYFUNCTION("""COMPUTED_VALUE"""),737.01)</f>
        <v>737.01</v>
      </c>
      <c r="F2803" s="1">
        <f>IFERROR(__xludf.DUMMYFUNCTION("""COMPUTED_VALUE"""),7.2379688E7)</f>
        <v>72379688</v>
      </c>
    </row>
    <row r="2804">
      <c r="A2804" s="2">
        <f>IFERROR(__xludf.DUMMYFUNCTION("""COMPUTED_VALUE"""),35433.666666666664)</f>
        <v>35433.66667</v>
      </c>
      <c r="B2804" s="1">
        <f>IFERROR(__xludf.DUMMYFUNCTION("""COMPUTED_VALUE"""),737.01)</f>
        <v>737.01</v>
      </c>
      <c r="C2804" s="1">
        <f>IFERROR(__xludf.DUMMYFUNCTION("""COMPUTED_VALUE"""),748.24)</f>
        <v>748.24</v>
      </c>
      <c r="D2804" s="1">
        <f>IFERROR(__xludf.DUMMYFUNCTION("""COMPUTED_VALUE"""),737.01)</f>
        <v>737.01</v>
      </c>
      <c r="E2804" s="1">
        <f>IFERROR(__xludf.DUMMYFUNCTION("""COMPUTED_VALUE"""),748.03)</f>
        <v>748.03</v>
      </c>
      <c r="F2804" s="1">
        <f>IFERROR(__xludf.DUMMYFUNCTION("""COMPUTED_VALUE"""),7.077656E7)</f>
        <v>70776560</v>
      </c>
    </row>
    <row r="2805">
      <c r="A2805" s="2">
        <f>IFERROR(__xludf.DUMMYFUNCTION("""COMPUTED_VALUE"""),35436.666666666664)</f>
        <v>35436.66667</v>
      </c>
      <c r="B2805" s="1">
        <f>IFERROR(__xludf.DUMMYFUNCTION("""COMPUTED_VALUE"""),748.12)</f>
        <v>748.12</v>
      </c>
      <c r="C2805" s="1">
        <f>IFERROR(__xludf.DUMMYFUNCTION("""COMPUTED_VALUE"""),753.31)</f>
        <v>753.31</v>
      </c>
      <c r="D2805" s="1">
        <f>IFERROR(__xludf.DUMMYFUNCTION("""COMPUTED_VALUE"""),743.82)</f>
        <v>743.82</v>
      </c>
      <c r="E2805" s="1">
        <f>IFERROR(__xludf.DUMMYFUNCTION("""COMPUTED_VALUE"""),747.65)</f>
        <v>747.65</v>
      </c>
      <c r="F2805" s="1">
        <f>IFERROR(__xludf.DUMMYFUNCTION("""COMPUTED_VALUE"""),8.302344E7)</f>
        <v>83023440</v>
      </c>
    </row>
    <row r="2806">
      <c r="A2806" s="2">
        <f>IFERROR(__xludf.DUMMYFUNCTION("""COMPUTED_VALUE"""),35437.666666666664)</f>
        <v>35437.66667</v>
      </c>
      <c r="B2806" s="1">
        <f>IFERROR(__xludf.DUMMYFUNCTION("""COMPUTED_VALUE"""),747.65)</f>
        <v>747.65</v>
      </c>
      <c r="C2806" s="1">
        <f>IFERROR(__xludf.DUMMYFUNCTION("""COMPUTED_VALUE"""),753.26)</f>
        <v>753.26</v>
      </c>
      <c r="D2806" s="1">
        <f>IFERROR(__xludf.DUMMYFUNCTION("""COMPUTED_VALUE"""),742.18)</f>
        <v>742.18</v>
      </c>
      <c r="E2806" s="1">
        <f>IFERROR(__xludf.DUMMYFUNCTION("""COMPUTED_VALUE"""),753.23)</f>
        <v>753.23</v>
      </c>
      <c r="F2806" s="1">
        <f>IFERROR(__xludf.DUMMYFUNCTION("""COMPUTED_VALUE"""),8.4096872E7)</f>
        <v>84096872</v>
      </c>
    </row>
    <row r="2807">
      <c r="A2807" s="2">
        <f>IFERROR(__xludf.DUMMYFUNCTION("""COMPUTED_VALUE"""),35438.666666666664)</f>
        <v>35438.66667</v>
      </c>
      <c r="B2807" s="1">
        <f>IFERROR(__xludf.DUMMYFUNCTION("""COMPUTED_VALUE"""),753.23)</f>
        <v>753.23</v>
      </c>
      <c r="C2807" s="1">
        <f>IFERROR(__xludf.DUMMYFUNCTION("""COMPUTED_VALUE"""),755.72)</f>
        <v>755.72</v>
      </c>
      <c r="D2807" s="1">
        <f>IFERROR(__xludf.DUMMYFUNCTION("""COMPUTED_VALUE"""),747.71)</f>
        <v>747.71</v>
      </c>
      <c r="E2807" s="1">
        <f>IFERROR(__xludf.DUMMYFUNCTION("""COMPUTED_VALUE"""),748.41)</f>
        <v>748.41</v>
      </c>
      <c r="F2807" s="1">
        <f>IFERROR(__xludf.DUMMYFUNCTION("""COMPUTED_VALUE"""),8.7110936E7)</f>
        <v>87110936</v>
      </c>
    </row>
    <row r="2808">
      <c r="A2808" s="2">
        <f>IFERROR(__xludf.DUMMYFUNCTION("""COMPUTED_VALUE"""),35439.666666666664)</f>
        <v>35439.66667</v>
      </c>
      <c r="B2808" s="1">
        <f>IFERROR(__xludf.DUMMYFUNCTION("""COMPUTED_VALUE"""),748.41)</f>
        <v>748.41</v>
      </c>
      <c r="C2808" s="1">
        <f>IFERROR(__xludf.DUMMYFUNCTION("""COMPUTED_VALUE"""),757.68)</f>
        <v>757.68</v>
      </c>
      <c r="D2808" s="1">
        <f>IFERROR(__xludf.DUMMYFUNCTION("""COMPUTED_VALUE"""),748.41)</f>
        <v>748.41</v>
      </c>
      <c r="E2808" s="1">
        <f>IFERROR(__xludf.DUMMYFUNCTION("""COMPUTED_VALUE"""),754.85)</f>
        <v>754.85</v>
      </c>
      <c r="F2808" s="1">
        <f>IFERROR(__xludf.DUMMYFUNCTION("""COMPUTED_VALUE"""),8.677656E7)</f>
        <v>86776560</v>
      </c>
    </row>
    <row r="2809">
      <c r="A2809" s="2">
        <f>IFERROR(__xludf.DUMMYFUNCTION("""COMPUTED_VALUE"""),35440.666666666664)</f>
        <v>35440.66667</v>
      </c>
      <c r="B2809" s="1">
        <f>IFERROR(__xludf.DUMMYFUNCTION("""COMPUTED_VALUE"""),754.82)</f>
        <v>754.82</v>
      </c>
      <c r="C2809" s="1">
        <f>IFERROR(__xludf.DUMMYFUNCTION("""COMPUTED_VALUE"""),759.65)</f>
        <v>759.65</v>
      </c>
      <c r="D2809" s="1">
        <f>IFERROR(__xludf.DUMMYFUNCTION("""COMPUTED_VALUE"""),746.92)</f>
        <v>746.92</v>
      </c>
      <c r="E2809" s="1">
        <f>IFERROR(__xludf.DUMMYFUNCTION("""COMPUTED_VALUE"""),759.5)</f>
        <v>759.5</v>
      </c>
      <c r="F2809" s="1">
        <f>IFERROR(__xludf.DUMMYFUNCTION("""COMPUTED_VALUE"""),8.5289064E7)</f>
        <v>85289064</v>
      </c>
    </row>
    <row r="2810">
      <c r="A2810" s="2">
        <f>IFERROR(__xludf.DUMMYFUNCTION("""COMPUTED_VALUE"""),35443.666666666664)</f>
        <v>35443.66667</v>
      </c>
      <c r="B2810" s="1">
        <f>IFERROR(__xludf.DUMMYFUNCTION("""COMPUTED_VALUE"""),759.5)</f>
        <v>759.5</v>
      </c>
      <c r="C2810" s="1">
        <f>IFERROR(__xludf.DUMMYFUNCTION("""COMPUTED_VALUE"""),762.85)</f>
        <v>762.85</v>
      </c>
      <c r="D2810" s="1">
        <f>IFERROR(__xludf.DUMMYFUNCTION("""COMPUTED_VALUE"""),756.69)</f>
        <v>756.69</v>
      </c>
      <c r="E2810" s="1">
        <f>IFERROR(__xludf.DUMMYFUNCTION("""COMPUTED_VALUE"""),759.51)</f>
        <v>759.51</v>
      </c>
      <c r="F2810" s="1">
        <f>IFERROR(__xludf.DUMMYFUNCTION("""COMPUTED_VALUE"""),6.9593752E7)</f>
        <v>69593752</v>
      </c>
    </row>
    <row r="2811">
      <c r="A2811" s="2">
        <f>IFERROR(__xludf.DUMMYFUNCTION("""COMPUTED_VALUE"""),35444.666666666664)</f>
        <v>35444.66667</v>
      </c>
      <c r="B2811" s="1">
        <f>IFERROR(__xludf.DUMMYFUNCTION("""COMPUTED_VALUE"""),759.61)</f>
        <v>759.61</v>
      </c>
      <c r="C2811" s="1">
        <f>IFERROR(__xludf.DUMMYFUNCTION("""COMPUTED_VALUE"""),772.04)</f>
        <v>772.04</v>
      </c>
      <c r="D2811" s="1">
        <f>IFERROR(__xludf.DUMMYFUNCTION("""COMPUTED_VALUE"""),759.61)</f>
        <v>759.61</v>
      </c>
      <c r="E2811" s="1">
        <f>IFERROR(__xludf.DUMMYFUNCTION("""COMPUTED_VALUE"""),768.86)</f>
        <v>768.86</v>
      </c>
      <c r="F2811" s="1">
        <f>IFERROR(__xludf.DUMMYFUNCTION("""COMPUTED_VALUE"""),8.3062496E7)</f>
        <v>83062496</v>
      </c>
    </row>
    <row r="2812">
      <c r="A2812" s="2">
        <f>IFERROR(__xludf.DUMMYFUNCTION("""COMPUTED_VALUE"""),35445.666666666664)</f>
        <v>35445.66667</v>
      </c>
      <c r="B2812" s="1">
        <f>IFERROR(__xludf.DUMMYFUNCTION("""COMPUTED_VALUE"""),768.94)</f>
        <v>768.94</v>
      </c>
      <c r="C2812" s="1">
        <f>IFERROR(__xludf.DUMMYFUNCTION("""COMPUTED_VALUE"""),770.95)</f>
        <v>770.95</v>
      </c>
      <c r="D2812" s="1">
        <f>IFERROR(__xludf.DUMMYFUNCTION("""COMPUTED_VALUE"""),763.72)</f>
        <v>763.72</v>
      </c>
      <c r="E2812" s="1">
        <f>IFERROR(__xludf.DUMMYFUNCTION("""COMPUTED_VALUE"""),767.2)</f>
        <v>767.2</v>
      </c>
      <c r="F2812" s="1">
        <f>IFERROR(__xludf.DUMMYFUNCTION("""COMPUTED_VALUE"""),8.2029688E7)</f>
        <v>82029688</v>
      </c>
    </row>
    <row r="2813">
      <c r="A2813" s="2">
        <f>IFERROR(__xludf.DUMMYFUNCTION("""COMPUTED_VALUE"""),35446.666666666664)</f>
        <v>35446.66667</v>
      </c>
      <c r="B2813" s="1">
        <f>IFERROR(__xludf.DUMMYFUNCTION("""COMPUTED_VALUE"""),767.41)</f>
        <v>767.41</v>
      </c>
      <c r="C2813" s="1">
        <f>IFERROR(__xludf.DUMMYFUNCTION("""COMPUTED_VALUE"""),772.05)</f>
        <v>772.05</v>
      </c>
      <c r="D2813" s="1">
        <f>IFERROR(__xludf.DUMMYFUNCTION("""COMPUTED_VALUE"""),765.25)</f>
        <v>765.25</v>
      </c>
      <c r="E2813" s="1">
        <f>IFERROR(__xludf.DUMMYFUNCTION("""COMPUTED_VALUE"""),769.75)</f>
        <v>769.75</v>
      </c>
      <c r="F2813" s="1">
        <f>IFERROR(__xludf.DUMMYFUNCTION("""COMPUTED_VALUE"""),8.395156E7)</f>
        <v>83951560</v>
      </c>
    </row>
    <row r="2814">
      <c r="A2814" s="2">
        <f>IFERROR(__xludf.DUMMYFUNCTION("""COMPUTED_VALUE"""),35447.666666666664)</f>
        <v>35447.66667</v>
      </c>
      <c r="B2814" s="1">
        <f>IFERROR(__xludf.DUMMYFUNCTION("""COMPUTED_VALUE"""),769.75)</f>
        <v>769.75</v>
      </c>
      <c r="C2814" s="1">
        <f>IFERROR(__xludf.DUMMYFUNCTION("""COMPUTED_VALUE"""),776.37)</f>
        <v>776.37</v>
      </c>
      <c r="D2814" s="1">
        <f>IFERROR(__xludf.DUMMYFUNCTION("""COMPUTED_VALUE"""),769.72)</f>
        <v>769.72</v>
      </c>
      <c r="E2814" s="1">
        <f>IFERROR(__xludf.DUMMYFUNCTION("""COMPUTED_VALUE"""),776.17)</f>
        <v>776.17</v>
      </c>
      <c r="F2814" s="1">
        <f>IFERROR(__xludf.DUMMYFUNCTION("""COMPUTED_VALUE"""),8.3537504E7)</f>
        <v>83537504</v>
      </c>
    </row>
    <row r="2815">
      <c r="A2815" s="2">
        <f>IFERROR(__xludf.DUMMYFUNCTION("""COMPUTED_VALUE"""),35450.666666666664)</f>
        <v>35450.66667</v>
      </c>
      <c r="B2815" s="1">
        <f>IFERROR(__xludf.DUMMYFUNCTION("""COMPUTED_VALUE"""),776.15)</f>
        <v>776.15</v>
      </c>
      <c r="C2815" s="1">
        <f>IFERROR(__xludf.DUMMYFUNCTION("""COMPUTED_VALUE"""),780.08)</f>
        <v>780.08</v>
      </c>
      <c r="D2815" s="1">
        <f>IFERROR(__xludf.DUMMYFUNCTION("""COMPUTED_VALUE"""),774.19)</f>
        <v>774.19</v>
      </c>
      <c r="E2815" s="1">
        <f>IFERROR(__xludf.DUMMYFUNCTION("""COMPUTED_VALUE"""),776.7)</f>
        <v>776.7</v>
      </c>
      <c r="F2815" s="1">
        <f>IFERROR(__xludf.DUMMYFUNCTION("""COMPUTED_VALUE"""),6.882344E7)</f>
        <v>68823440</v>
      </c>
    </row>
    <row r="2816">
      <c r="A2816" s="2">
        <f>IFERROR(__xludf.DUMMYFUNCTION("""COMPUTED_VALUE"""),35451.666666666664)</f>
        <v>35451.66667</v>
      </c>
      <c r="B2816" s="1">
        <f>IFERROR(__xludf.DUMMYFUNCTION("""COMPUTED_VALUE"""),776.7)</f>
        <v>776.7</v>
      </c>
      <c r="C2816" s="1">
        <f>IFERROR(__xludf.DUMMYFUNCTION("""COMPUTED_VALUE"""),783.72)</f>
        <v>783.72</v>
      </c>
      <c r="D2816" s="1">
        <f>IFERROR(__xludf.DUMMYFUNCTION("""COMPUTED_VALUE"""),772.0)</f>
        <v>772</v>
      </c>
      <c r="E2816" s="1">
        <f>IFERROR(__xludf.DUMMYFUNCTION("""COMPUTED_VALUE"""),782.72)</f>
        <v>782.72</v>
      </c>
      <c r="F2816" s="1">
        <f>IFERROR(__xludf.DUMMYFUNCTION("""COMPUTED_VALUE"""),8.9262496E7)</f>
        <v>89262496</v>
      </c>
    </row>
    <row r="2817">
      <c r="A2817" s="2">
        <f>IFERROR(__xludf.DUMMYFUNCTION("""COMPUTED_VALUE"""),35452.666666666664)</f>
        <v>35452.66667</v>
      </c>
      <c r="B2817" s="1">
        <f>IFERROR(__xludf.DUMMYFUNCTION("""COMPUTED_VALUE"""),782.72)</f>
        <v>782.72</v>
      </c>
      <c r="C2817" s="1">
        <f>IFERROR(__xludf.DUMMYFUNCTION("""COMPUTED_VALUE"""),786.23)</f>
        <v>786.23</v>
      </c>
      <c r="D2817" s="1">
        <f>IFERROR(__xludf.DUMMYFUNCTION("""COMPUTED_VALUE"""),779.56)</f>
        <v>779.56</v>
      </c>
      <c r="E2817" s="1">
        <f>IFERROR(__xludf.DUMMYFUNCTION("""COMPUTED_VALUE"""),786.23)</f>
        <v>786.23</v>
      </c>
      <c r="F2817" s="1">
        <f>IFERROR(__xludf.DUMMYFUNCTION("""COMPUTED_VALUE"""),9.2067184E7)</f>
        <v>92067184</v>
      </c>
    </row>
    <row r="2818">
      <c r="A2818" s="2">
        <f>IFERROR(__xludf.DUMMYFUNCTION("""COMPUTED_VALUE"""),35453.666666666664)</f>
        <v>35453.66667</v>
      </c>
      <c r="B2818" s="1">
        <f>IFERROR(__xludf.DUMMYFUNCTION("""COMPUTED_VALUE"""),786.23)</f>
        <v>786.23</v>
      </c>
      <c r="C2818" s="1">
        <f>IFERROR(__xludf.DUMMYFUNCTION("""COMPUTED_VALUE"""),794.67)</f>
        <v>794.67</v>
      </c>
      <c r="D2818" s="1">
        <f>IFERROR(__xludf.DUMMYFUNCTION("""COMPUTED_VALUE"""),776.64)</f>
        <v>776.64</v>
      </c>
      <c r="E2818" s="1">
        <f>IFERROR(__xludf.DUMMYFUNCTION("""COMPUTED_VALUE"""),777.56)</f>
        <v>777.56</v>
      </c>
      <c r="F2818" s="1">
        <f>IFERROR(__xludf.DUMMYFUNCTION("""COMPUTED_VALUE"""),1.07042184E8)</f>
        <v>107042184</v>
      </c>
    </row>
    <row r="2819">
      <c r="A2819" s="2">
        <f>IFERROR(__xludf.DUMMYFUNCTION("""COMPUTED_VALUE"""),35454.666666666664)</f>
        <v>35454.66667</v>
      </c>
      <c r="B2819" s="1">
        <f>IFERROR(__xludf.DUMMYFUNCTION("""COMPUTED_VALUE"""),777.56)</f>
        <v>777.56</v>
      </c>
      <c r="C2819" s="1">
        <f>IFERROR(__xludf.DUMMYFUNCTION("""COMPUTED_VALUE"""),778.21)</f>
        <v>778.21</v>
      </c>
      <c r="D2819" s="1">
        <f>IFERROR(__xludf.DUMMYFUNCTION("""COMPUTED_VALUE"""),768.17)</f>
        <v>768.17</v>
      </c>
      <c r="E2819" s="1">
        <f>IFERROR(__xludf.DUMMYFUNCTION("""COMPUTED_VALUE"""),770.52)</f>
        <v>770.52</v>
      </c>
      <c r="F2819" s="1">
        <f>IFERROR(__xludf.DUMMYFUNCTION("""COMPUTED_VALUE"""),8.4831248E7)</f>
        <v>84831248</v>
      </c>
    </row>
    <row r="2820">
      <c r="A2820" s="2">
        <f>IFERROR(__xludf.DUMMYFUNCTION("""COMPUTED_VALUE"""),35457.666666666664)</f>
        <v>35457.66667</v>
      </c>
      <c r="B2820" s="1">
        <f>IFERROR(__xludf.DUMMYFUNCTION("""COMPUTED_VALUE"""),770.52)</f>
        <v>770.52</v>
      </c>
      <c r="C2820" s="1">
        <f>IFERROR(__xludf.DUMMYFUNCTION("""COMPUTED_VALUE"""),771.43)</f>
        <v>771.43</v>
      </c>
      <c r="D2820" s="1">
        <f>IFERROR(__xludf.DUMMYFUNCTION("""COMPUTED_VALUE"""),764.18)</f>
        <v>764.18</v>
      </c>
      <c r="E2820" s="1">
        <f>IFERROR(__xludf.DUMMYFUNCTION("""COMPUTED_VALUE"""),765.02)</f>
        <v>765.02</v>
      </c>
      <c r="F2820" s="1">
        <f>IFERROR(__xludf.DUMMYFUNCTION("""COMPUTED_VALUE"""),6.965E7)</f>
        <v>69650000</v>
      </c>
    </row>
    <row r="2821">
      <c r="A2821" s="2">
        <f>IFERROR(__xludf.DUMMYFUNCTION("""COMPUTED_VALUE"""),35458.666666666664)</f>
        <v>35458.66667</v>
      </c>
      <c r="B2821" s="1">
        <f>IFERROR(__xludf.DUMMYFUNCTION("""COMPUTED_VALUE"""),765.02)</f>
        <v>765.02</v>
      </c>
      <c r="C2821" s="1">
        <f>IFERROR(__xludf.DUMMYFUNCTION("""COMPUTED_VALUE"""),776.32)</f>
        <v>776.32</v>
      </c>
      <c r="D2821" s="1">
        <f>IFERROR(__xludf.DUMMYFUNCTION("""COMPUTED_VALUE"""),761.75)</f>
        <v>761.75</v>
      </c>
      <c r="E2821" s="1">
        <f>IFERROR(__xludf.DUMMYFUNCTION("""COMPUTED_VALUE"""),765.02)</f>
        <v>765.02</v>
      </c>
      <c r="F2821" s="1">
        <f>IFERROR(__xludf.DUMMYFUNCTION("""COMPUTED_VALUE"""),8.4621872E7)</f>
        <v>84621872</v>
      </c>
    </row>
    <row r="2822">
      <c r="A2822" s="2">
        <f>IFERROR(__xludf.DUMMYFUNCTION("""COMPUTED_VALUE"""),35459.666666666664)</f>
        <v>35459.66667</v>
      </c>
      <c r="B2822" s="1">
        <f>IFERROR(__xludf.DUMMYFUNCTION("""COMPUTED_VALUE"""),765.48)</f>
        <v>765.48</v>
      </c>
      <c r="C2822" s="1">
        <f>IFERROR(__xludf.DUMMYFUNCTION("""COMPUTED_VALUE"""),772.7)</f>
        <v>772.7</v>
      </c>
      <c r="D2822" s="1">
        <f>IFERROR(__xludf.DUMMYFUNCTION("""COMPUTED_VALUE"""),765.48)</f>
        <v>765.48</v>
      </c>
      <c r="E2822" s="1">
        <f>IFERROR(__xludf.DUMMYFUNCTION("""COMPUTED_VALUE"""),772.5)</f>
        <v>772.5</v>
      </c>
      <c r="F2822" s="1">
        <f>IFERROR(__xludf.DUMMYFUNCTION("""COMPUTED_VALUE"""),7.787344E7)</f>
        <v>77873440</v>
      </c>
    </row>
    <row r="2823">
      <c r="A2823" s="2">
        <f>IFERROR(__xludf.DUMMYFUNCTION("""COMPUTED_VALUE"""),35460.666666666664)</f>
        <v>35460.66667</v>
      </c>
      <c r="B2823" s="1">
        <f>IFERROR(__xludf.DUMMYFUNCTION("""COMPUTED_VALUE"""),772.5)</f>
        <v>772.5</v>
      </c>
      <c r="C2823" s="1">
        <f>IFERROR(__xludf.DUMMYFUNCTION("""COMPUTED_VALUE"""),784.17)</f>
        <v>784.17</v>
      </c>
      <c r="D2823" s="1">
        <f>IFERROR(__xludf.DUMMYFUNCTION("""COMPUTED_VALUE"""),772.5)</f>
        <v>772.5</v>
      </c>
      <c r="E2823" s="1">
        <f>IFERROR(__xludf.DUMMYFUNCTION("""COMPUTED_VALUE"""),784.17)</f>
        <v>784.17</v>
      </c>
      <c r="F2823" s="1">
        <f>IFERROR(__xludf.DUMMYFUNCTION("""COMPUTED_VALUE"""),8.19E7)</f>
        <v>81900000</v>
      </c>
    </row>
    <row r="2824">
      <c r="A2824" s="2">
        <f>IFERROR(__xludf.DUMMYFUNCTION("""COMPUTED_VALUE"""),35461.666666666664)</f>
        <v>35461.66667</v>
      </c>
      <c r="B2824" s="1">
        <f>IFERROR(__xludf.DUMMYFUNCTION("""COMPUTED_VALUE"""),784.17)</f>
        <v>784.17</v>
      </c>
      <c r="C2824" s="1">
        <f>IFERROR(__xludf.DUMMYFUNCTION("""COMPUTED_VALUE"""),791.86)</f>
        <v>791.86</v>
      </c>
      <c r="D2824" s="1">
        <f>IFERROR(__xludf.DUMMYFUNCTION("""COMPUTED_VALUE"""),784.17)</f>
        <v>784.17</v>
      </c>
      <c r="E2824" s="1">
        <f>IFERROR(__xludf.DUMMYFUNCTION("""COMPUTED_VALUE"""),786.16)</f>
        <v>786.16</v>
      </c>
      <c r="F2824" s="1">
        <f>IFERROR(__xludf.DUMMYFUNCTION("""COMPUTED_VALUE"""),9.039844E7)</f>
        <v>90398440</v>
      </c>
    </row>
    <row r="2825">
      <c r="A2825" s="2">
        <f>IFERROR(__xludf.DUMMYFUNCTION("""COMPUTED_VALUE"""),35464.666666666664)</f>
        <v>35464.66667</v>
      </c>
      <c r="B2825" s="1">
        <f>IFERROR(__xludf.DUMMYFUNCTION("""COMPUTED_VALUE"""),786.16)</f>
        <v>786.16</v>
      </c>
      <c r="C2825" s="1">
        <f>IFERROR(__xludf.DUMMYFUNCTION("""COMPUTED_VALUE"""),787.14)</f>
        <v>787.14</v>
      </c>
      <c r="D2825" s="1">
        <f>IFERROR(__xludf.DUMMYFUNCTION("""COMPUTED_VALUE"""),783.12)</f>
        <v>783.12</v>
      </c>
      <c r="E2825" s="1">
        <f>IFERROR(__xludf.DUMMYFUNCTION("""COMPUTED_VALUE"""),786.73)</f>
        <v>786.73</v>
      </c>
      <c r="F2825" s="1">
        <f>IFERROR(__xludf.DUMMYFUNCTION("""COMPUTED_VALUE"""),7.2437504E7)</f>
        <v>72437504</v>
      </c>
    </row>
    <row r="2826">
      <c r="A2826" s="2">
        <f>IFERROR(__xludf.DUMMYFUNCTION("""COMPUTED_VALUE"""),35465.666666666664)</f>
        <v>35465.66667</v>
      </c>
      <c r="B2826" s="1">
        <f>IFERROR(__xludf.DUMMYFUNCTION("""COMPUTED_VALUE"""),786.73)</f>
        <v>786.73</v>
      </c>
      <c r="C2826" s="1">
        <f>IFERROR(__xludf.DUMMYFUNCTION("""COMPUTED_VALUE"""),789.28)</f>
        <v>789.28</v>
      </c>
      <c r="D2826" s="1">
        <f>IFERROR(__xludf.DUMMYFUNCTION("""COMPUTED_VALUE"""),783.68)</f>
        <v>783.68</v>
      </c>
      <c r="E2826" s="1">
        <f>IFERROR(__xludf.DUMMYFUNCTION("""COMPUTED_VALUE"""),789.26)</f>
        <v>789.26</v>
      </c>
      <c r="F2826" s="1">
        <f>IFERROR(__xludf.DUMMYFUNCTION("""COMPUTED_VALUE"""),7.9145312E7)</f>
        <v>79145312</v>
      </c>
    </row>
    <row r="2827">
      <c r="A2827" s="2">
        <f>IFERROR(__xludf.DUMMYFUNCTION("""COMPUTED_VALUE"""),35466.666666666664)</f>
        <v>35466.66667</v>
      </c>
      <c r="B2827" s="1">
        <f>IFERROR(__xludf.DUMMYFUNCTION("""COMPUTED_VALUE"""),789.03)</f>
        <v>789.03</v>
      </c>
      <c r="C2827" s="1">
        <f>IFERROR(__xludf.DUMMYFUNCTION("""COMPUTED_VALUE"""),792.71)</f>
        <v>792.71</v>
      </c>
      <c r="D2827" s="1">
        <f>IFERROR(__xludf.DUMMYFUNCTION("""COMPUTED_VALUE"""),773.43)</f>
        <v>773.43</v>
      </c>
      <c r="E2827" s="1">
        <f>IFERROR(__xludf.DUMMYFUNCTION("""COMPUTED_VALUE"""),778.28)</f>
        <v>778.28</v>
      </c>
      <c r="F2827" s="1">
        <f>IFERROR(__xludf.DUMMYFUNCTION("""COMPUTED_VALUE"""),9.0706248E7)</f>
        <v>90706248</v>
      </c>
    </row>
    <row r="2828">
      <c r="A2828" s="2">
        <f>IFERROR(__xludf.DUMMYFUNCTION("""COMPUTED_VALUE"""),35467.666666666664)</f>
        <v>35467.66667</v>
      </c>
      <c r="B2828" s="1">
        <f>IFERROR(__xludf.DUMMYFUNCTION("""COMPUTED_VALUE"""),778.48)</f>
        <v>778.48</v>
      </c>
      <c r="C2828" s="1">
        <f>IFERROR(__xludf.DUMMYFUNCTION("""COMPUTED_VALUE"""),780.35)</f>
        <v>780.35</v>
      </c>
      <c r="D2828" s="1">
        <f>IFERROR(__xludf.DUMMYFUNCTION("""COMPUTED_VALUE"""),774.45)</f>
        <v>774.45</v>
      </c>
      <c r="E2828" s="1">
        <f>IFERROR(__xludf.DUMMYFUNCTION("""COMPUTED_VALUE"""),780.15)</f>
        <v>780.15</v>
      </c>
      <c r="F2828" s="1">
        <f>IFERROR(__xludf.DUMMYFUNCTION("""COMPUTED_VALUE"""),8.1196872E7)</f>
        <v>81196872</v>
      </c>
    </row>
    <row r="2829">
      <c r="A2829" s="2">
        <f>IFERROR(__xludf.DUMMYFUNCTION("""COMPUTED_VALUE"""),35468.666666666664)</f>
        <v>35468.66667</v>
      </c>
      <c r="B2829" s="1">
        <f>IFERROR(__xludf.DUMMYFUNCTION("""COMPUTED_VALUE"""),780.85)</f>
        <v>780.85</v>
      </c>
      <c r="C2829" s="1">
        <f>IFERROR(__xludf.DUMMYFUNCTION("""COMPUTED_VALUE"""),789.72)</f>
        <v>789.72</v>
      </c>
      <c r="D2829" s="1">
        <f>IFERROR(__xludf.DUMMYFUNCTION("""COMPUTED_VALUE"""),778.19)</f>
        <v>778.19</v>
      </c>
      <c r="E2829" s="1">
        <f>IFERROR(__xludf.DUMMYFUNCTION("""COMPUTED_VALUE"""),789.56)</f>
        <v>789.56</v>
      </c>
      <c r="F2829" s="1">
        <f>IFERROR(__xludf.DUMMYFUNCTION("""COMPUTED_VALUE"""),8.4517184E7)</f>
        <v>84517184</v>
      </c>
    </row>
    <row r="2830">
      <c r="A2830" s="2">
        <f>IFERROR(__xludf.DUMMYFUNCTION("""COMPUTED_VALUE"""),35471.666666666664)</f>
        <v>35471.66667</v>
      </c>
      <c r="B2830" s="1">
        <f>IFERROR(__xludf.DUMMYFUNCTION("""COMPUTED_VALUE"""),789.56)</f>
        <v>789.56</v>
      </c>
      <c r="C2830" s="1">
        <f>IFERROR(__xludf.DUMMYFUNCTION("""COMPUTED_VALUE"""),793.46)</f>
        <v>793.46</v>
      </c>
      <c r="D2830" s="1">
        <f>IFERROR(__xludf.DUMMYFUNCTION("""COMPUTED_VALUE"""),784.69)</f>
        <v>784.69</v>
      </c>
      <c r="E2830" s="1">
        <f>IFERROR(__xludf.DUMMYFUNCTION("""COMPUTED_VALUE"""),785.43)</f>
        <v>785.43</v>
      </c>
      <c r="F2830" s="1">
        <f>IFERROR(__xludf.DUMMYFUNCTION("""COMPUTED_VALUE"""),7.3685936E7)</f>
        <v>73685936</v>
      </c>
    </row>
    <row r="2831">
      <c r="A2831" s="2">
        <f>IFERROR(__xludf.DUMMYFUNCTION("""COMPUTED_VALUE"""),35472.666666666664)</f>
        <v>35472.66667</v>
      </c>
      <c r="B2831" s="1">
        <f>IFERROR(__xludf.DUMMYFUNCTION("""COMPUTED_VALUE"""),785.43)</f>
        <v>785.43</v>
      </c>
      <c r="C2831" s="1">
        <f>IFERROR(__xludf.DUMMYFUNCTION("""COMPUTED_VALUE"""),789.6)</f>
        <v>789.6</v>
      </c>
      <c r="D2831" s="1">
        <f>IFERROR(__xludf.DUMMYFUNCTION("""COMPUTED_VALUE"""),780.95)</f>
        <v>780.95</v>
      </c>
      <c r="E2831" s="1">
        <f>IFERROR(__xludf.DUMMYFUNCTION("""COMPUTED_VALUE"""),789.59)</f>
        <v>789.59</v>
      </c>
      <c r="F2831" s="1">
        <f>IFERROR(__xludf.DUMMYFUNCTION("""COMPUTED_VALUE"""),7.5482816E7)</f>
        <v>75482816</v>
      </c>
    </row>
    <row r="2832">
      <c r="A2832" s="2">
        <f>IFERROR(__xludf.DUMMYFUNCTION("""COMPUTED_VALUE"""),35473.666666666664)</f>
        <v>35473.66667</v>
      </c>
      <c r="B2832" s="1">
        <f>IFERROR(__xludf.DUMMYFUNCTION("""COMPUTED_VALUE"""),789.59)</f>
        <v>789.59</v>
      </c>
      <c r="C2832" s="1">
        <f>IFERROR(__xludf.DUMMYFUNCTION("""COMPUTED_VALUE"""),802.77)</f>
        <v>802.77</v>
      </c>
      <c r="D2832" s="1">
        <f>IFERROR(__xludf.DUMMYFUNCTION("""COMPUTED_VALUE"""),789.59)</f>
        <v>789.59</v>
      </c>
      <c r="E2832" s="1">
        <f>IFERROR(__xludf.DUMMYFUNCTION("""COMPUTED_VALUE"""),802.77)</f>
        <v>802.77</v>
      </c>
      <c r="F2832" s="1">
        <f>IFERROR(__xludf.DUMMYFUNCTION("""COMPUTED_VALUE"""),8.8107816E7)</f>
        <v>88107816</v>
      </c>
    </row>
    <row r="2833">
      <c r="A2833" s="2">
        <f>IFERROR(__xludf.DUMMYFUNCTION("""COMPUTED_VALUE"""),35474.666666666664)</f>
        <v>35474.66667</v>
      </c>
      <c r="B2833" s="1">
        <f>IFERROR(__xludf.DUMMYFUNCTION("""COMPUTED_VALUE"""),802.77)</f>
        <v>802.77</v>
      </c>
      <c r="C2833" s="1">
        <f>IFERROR(__xludf.DUMMYFUNCTION("""COMPUTED_VALUE"""),812.93)</f>
        <v>812.93</v>
      </c>
      <c r="D2833" s="1">
        <f>IFERROR(__xludf.DUMMYFUNCTION("""COMPUTED_VALUE"""),802.77)</f>
        <v>802.77</v>
      </c>
      <c r="E2833" s="1">
        <f>IFERROR(__xludf.DUMMYFUNCTION("""COMPUTED_VALUE"""),811.82)</f>
        <v>811.82</v>
      </c>
      <c r="F2833" s="1">
        <f>IFERROR(__xludf.DUMMYFUNCTION("""COMPUTED_VALUE"""),9.2767184E7)</f>
        <v>92767184</v>
      </c>
    </row>
    <row r="2834">
      <c r="A2834" s="2">
        <f>IFERROR(__xludf.DUMMYFUNCTION("""COMPUTED_VALUE"""),35475.666666666664)</f>
        <v>35475.66667</v>
      </c>
      <c r="B2834" s="1">
        <f>IFERROR(__xludf.DUMMYFUNCTION("""COMPUTED_VALUE"""),811.82)</f>
        <v>811.82</v>
      </c>
      <c r="C2834" s="1">
        <f>IFERROR(__xludf.DUMMYFUNCTION("""COMPUTED_VALUE"""),812.2)</f>
        <v>812.2</v>
      </c>
      <c r="D2834" s="1">
        <f>IFERROR(__xludf.DUMMYFUNCTION("""COMPUTED_VALUE"""),808.15)</f>
        <v>808.15</v>
      </c>
      <c r="E2834" s="1">
        <f>IFERROR(__xludf.DUMMYFUNCTION("""COMPUTED_VALUE"""),808.48)</f>
        <v>808.48</v>
      </c>
      <c r="F2834" s="1">
        <f>IFERROR(__xludf.DUMMYFUNCTION("""COMPUTED_VALUE"""),7.6803128E7)</f>
        <v>76803128</v>
      </c>
    </row>
    <row r="2835">
      <c r="A2835" s="2">
        <f>IFERROR(__xludf.DUMMYFUNCTION("""COMPUTED_VALUE"""),35479.666666666664)</f>
        <v>35479.66667</v>
      </c>
      <c r="B2835" s="1">
        <f>IFERROR(__xludf.DUMMYFUNCTION("""COMPUTED_VALUE"""),808.48)</f>
        <v>808.48</v>
      </c>
      <c r="C2835" s="1">
        <f>IFERROR(__xludf.DUMMYFUNCTION("""COMPUTED_VALUE"""),816.29)</f>
        <v>816.29</v>
      </c>
      <c r="D2835" s="1">
        <f>IFERROR(__xludf.DUMMYFUNCTION("""COMPUTED_VALUE"""),806.34)</f>
        <v>806.34</v>
      </c>
      <c r="E2835" s="1">
        <f>IFERROR(__xludf.DUMMYFUNCTION("""COMPUTED_VALUE"""),816.29)</f>
        <v>816.29</v>
      </c>
      <c r="F2835" s="1">
        <f>IFERROR(__xludf.DUMMYFUNCTION("""COMPUTED_VALUE"""),7.4079688E7)</f>
        <v>74079688</v>
      </c>
    </row>
    <row r="2836">
      <c r="A2836" s="2">
        <f>IFERROR(__xludf.DUMMYFUNCTION("""COMPUTED_VALUE"""),35480.666666666664)</f>
        <v>35480.66667</v>
      </c>
      <c r="B2836" s="1">
        <f>IFERROR(__xludf.DUMMYFUNCTION("""COMPUTED_VALUE"""),816.29)</f>
        <v>816.29</v>
      </c>
      <c r="C2836" s="1">
        <f>IFERROR(__xludf.DUMMYFUNCTION("""COMPUTED_VALUE"""),817.68)</f>
        <v>817.68</v>
      </c>
      <c r="D2836" s="1">
        <f>IFERROR(__xludf.DUMMYFUNCTION("""COMPUTED_VALUE"""),811.2)</f>
        <v>811.2</v>
      </c>
      <c r="E2836" s="1">
        <f>IFERROR(__xludf.DUMMYFUNCTION("""COMPUTED_VALUE"""),812.49)</f>
        <v>812.49</v>
      </c>
      <c r="F2836" s="1">
        <f>IFERROR(__xludf.DUMMYFUNCTION("""COMPUTED_VALUE"""),8.114844E7)</f>
        <v>81148440</v>
      </c>
    </row>
    <row r="2837">
      <c r="A2837" s="2">
        <f>IFERROR(__xludf.DUMMYFUNCTION("""COMPUTED_VALUE"""),35481.666666666664)</f>
        <v>35481.66667</v>
      </c>
      <c r="B2837" s="1">
        <f>IFERROR(__xludf.DUMMYFUNCTION("""COMPUTED_VALUE"""),812.49)</f>
        <v>812.49</v>
      </c>
      <c r="C2837" s="1">
        <f>IFERROR(__xludf.DUMMYFUNCTION("""COMPUTED_VALUE"""),812.49)</f>
        <v>812.49</v>
      </c>
      <c r="D2837" s="1">
        <f>IFERROR(__xludf.DUMMYFUNCTION("""COMPUTED_VALUE"""),800.35)</f>
        <v>800.35</v>
      </c>
      <c r="E2837" s="1">
        <f>IFERROR(__xludf.DUMMYFUNCTION("""COMPUTED_VALUE"""),802.8)</f>
        <v>802.8</v>
      </c>
      <c r="F2837" s="1">
        <f>IFERROR(__xludf.DUMMYFUNCTION("""COMPUTED_VALUE"""),7.6909376E7)</f>
        <v>76909376</v>
      </c>
    </row>
    <row r="2838">
      <c r="A2838" s="2">
        <f>IFERROR(__xludf.DUMMYFUNCTION("""COMPUTED_VALUE"""),35482.666666666664)</f>
        <v>35482.66667</v>
      </c>
      <c r="B2838" s="1">
        <f>IFERROR(__xludf.DUMMYFUNCTION("""COMPUTED_VALUE"""),802.8)</f>
        <v>802.8</v>
      </c>
      <c r="C2838" s="1">
        <f>IFERROR(__xludf.DUMMYFUNCTION("""COMPUTED_VALUE"""),804.94)</f>
        <v>804.94</v>
      </c>
      <c r="D2838" s="1">
        <f>IFERROR(__xludf.DUMMYFUNCTION("""COMPUTED_VALUE"""),799.99)</f>
        <v>799.99</v>
      </c>
      <c r="E2838" s="1">
        <f>IFERROR(__xludf.DUMMYFUNCTION("""COMPUTED_VALUE"""),801.77)</f>
        <v>801.77</v>
      </c>
      <c r="F2838" s="1">
        <f>IFERROR(__xludf.DUMMYFUNCTION("""COMPUTED_VALUE"""),7.4757816E7)</f>
        <v>74757816</v>
      </c>
    </row>
    <row r="2839">
      <c r="A2839" s="2">
        <f>IFERROR(__xludf.DUMMYFUNCTION("""COMPUTED_VALUE"""),35485.666666666664)</f>
        <v>35485.66667</v>
      </c>
      <c r="B2839" s="1">
        <f>IFERROR(__xludf.DUMMYFUNCTION("""COMPUTED_VALUE"""),801.77)</f>
        <v>801.77</v>
      </c>
      <c r="C2839" s="1">
        <f>IFERROR(__xludf.DUMMYFUNCTION("""COMPUTED_VALUE"""),810.64)</f>
        <v>810.64</v>
      </c>
      <c r="D2839" s="1">
        <f>IFERROR(__xludf.DUMMYFUNCTION("""COMPUTED_VALUE"""),798.42)</f>
        <v>798.42</v>
      </c>
      <c r="E2839" s="1">
        <f>IFERROR(__xludf.DUMMYFUNCTION("""COMPUTED_VALUE"""),810.28)</f>
        <v>810.28</v>
      </c>
      <c r="F2839" s="1">
        <f>IFERROR(__xludf.DUMMYFUNCTION("""COMPUTED_VALUE"""),7.2257816E7)</f>
        <v>72257816</v>
      </c>
    </row>
    <row r="2840">
      <c r="A2840" s="2">
        <f>IFERROR(__xludf.DUMMYFUNCTION("""COMPUTED_VALUE"""),35486.666666666664)</f>
        <v>35486.66667</v>
      </c>
      <c r="B2840" s="1">
        <f>IFERROR(__xludf.DUMMYFUNCTION("""COMPUTED_VALUE"""),810.28)</f>
        <v>810.28</v>
      </c>
      <c r="C2840" s="1">
        <f>IFERROR(__xludf.DUMMYFUNCTION("""COMPUTED_VALUE"""),812.85)</f>
        <v>812.85</v>
      </c>
      <c r="D2840" s="1">
        <f>IFERROR(__xludf.DUMMYFUNCTION("""COMPUTED_VALUE"""),807.65)</f>
        <v>807.65</v>
      </c>
      <c r="E2840" s="1">
        <f>IFERROR(__xludf.DUMMYFUNCTION("""COMPUTED_VALUE"""),812.03)</f>
        <v>812.03</v>
      </c>
      <c r="F2840" s="1">
        <f>IFERROR(__xludf.DUMMYFUNCTION("""COMPUTED_VALUE"""),8.2414064E7)</f>
        <v>82414064</v>
      </c>
    </row>
    <row r="2841">
      <c r="A2841" s="2">
        <f>IFERROR(__xludf.DUMMYFUNCTION("""COMPUTED_VALUE"""),35487.666666666664)</f>
        <v>35487.66667</v>
      </c>
      <c r="B2841" s="1">
        <f>IFERROR(__xludf.DUMMYFUNCTION("""COMPUTED_VALUE"""),812.1)</f>
        <v>812.1</v>
      </c>
      <c r="C2841" s="1">
        <f>IFERROR(__xludf.DUMMYFUNCTION("""COMPUTED_VALUE"""),812.7)</f>
        <v>812.7</v>
      </c>
      <c r="D2841" s="1">
        <f>IFERROR(__xludf.DUMMYFUNCTION("""COMPUTED_VALUE"""),798.13)</f>
        <v>798.13</v>
      </c>
      <c r="E2841" s="1">
        <f>IFERROR(__xludf.DUMMYFUNCTION("""COMPUTED_VALUE"""),805.68)</f>
        <v>805.68</v>
      </c>
      <c r="F2841" s="1">
        <f>IFERROR(__xludf.DUMMYFUNCTION("""COMPUTED_VALUE"""),8.9675E7)</f>
        <v>89675000</v>
      </c>
    </row>
    <row r="2842">
      <c r="A2842" s="2">
        <f>IFERROR(__xludf.DUMMYFUNCTION("""COMPUTED_VALUE"""),35488.666666666664)</f>
        <v>35488.66667</v>
      </c>
      <c r="B2842" s="1">
        <f>IFERROR(__xludf.DUMMYFUNCTION("""COMPUTED_VALUE"""),805.68)</f>
        <v>805.68</v>
      </c>
      <c r="C2842" s="1">
        <f>IFERROR(__xludf.DUMMYFUNCTION("""COMPUTED_VALUE"""),805.68)</f>
        <v>805.68</v>
      </c>
      <c r="D2842" s="1">
        <f>IFERROR(__xludf.DUMMYFUNCTION("""COMPUTED_VALUE"""),795.06)</f>
        <v>795.06</v>
      </c>
      <c r="E2842" s="1">
        <f>IFERROR(__xludf.DUMMYFUNCTION("""COMPUTED_VALUE"""),795.07)</f>
        <v>795.07</v>
      </c>
      <c r="F2842" s="1">
        <f>IFERROR(__xludf.DUMMYFUNCTION("""COMPUTED_VALUE"""),7.2603128E7)</f>
        <v>72603128</v>
      </c>
    </row>
    <row r="2843">
      <c r="A2843" s="2">
        <f>IFERROR(__xludf.DUMMYFUNCTION("""COMPUTED_VALUE"""),35489.666666666664)</f>
        <v>35489.66667</v>
      </c>
      <c r="B2843" s="1">
        <f>IFERROR(__xludf.DUMMYFUNCTION("""COMPUTED_VALUE"""),795.07)</f>
        <v>795.07</v>
      </c>
      <c r="C2843" s="1">
        <f>IFERROR(__xludf.DUMMYFUNCTION("""COMPUTED_VALUE"""),795.7)</f>
        <v>795.7</v>
      </c>
      <c r="D2843" s="1">
        <f>IFERROR(__xludf.DUMMYFUNCTION("""COMPUTED_VALUE"""),788.5)</f>
        <v>788.5</v>
      </c>
      <c r="E2843" s="1">
        <f>IFERROR(__xludf.DUMMYFUNCTION("""COMPUTED_VALUE"""),790.82)</f>
        <v>790.82</v>
      </c>
      <c r="F2843" s="1">
        <f>IFERROR(__xludf.DUMMYFUNCTION("""COMPUTED_VALUE"""),7.9418752E7)</f>
        <v>79418752</v>
      </c>
    </row>
    <row r="2844">
      <c r="A2844" s="2">
        <f>IFERROR(__xludf.DUMMYFUNCTION("""COMPUTED_VALUE"""),35492.666666666664)</f>
        <v>35492.66667</v>
      </c>
      <c r="B2844" s="1">
        <f>IFERROR(__xludf.DUMMYFUNCTION("""COMPUTED_VALUE"""),790.82)</f>
        <v>790.82</v>
      </c>
      <c r="C2844" s="1">
        <f>IFERROR(__xludf.DUMMYFUNCTION("""COMPUTED_VALUE"""),795.31)</f>
        <v>795.31</v>
      </c>
      <c r="D2844" s="1">
        <f>IFERROR(__xludf.DUMMYFUNCTION("""COMPUTED_VALUE"""),785.66)</f>
        <v>785.66</v>
      </c>
      <c r="E2844" s="1">
        <f>IFERROR(__xludf.DUMMYFUNCTION("""COMPUTED_VALUE"""),795.31)</f>
        <v>795.31</v>
      </c>
      <c r="F2844" s="1">
        <f>IFERROR(__xludf.DUMMYFUNCTION("""COMPUTED_VALUE"""),6.8315624E7)</f>
        <v>68315624</v>
      </c>
    </row>
    <row r="2845">
      <c r="A2845" s="2">
        <f>IFERROR(__xludf.DUMMYFUNCTION("""COMPUTED_VALUE"""),35493.666666666664)</f>
        <v>35493.66667</v>
      </c>
      <c r="B2845" s="1">
        <f>IFERROR(__xludf.DUMMYFUNCTION("""COMPUTED_VALUE"""),795.31)</f>
        <v>795.31</v>
      </c>
      <c r="C2845" s="1">
        <f>IFERROR(__xludf.DUMMYFUNCTION("""COMPUTED_VALUE"""),798.93)</f>
        <v>798.93</v>
      </c>
      <c r="D2845" s="1">
        <f>IFERROR(__xludf.DUMMYFUNCTION("""COMPUTED_VALUE"""),789.98)</f>
        <v>789.98</v>
      </c>
      <c r="E2845" s="1">
        <f>IFERROR(__xludf.DUMMYFUNCTION("""COMPUTED_VALUE"""),790.95)</f>
        <v>790.95</v>
      </c>
      <c r="F2845" s="1">
        <f>IFERROR(__xludf.DUMMYFUNCTION("""COMPUTED_VALUE"""),8.4045312E7)</f>
        <v>84045312</v>
      </c>
    </row>
    <row r="2846">
      <c r="A2846" s="2">
        <f>IFERROR(__xludf.DUMMYFUNCTION("""COMPUTED_VALUE"""),35494.666666666664)</f>
        <v>35494.66667</v>
      </c>
      <c r="B2846" s="1">
        <f>IFERROR(__xludf.DUMMYFUNCTION("""COMPUTED_VALUE"""),790.95)</f>
        <v>790.95</v>
      </c>
      <c r="C2846" s="1">
        <f>IFERROR(__xludf.DUMMYFUNCTION("""COMPUTED_VALUE"""),801.99)</f>
        <v>801.99</v>
      </c>
      <c r="D2846" s="1">
        <f>IFERROR(__xludf.DUMMYFUNCTION("""COMPUTED_VALUE"""),790.95)</f>
        <v>790.95</v>
      </c>
      <c r="E2846" s="1">
        <f>IFERROR(__xludf.DUMMYFUNCTION("""COMPUTED_VALUE"""),801.99)</f>
        <v>801.99</v>
      </c>
      <c r="F2846" s="1">
        <f>IFERROR(__xludf.DUMMYFUNCTION("""COMPUTED_VALUE"""),8.3203128E7)</f>
        <v>83203128</v>
      </c>
    </row>
    <row r="2847">
      <c r="A2847" s="2">
        <f>IFERROR(__xludf.DUMMYFUNCTION("""COMPUTED_VALUE"""),35495.666666666664)</f>
        <v>35495.66667</v>
      </c>
      <c r="B2847" s="1">
        <f>IFERROR(__xludf.DUMMYFUNCTION("""COMPUTED_VALUE"""),798.56)</f>
        <v>798.56</v>
      </c>
      <c r="C2847" s="1">
        <f>IFERROR(__xludf.DUMMYFUNCTION("""COMPUTED_VALUE"""),798.63)</f>
        <v>798.63</v>
      </c>
      <c r="D2847" s="1">
        <f>IFERROR(__xludf.DUMMYFUNCTION("""COMPUTED_VALUE"""),798.56)</f>
        <v>798.56</v>
      </c>
      <c r="E2847" s="1">
        <f>IFERROR(__xludf.DUMMYFUNCTION("""COMPUTED_VALUE"""),798.56)</f>
        <v>798.56</v>
      </c>
      <c r="F2847" s="1">
        <f>IFERROR(__xludf.DUMMYFUNCTION("""COMPUTED_VALUE"""),8.442344E7)</f>
        <v>84423440</v>
      </c>
    </row>
    <row r="2848">
      <c r="A2848" s="2">
        <f>IFERROR(__xludf.DUMMYFUNCTION("""COMPUTED_VALUE"""),35496.666666666664)</f>
        <v>35496.66667</v>
      </c>
      <c r="B2848" s="1">
        <f>IFERROR(__xludf.DUMMYFUNCTION("""COMPUTED_VALUE"""),798.56)</f>
        <v>798.56</v>
      </c>
      <c r="C2848" s="1">
        <f>IFERROR(__xludf.DUMMYFUNCTION("""COMPUTED_VALUE"""),808.19)</f>
        <v>808.19</v>
      </c>
      <c r="D2848" s="1">
        <f>IFERROR(__xludf.DUMMYFUNCTION("""COMPUTED_VALUE"""),798.56)</f>
        <v>798.56</v>
      </c>
      <c r="E2848" s="1">
        <f>IFERROR(__xludf.DUMMYFUNCTION("""COMPUTED_VALUE"""),804.97)</f>
        <v>804.97</v>
      </c>
      <c r="F2848" s="1">
        <f>IFERROR(__xludf.DUMMYFUNCTION("""COMPUTED_VALUE"""),7.9417184E7)</f>
        <v>79417184</v>
      </c>
    </row>
    <row r="2849">
      <c r="A2849" s="2">
        <f>IFERROR(__xludf.DUMMYFUNCTION("""COMPUTED_VALUE"""),35499.666666666664)</f>
        <v>35499.66667</v>
      </c>
      <c r="B2849" s="1">
        <f>IFERROR(__xludf.DUMMYFUNCTION("""COMPUTED_VALUE"""),804.97)</f>
        <v>804.97</v>
      </c>
      <c r="C2849" s="1">
        <f>IFERROR(__xludf.DUMMYFUNCTION("""COMPUTED_VALUE"""),813.66)</f>
        <v>813.66</v>
      </c>
      <c r="D2849" s="1">
        <f>IFERROR(__xludf.DUMMYFUNCTION("""COMPUTED_VALUE"""),803.66)</f>
        <v>803.66</v>
      </c>
      <c r="E2849" s="1">
        <f>IFERROR(__xludf.DUMMYFUNCTION("""COMPUTED_VALUE"""),813.65)</f>
        <v>813.65</v>
      </c>
      <c r="F2849" s="1">
        <f>IFERROR(__xludf.DUMMYFUNCTION("""COMPUTED_VALUE"""),7.3246872E7)</f>
        <v>73246872</v>
      </c>
    </row>
    <row r="2850">
      <c r="A2850" s="2">
        <f>IFERROR(__xludf.DUMMYFUNCTION("""COMPUTED_VALUE"""),35500.666666666664)</f>
        <v>35500.66667</v>
      </c>
      <c r="B2850" s="1">
        <f>IFERROR(__xludf.DUMMYFUNCTION("""COMPUTED_VALUE"""),813.65)</f>
        <v>813.65</v>
      </c>
      <c r="C2850" s="1">
        <f>IFERROR(__xludf.DUMMYFUNCTION("""COMPUTED_VALUE"""),814.9)</f>
        <v>814.9</v>
      </c>
      <c r="D2850" s="1">
        <f>IFERROR(__xludf.DUMMYFUNCTION("""COMPUTED_VALUE"""),810.77)</f>
        <v>810.77</v>
      </c>
      <c r="E2850" s="1">
        <f>IFERROR(__xludf.DUMMYFUNCTION("""COMPUTED_VALUE"""),811.34)</f>
        <v>811.34</v>
      </c>
      <c r="F2850" s="1">
        <f>IFERROR(__xludf.DUMMYFUNCTION("""COMPUTED_VALUE"""),7.7070312E7)</f>
        <v>77070312</v>
      </c>
    </row>
    <row r="2851">
      <c r="A2851" s="2">
        <f>IFERROR(__xludf.DUMMYFUNCTION("""COMPUTED_VALUE"""),35501.666666666664)</f>
        <v>35501.66667</v>
      </c>
      <c r="B2851" s="1">
        <f>IFERROR(__xludf.DUMMYFUNCTION("""COMPUTED_VALUE"""),811.34)</f>
        <v>811.34</v>
      </c>
      <c r="C2851" s="1">
        <f>IFERROR(__xludf.DUMMYFUNCTION("""COMPUTED_VALUE"""),811.34)</f>
        <v>811.34</v>
      </c>
      <c r="D2851" s="1">
        <f>IFERROR(__xludf.DUMMYFUNCTION("""COMPUTED_VALUE"""),801.07)</f>
        <v>801.07</v>
      </c>
      <c r="E2851" s="1">
        <f>IFERROR(__xludf.DUMMYFUNCTION("""COMPUTED_VALUE"""),804.26)</f>
        <v>804.26</v>
      </c>
      <c r="F2851" s="1">
        <f>IFERROR(__xludf.DUMMYFUNCTION("""COMPUTED_VALUE"""),7.6593752E7)</f>
        <v>76593752</v>
      </c>
    </row>
    <row r="2852">
      <c r="A2852" s="2">
        <f>IFERROR(__xludf.DUMMYFUNCTION("""COMPUTED_VALUE"""),35502.666666666664)</f>
        <v>35502.66667</v>
      </c>
      <c r="B2852" s="1">
        <f>IFERROR(__xludf.DUMMYFUNCTION("""COMPUTED_VALUE"""),804.26)</f>
        <v>804.26</v>
      </c>
      <c r="C2852" s="1">
        <f>IFERROR(__xludf.DUMMYFUNCTION("""COMPUTED_VALUE"""),804.26)</f>
        <v>804.26</v>
      </c>
      <c r="D2852" s="1">
        <f>IFERROR(__xludf.DUMMYFUNCTION("""COMPUTED_VALUE"""),789.44)</f>
        <v>789.44</v>
      </c>
      <c r="E2852" s="1">
        <f>IFERROR(__xludf.DUMMYFUNCTION("""COMPUTED_VALUE"""),789.56)</f>
        <v>789.56</v>
      </c>
      <c r="F2852" s="1">
        <f>IFERROR(__xludf.DUMMYFUNCTION("""COMPUTED_VALUE"""),7.9306248E7)</f>
        <v>79306248</v>
      </c>
    </row>
    <row r="2853">
      <c r="A2853" s="2">
        <f>IFERROR(__xludf.DUMMYFUNCTION("""COMPUTED_VALUE"""),35503.666666666664)</f>
        <v>35503.66667</v>
      </c>
      <c r="B2853" s="1">
        <f>IFERROR(__xludf.DUMMYFUNCTION("""COMPUTED_VALUE"""),789.56)</f>
        <v>789.56</v>
      </c>
      <c r="C2853" s="1">
        <f>IFERROR(__xludf.DUMMYFUNCTION("""COMPUTED_VALUE"""),796.88)</f>
        <v>796.88</v>
      </c>
      <c r="D2853" s="1">
        <f>IFERROR(__xludf.DUMMYFUNCTION("""COMPUTED_VALUE"""),789.56)</f>
        <v>789.56</v>
      </c>
      <c r="E2853" s="1">
        <f>IFERROR(__xludf.DUMMYFUNCTION("""COMPUTED_VALUE"""),793.17)</f>
        <v>793.17</v>
      </c>
      <c r="F2853" s="1">
        <f>IFERROR(__xludf.DUMMYFUNCTION("""COMPUTED_VALUE"""),7.6803128E7)</f>
        <v>76803128</v>
      </c>
    </row>
    <row r="2854">
      <c r="A2854" s="2">
        <f>IFERROR(__xludf.DUMMYFUNCTION("""COMPUTED_VALUE"""),35506.666666666664)</f>
        <v>35506.66667</v>
      </c>
      <c r="B2854" s="1">
        <f>IFERROR(__xludf.DUMMYFUNCTION("""COMPUTED_VALUE"""),793.16)</f>
        <v>793.16</v>
      </c>
      <c r="C2854" s="1">
        <f>IFERROR(__xludf.DUMMYFUNCTION("""COMPUTED_VALUE"""),796.28)</f>
        <v>796.28</v>
      </c>
      <c r="D2854" s="1">
        <f>IFERROR(__xludf.DUMMYFUNCTION("""COMPUTED_VALUE"""),782.98)</f>
        <v>782.98</v>
      </c>
      <c r="E2854" s="1">
        <f>IFERROR(__xludf.DUMMYFUNCTION("""COMPUTED_VALUE"""),795.71)</f>
        <v>795.71</v>
      </c>
      <c r="F2854" s="1">
        <f>IFERROR(__xludf.DUMMYFUNCTION("""COMPUTED_VALUE"""),7.7384376E7)</f>
        <v>77384376</v>
      </c>
    </row>
    <row r="2855">
      <c r="A2855" s="2">
        <f>IFERROR(__xludf.DUMMYFUNCTION("""COMPUTED_VALUE"""),35507.666666666664)</f>
        <v>35507.66667</v>
      </c>
      <c r="B2855" s="1">
        <f>IFERROR(__xludf.DUMMYFUNCTION("""COMPUTED_VALUE"""),795.88)</f>
        <v>795.88</v>
      </c>
      <c r="C2855" s="1">
        <f>IFERROR(__xludf.DUMMYFUNCTION("""COMPUTED_VALUE"""),797.18)</f>
        <v>797.18</v>
      </c>
      <c r="D2855" s="1">
        <f>IFERROR(__xludf.DUMMYFUNCTION("""COMPUTED_VALUE"""),785.47)</f>
        <v>785.47</v>
      </c>
      <c r="E2855" s="1">
        <f>IFERROR(__xludf.DUMMYFUNCTION("""COMPUTED_VALUE"""),789.66)</f>
        <v>789.66</v>
      </c>
      <c r="F2855" s="1">
        <f>IFERROR(__xludf.DUMMYFUNCTION("""COMPUTED_VALUE"""),7.3020312E7)</f>
        <v>73020312</v>
      </c>
    </row>
    <row r="2856">
      <c r="A2856" s="2">
        <f>IFERROR(__xludf.DUMMYFUNCTION("""COMPUTED_VALUE"""),35508.666666666664)</f>
        <v>35508.66667</v>
      </c>
      <c r="B2856" s="1">
        <f>IFERROR(__xludf.DUMMYFUNCTION("""COMPUTED_VALUE"""),789.66)</f>
        <v>789.66</v>
      </c>
      <c r="C2856" s="1">
        <f>IFERROR(__xludf.DUMMYFUNCTION("""COMPUTED_VALUE"""),791.59)</f>
        <v>791.59</v>
      </c>
      <c r="D2856" s="1">
        <f>IFERROR(__xludf.DUMMYFUNCTION("""COMPUTED_VALUE"""),780.03)</f>
        <v>780.03</v>
      </c>
      <c r="E2856" s="1">
        <f>IFERROR(__xludf.DUMMYFUNCTION("""COMPUTED_VALUE"""),785.77)</f>
        <v>785.77</v>
      </c>
      <c r="F2856" s="1">
        <f>IFERROR(__xludf.DUMMYFUNCTION("""COMPUTED_VALUE"""),8.3684376E7)</f>
        <v>83684376</v>
      </c>
    </row>
    <row r="2857">
      <c r="A2857" s="2">
        <f>IFERROR(__xludf.DUMMYFUNCTION("""COMPUTED_VALUE"""),35509.666666666664)</f>
        <v>35509.66667</v>
      </c>
      <c r="B2857" s="1">
        <f>IFERROR(__xludf.DUMMYFUNCTION("""COMPUTED_VALUE"""),785.77)</f>
        <v>785.77</v>
      </c>
      <c r="C2857" s="1">
        <f>IFERROR(__xludf.DUMMYFUNCTION("""COMPUTED_VALUE"""),786.29)</f>
        <v>786.29</v>
      </c>
      <c r="D2857" s="1">
        <f>IFERROR(__xludf.DUMMYFUNCTION("""COMPUTED_VALUE"""),778.04)</f>
        <v>778.04</v>
      </c>
      <c r="E2857" s="1">
        <f>IFERROR(__xludf.DUMMYFUNCTION("""COMPUTED_VALUE"""),782.65)</f>
        <v>782.65</v>
      </c>
      <c r="F2857" s="1">
        <f>IFERROR(__xludf.DUMMYFUNCTION("""COMPUTED_VALUE"""),7.7731248E7)</f>
        <v>77731248</v>
      </c>
    </row>
    <row r="2858">
      <c r="A2858" s="2">
        <f>IFERROR(__xludf.DUMMYFUNCTION("""COMPUTED_VALUE"""),35510.666666666664)</f>
        <v>35510.66667</v>
      </c>
      <c r="B2858" s="1">
        <f>IFERROR(__xludf.DUMMYFUNCTION("""COMPUTED_VALUE"""),782.65)</f>
        <v>782.65</v>
      </c>
      <c r="C2858" s="1">
        <f>IFERROR(__xludf.DUMMYFUNCTION("""COMPUTED_VALUE"""),786.44)</f>
        <v>786.44</v>
      </c>
      <c r="D2858" s="1">
        <f>IFERROR(__xludf.DUMMYFUNCTION("""COMPUTED_VALUE"""),782.65)</f>
        <v>782.65</v>
      </c>
      <c r="E2858" s="1">
        <f>IFERROR(__xludf.DUMMYFUNCTION("""COMPUTED_VALUE"""),784.1)</f>
        <v>784.1</v>
      </c>
      <c r="F2858" s="1">
        <f>IFERROR(__xludf.DUMMYFUNCTION("""COMPUTED_VALUE"""),9.9806248E7)</f>
        <v>99806248</v>
      </c>
    </row>
    <row r="2859">
      <c r="A2859" s="2">
        <f>IFERROR(__xludf.DUMMYFUNCTION("""COMPUTED_VALUE"""),35513.666666666664)</f>
        <v>35513.66667</v>
      </c>
      <c r="B2859" s="1">
        <f>IFERROR(__xludf.DUMMYFUNCTION("""COMPUTED_VALUE"""),784.1)</f>
        <v>784.1</v>
      </c>
      <c r="C2859" s="1">
        <f>IFERROR(__xludf.DUMMYFUNCTION("""COMPUTED_VALUE"""),791.01)</f>
        <v>791.01</v>
      </c>
      <c r="D2859" s="1">
        <f>IFERROR(__xludf.DUMMYFUNCTION("""COMPUTED_VALUE"""),780.79)</f>
        <v>780.79</v>
      </c>
      <c r="E2859" s="1">
        <f>IFERROR(__xludf.DUMMYFUNCTION("""COMPUTED_VALUE"""),790.89)</f>
        <v>790.89</v>
      </c>
      <c r="F2859" s="1">
        <f>IFERROR(__xludf.DUMMYFUNCTION("""COMPUTED_VALUE"""),7.0620312E7)</f>
        <v>70620312</v>
      </c>
    </row>
    <row r="2860">
      <c r="A2860" s="2">
        <f>IFERROR(__xludf.DUMMYFUNCTION("""COMPUTED_VALUE"""),35514.666666666664)</f>
        <v>35514.66667</v>
      </c>
      <c r="B2860" s="1">
        <f>IFERROR(__xludf.DUMMYFUNCTION("""COMPUTED_VALUE"""),791.24)</f>
        <v>791.24</v>
      </c>
      <c r="C2860" s="1">
        <f>IFERROR(__xludf.DUMMYFUNCTION("""COMPUTED_VALUE"""),798.11)</f>
        <v>798.11</v>
      </c>
      <c r="D2860" s="1">
        <f>IFERROR(__xludf.DUMMYFUNCTION("""COMPUTED_VALUE"""),788.39)</f>
        <v>788.39</v>
      </c>
      <c r="E2860" s="1">
        <f>IFERROR(__xludf.DUMMYFUNCTION("""COMPUTED_VALUE"""),789.07)</f>
        <v>789.07</v>
      </c>
      <c r="F2860" s="1">
        <f>IFERROR(__xludf.DUMMYFUNCTION("""COMPUTED_VALUE"""),7.6175E7)</f>
        <v>76175000</v>
      </c>
    </row>
    <row r="2861">
      <c r="A2861" s="2">
        <f>IFERROR(__xludf.DUMMYFUNCTION("""COMPUTED_VALUE"""),35515.666666666664)</f>
        <v>35515.66667</v>
      </c>
      <c r="B2861" s="1">
        <f>IFERROR(__xludf.DUMMYFUNCTION("""COMPUTED_VALUE"""),789.07)</f>
        <v>789.07</v>
      </c>
      <c r="C2861" s="1">
        <f>IFERROR(__xludf.DUMMYFUNCTION("""COMPUTED_VALUE"""),794.89)</f>
        <v>794.89</v>
      </c>
      <c r="D2861" s="1">
        <f>IFERROR(__xludf.DUMMYFUNCTION("""COMPUTED_VALUE"""),786.77)</f>
        <v>786.77</v>
      </c>
      <c r="E2861" s="1">
        <f>IFERROR(__xludf.DUMMYFUNCTION("""COMPUTED_VALUE"""),790.5)</f>
        <v>790.5</v>
      </c>
      <c r="F2861" s="1">
        <f>IFERROR(__xludf.DUMMYFUNCTION("""COMPUTED_VALUE"""),7.9167184E7)</f>
        <v>79167184</v>
      </c>
    </row>
    <row r="2862">
      <c r="A2862" s="2">
        <f>IFERROR(__xludf.DUMMYFUNCTION("""COMPUTED_VALUE"""),35516.666666666664)</f>
        <v>35516.66667</v>
      </c>
      <c r="B2862" s="1">
        <f>IFERROR(__xludf.DUMMYFUNCTION("""COMPUTED_VALUE"""),790.5)</f>
        <v>790.5</v>
      </c>
      <c r="C2862" s="1">
        <f>IFERROR(__xludf.DUMMYFUNCTION("""COMPUTED_VALUE"""),792.58)</f>
        <v>792.58</v>
      </c>
      <c r="D2862" s="1">
        <f>IFERROR(__xludf.DUMMYFUNCTION("""COMPUTED_VALUE"""),767.32)</f>
        <v>767.32</v>
      </c>
      <c r="E2862" s="1">
        <f>IFERROR(__xludf.DUMMYFUNCTION("""COMPUTED_VALUE"""),773.88)</f>
        <v>773.88</v>
      </c>
      <c r="F2862" s="1">
        <f>IFERROR(__xludf.DUMMYFUNCTION("""COMPUTED_VALUE"""),7.449844E7)</f>
        <v>74498440</v>
      </c>
    </row>
    <row r="2863">
      <c r="A2863" s="2">
        <f>IFERROR(__xludf.DUMMYFUNCTION("""COMPUTED_VALUE"""),35520.666666666664)</f>
        <v>35520.66667</v>
      </c>
      <c r="B2863" s="1">
        <f>IFERROR(__xludf.DUMMYFUNCTION("""COMPUTED_VALUE"""),773.54)</f>
        <v>773.54</v>
      </c>
      <c r="C2863" s="1">
        <f>IFERROR(__xludf.DUMMYFUNCTION("""COMPUTED_VALUE"""),773.88)</f>
        <v>773.88</v>
      </c>
      <c r="D2863" s="1">
        <f>IFERROR(__xludf.DUMMYFUNCTION("""COMPUTED_VALUE"""),756.13)</f>
        <v>756.13</v>
      </c>
      <c r="E2863" s="1">
        <f>IFERROR(__xludf.DUMMYFUNCTION("""COMPUTED_VALUE"""),757.12)</f>
        <v>757.12</v>
      </c>
      <c r="F2863" s="1">
        <f>IFERROR(__xludf.DUMMYFUNCTION("""COMPUTED_VALUE"""),8.6856248E7)</f>
        <v>86856248</v>
      </c>
    </row>
    <row r="2864">
      <c r="A2864" s="2">
        <f>IFERROR(__xludf.DUMMYFUNCTION("""COMPUTED_VALUE"""),35521.666666666664)</f>
        <v>35521.66667</v>
      </c>
      <c r="B2864" s="1">
        <f>IFERROR(__xludf.DUMMYFUNCTION("""COMPUTED_VALUE"""),757.12)</f>
        <v>757.12</v>
      </c>
      <c r="C2864" s="1">
        <f>IFERROR(__xludf.DUMMYFUNCTION("""COMPUTED_VALUE"""),761.49)</f>
        <v>761.49</v>
      </c>
      <c r="D2864" s="1">
        <f>IFERROR(__xludf.DUMMYFUNCTION("""COMPUTED_VALUE"""),751.26)</f>
        <v>751.26</v>
      </c>
      <c r="E2864" s="1">
        <f>IFERROR(__xludf.DUMMYFUNCTION("""COMPUTED_VALUE"""),759.64)</f>
        <v>759.64</v>
      </c>
      <c r="F2864" s="1">
        <f>IFERROR(__xludf.DUMMYFUNCTION("""COMPUTED_VALUE"""),8.0589064E7)</f>
        <v>80589064</v>
      </c>
    </row>
    <row r="2865">
      <c r="A2865" s="2">
        <f>IFERROR(__xludf.DUMMYFUNCTION("""COMPUTED_VALUE"""),35522.666666666664)</f>
        <v>35522.66667</v>
      </c>
      <c r="B2865" s="1">
        <f>IFERROR(__xludf.DUMMYFUNCTION("""COMPUTED_VALUE"""),759.55)</f>
        <v>759.55</v>
      </c>
      <c r="C2865" s="1">
        <f>IFERROR(__xludf.DUMMYFUNCTION("""COMPUTED_VALUE"""),759.65)</f>
        <v>759.65</v>
      </c>
      <c r="D2865" s="1">
        <f>IFERROR(__xludf.DUMMYFUNCTION("""COMPUTED_VALUE"""),747.59)</f>
        <v>747.59</v>
      </c>
      <c r="E2865" s="1">
        <f>IFERROR(__xludf.DUMMYFUNCTION("""COMPUTED_VALUE"""),750.11)</f>
        <v>750.11</v>
      </c>
      <c r="F2865" s="1">
        <f>IFERROR(__xludf.DUMMYFUNCTION("""COMPUTED_VALUE"""),7.4720312E7)</f>
        <v>74720312</v>
      </c>
    </row>
    <row r="2866">
      <c r="A2866" s="2">
        <f>IFERROR(__xludf.DUMMYFUNCTION("""COMPUTED_VALUE"""),35523.666666666664)</f>
        <v>35523.66667</v>
      </c>
      <c r="B2866" s="1">
        <f>IFERROR(__xludf.DUMMYFUNCTION("""COMPUTED_VALUE"""),750.11)</f>
        <v>750.11</v>
      </c>
      <c r="C2866" s="1">
        <f>IFERROR(__xludf.DUMMYFUNCTION("""COMPUTED_VALUE"""),751.04)</f>
        <v>751.04</v>
      </c>
      <c r="D2866" s="1">
        <f>IFERROR(__xludf.DUMMYFUNCTION("""COMPUTED_VALUE"""),744.4)</f>
        <v>744.4</v>
      </c>
      <c r="E2866" s="1">
        <f>IFERROR(__xludf.DUMMYFUNCTION("""COMPUTED_VALUE"""),750.32)</f>
        <v>750.32</v>
      </c>
      <c r="F2866" s="1">
        <f>IFERROR(__xludf.DUMMYFUNCTION("""COMPUTED_VALUE"""),7.7814064E7)</f>
        <v>77814064</v>
      </c>
    </row>
    <row r="2867">
      <c r="A2867" s="2">
        <f>IFERROR(__xludf.DUMMYFUNCTION("""COMPUTED_VALUE"""),35524.666666666664)</f>
        <v>35524.66667</v>
      </c>
      <c r="B2867" s="1">
        <f>IFERROR(__xludf.DUMMYFUNCTION("""COMPUTED_VALUE"""),744.13)</f>
        <v>744.13</v>
      </c>
      <c r="C2867" s="1">
        <f>IFERROR(__xludf.DUMMYFUNCTION("""COMPUTED_VALUE"""),757.9)</f>
        <v>757.9</v>
      </c>
      <c r="D2867" s="1">
        <f>IFERROR(__xludf.DUMMYFUNCTION("""COMPUTED_VALUE"""),744.04)</f>
        <v>744.04</v>
      </c>
      <c r="E2867" s="1">
        <f>IFERROR(__xludf.DUMMYFUNCTION("""COMPUTED_VALUE"""),757.9)</f>
        <v>757.9</v>
      </c>
      <c r="F2867" s="1">
        <f>IFERROR(__xludf.DUMMYFUNCTION("""COMPUTED_VALUE"""),8.5090624E7)</f>
        <v>85090624</v>
      </c>
    </row>
    <row r="2868">
      <c r="A2868" s="2">
        <f>IFERROR(__xludf.DUMMYFUNCTION("""COMPUTED_VALUE"""),35527.666666666664)</f>
        <v>35527.66667</v>
      </c>
      <c r="B2868" s="1">
        <f>IFERROR(__xludf.DUMMYFUNCTION("""COMPUTED_VALUE"""),762.5)</f>
        <v>762.5</v>
      </c>
      <c r="C2868" s="1">
        <f>IFERROR(__xludf.DUMMYFUNCTION("""COMPUTED_VALUE"""),764.82)</f>
        <v>764.82</v>
      </c>
      <c r="D2868" s="1">
        <f>IFERROR(__xludf.DUMMYFUNCTION("""COMPUTED_VALUE"""),757.9)</f>
        <v>757.9</v>
      </c>
      <c r="E2868" s="1">
        <f>IFERROR(__xludf.DUMMYFUNCTION("""COMPUTED_VALUE"""),762.13)</f>
        <v>762.13</v>
      </c>
      <c r="F2868" s="1">
        <f>IFERROR(__xludf.DUMMYFUNCTION("""COMPUTED_VALUE"""),7.0904688E7)</f>
        <v>70904688</v>
      </c>
    </row>
    <row r="2869">
      <c r="A2869" s="2">
        <f>IFERROR(__xludf.DUMMYFUNCTION("""COMPUTED_VALUE"""),35528.666666666664)</f>
        <v>35528.66667</v>
      </c>
      <c r="B2869" s="1">
        <f>IFERROR(__xludf.DUMMYFUNCTION("""COMPUTED_VALUE"""),760.38)</f>
        <v>760.38</v>
      </c>
      <c r="C2869" s="1">
        <f>IFERROR(__xludf.DUMMYFUNCTION("""COMPUTED_VALUE"""),766.25)</f>
        <v>766.25</v>
      </c>
      <c r="D2869" s="1">
        <f>IFERROR(__xludf.DUMMYFUNCTION("""COMPUTED_VALUE"""),758.36)</f>
        <v>758.36</v>
      </c>
      <c r="E2869" s="1">
        <f>IFERROR(__xludf.DUMMYFUNCTION("""COMPUTED_VALUE"""),766.12)</f>
        <v>766.12</v>
      </c>
      <c r="F2869" s="1">
        <f>IFERROR(__xludf.DUMMYFUNCTION("""COMPUTED_VALUE"""),7.0435936E7)</f>
        <v>70435936</v>
      </c>
    </row>
    <row r="2870">
      <c r="A2870" s="2">
        <f>IFERROR(__xludf.DUMMYFUNCTION("""COMPUTED_VALUE"""),35529.666666666664)</f>
        <v>35529.66667</v>
      </c>
      <c r="B2870" s="1">
        <f>IFERROR(__xludf.DUMMYFUNCTION("""COMPUTED_VALUE"""),769.35)</f>
        <v>769.35</v>
      </c>
      <c r="C2870" s="1">
        <f>IFERROR(__xludf.DUMMYFUNCTION("""COMPUTED_VALUE"""),769.53)</f>
        <v>769.53</v>
      </c>
      <c r="D2870" s="1">
        <f>IFERROR(__xludf.DUMMYFUNCTION("""COMPUTED_VALUE"""),759.15)</f>
        <v>759.15</v>
      </c>
      <c r="E2870" s="1">
        <f>IFERROR(__xludf.DUMMYFUNCTION("""COMPUTED_VALUE"""),760.6)</f>
        <v>760.6</v>
      </c>
      <c r="F2870" s="1">
        <f>IFERROR(__xludf.DUMMYFUNCTION("""COMPUTED_VALUE"""),7.0546872E7)</f>
        <v>70546872</v>
      </c>
    </row>
    <row r="2871">
      <c r="A2871" s="2">
        <f>IFERROR(__xludf.DUMMYFUNCTION("""COMPUTED_VALUE"""),35530.666666666664)</f>
        <v>35530.66667</v>
      </c>
      <c r="B2871" s="1">
        <f>IFERROR(__xludf.DUMMYFUNCTION("""COMPUTED_VALUE"""),760.44)</f>
        <v>760.44</v>
      </c>
      <c r="C2871" s="1">
        <f>IFERROR(__xludf.DUMMYFUNCTION("""COMPUTED_VALUE"""),763.73)</f>
        <v>763.73</v>
      </c>
      <c r="D2871" s="1">
        <f>IFERROR(__xludf.DUMMYFUNCTION("""COMPUTED_VALUE"""),757.65)</f>
        <v>757.65</v>
      </c>
      <c r="E2871" s="1">
        <f>IFERROR(__xludf.DUMMYFUNCTION("""COMPUTED_VALUE"""),758.33)</f>
        <v>758.33</v>
      </c>
      <c r="F2871" s="1">
        <f>IFERROR(__xludf.DUMMYFUNCTION("""COMPUTED_VALUE"""),6.5904688E7)</f>
        <v>65904688</v>
      </c>
    </row>
    <row r="2872">
      <c r="A2872" s="2">
        <f>IFERROR(__xludf.DUMMYFUNCTION("""COMPUTED_VALUE"""),35531.666666666664)</f>
        <v>35531.66667</v>
      </c>
      <c r="B2872" s="1">
        <f>IFERROR(__xludf.DUMMYFUNCTION("""COMPUTED_VALUE"""),753.47)</f>
        <v>753.47</v>
      </c>
      <c r="C2872" s="1">
        <f>IFERROR(__xludf.DUMMYFUNCTION("""COMPUTED_VALUE"""),758.34)</f>
        <v>758.34</v>
      </c>
      <c r="D2872" s="1">
        <f>IFERROR(__xludf.DUMMYFUNCTION("""COMPUTED_VALUE"""),737.64)</f>
        <v>737.64</v>
      </c>
      <c r="E2872" s="1">
        <f>IFERROR(__xludf.DUMMYFUNCTION("""COMPUTED_VALUE"""),737.65)</f>
        <v>737.65</v>
      </c>
      <c r="F2872" s="1">
        <f>IFERROR(__xludf.DUMMYFUNCTION("""COMPUTED_VALUE"""),6.9434376E7)</f>
        <v>69434376</v>
      </c>
    </row>
    <row r="2873">
      <c r="A2873" s="2">
        <f>IFERROR(__xludf.DUMMYFUNCTION("""COMPUTED_VALUE"""),35534.666666666664)</f>
        <v>35534.66667</v>
      </c>
      <c r="B2873" s="1">
        <f>IFERROR(__xludf.DUMMYFUNCTION("""COMPUTED_VALUE"""),737.65)</f>
        <v>737.65</v>
      </c>
      <c r="C2873" s="1">
        <f>IFERROR(__xludf.DUMMYFUNCTION("""COMPUTED_VALUE"""),743.73)</f>
        <v>743.73</v>
      </c>
      <c r="D2873" s="1">
        <f>IFERROR(__xludf.DUMMYFUNCTION("""COMPUTED_VALUE"""),733.54)</f>
        <v>733.54</v>
      </c>
      <c r="E2873" s="1">
        <f>IFERROR(__xludf.DUMMYFUNCTION("""COMPUTED_VALUE"""),743.73)</f>
        <v>743.73</v>
      </c>
      <c r="F2873" s="1">
        <f>IFERROR(__xludf.DUMMYFUNCTION("""COMPUTED_VALUE"""),6.35625E7)</f>
        <v>63562500</v>
      </c>
    </row>
    <row r="2874">
      <c r="A2874" s="2">
        <f>IFERROR(__xludf.DUMMYFUNCTION("""COMPUTED_VALUE"""),35535.666666666664)</f>
        <v>35535.66667</v>
      </c>
      <c r="B2874" s="1">
        <f>IFERROR(__xludf.DUMMYFUNCTION("""COMPUTED_VALUE"""),748.77)</f>
        <v>748.77</v>
      </c>
      <c r="C2874" s="1">
        <f>IFERROR(__xludf.DUMMYFUNCTION("""COMPUTED_VALUE"""),754.72)</f>
        <v>754.72</v>
      </c>
      <c r="D2874" s="1">
        <f>IFERROR(__xludf.DUMMYFUNCTION("""COMPUTED_VALUE"""),743.73)</f>
        <v>743.73</v>
      </c>
      <c r="E2874" s="1">
        <f>IFERROR(__xludf.DUMMYFUNCTION("""COMPUTED_VALUE"""),754.72)</f>
        <v>754.72</v>
      </c>
      <c r="F2874" s="1">
        <f>IFERROR(__xludf.DUMMYFUNCTION("""COMPUTED_VALUE"""),7.927656E7)</f>
        <v>79276560</v>
      </c>
    </row>
    <row r="2875">
      <c r="A2875" s="2">
        <f>IFERROR(__xludf.DUMMYFUNCTION("""COMPUTED_VALUE"""),35536.666666666664)</f>
        <v>35536.66667</v>
      </c>
      <c r="B2875" s="1">
        <f>IFERROR(__xludf.DUMMYFUNCTION("""COMPUTED_VALUE"""),752.4)</f>
        <v>752.4</v>
      </c>
      <c r="C2875" s="1">
        <f>IFERROR(__xludf.DUMMYFUNCTION("""COMPUTED_VALUE"""),763.53)</f>
        <v>763.53</v>
      </c>
      <c r="D2875" s="1">
        <f>IFERROR(__xludf.DUMMYFUNCTION("""COMPUTED_VALUE"""),751.99)</f>
        <v>751.99</v>
      </c>
      <c r="E2875" s="1">
        <f>IFERROR(__xludf.DUMMYFUNCTION("""COMPUTED_VALUE"""),763.53)</f>
        <v>763.53</v>
      </c>
      <c r="F2875" s="1">
        <f>IFERROR(__xludf.DUMMYFUNCTION("""COMPUTED_VALUE"""),7.7940624E7)</f>
        <v>77940624</v>
      </c>
    </row>
    <row r="2876">
      <c r="A2876" s="2">
        <f>IFERROR(__xludf.DUMMYFUNCTION("""COMPUTED_VALUE"""),35537.666666666664)</f>
        <v>35537.66667</v>
      </c>
      <c r="B2876" s="1">
        <f>IFERROR(__xludf.DUMMYFUNCTION("""COMPUTED_VALUE"""),763.0)</f>
        <v>763</v>
      </c>
      <c r="C2876" s="1">
        <f>IFERROR(__xludf.DUMMYFUNCTION("""COMPUTED_VALUE"""),768.55)</f>
        <v>768.55</v>
      </c>
      <c r="D2876" s="1">
        <f>IFERROR(__xludf.DUMMYFUNCTION("""COMPUTED_VALUE"""),760.49)</f>
        <v>760.49</v>
      </c>
      <c r="E2876" s="1">
        <f>IFERROR(__xludf.DUMMYFUNCTION("""COMPUTED_VALUE"""),761.77)</f>
        <v>761.77</v>
      </c>
      <c r="F2876" s="1">
        <f>IFERROR(__xludf.DUMMYFUNCTION("""COMPUTED_VALUE"""),7.8712496E7)</f>
        <v>78712496</v>
      </c>
    </row>
    <row r="2877">
      <c r="A2877" s="2">
        <f>IFERROR(__xludf.DUMMYFUNCTION("""COMPUTED_VALUE"""),35538.666666666664)</f>
        <v>35538.66667</v>
      </c>
      <c r="B2877" s="1">
        <f>IFERROR(__xludf.DUMMYFUNCTION("""COMPUTED_VALUE"""),764.85)</f>
        <v>764.85</v>
      </c>
      <c r="C2877" s="1">
        <f>IFERROR(__xludf.DUMMYFUNCTION("""COMPUTED_VALUE"""),767.93)</f>
        <v>767.93</v>
      </c>
      <c r="D2877" s="1">
        <f>IFERROR(__xludf.DUMMYFUNCTION("""COMPUTED_VALUE"""),761.77)</f>
        <v>761.77</v>
      </c>
      <c r="E2877" s="1">
        <f>IFERROR(__xludf.DUMMYFUNCTION("""COMPUTED_VALUE"""),766.34)</f>
        <v>766.34</v>
      </c>
      <c r="F2877" s="1">
        <f>IFERROR(__xludf.DUMMYFUNCTION("""COMPUTED_VALUE"""),7.3271872E7)</f>
        <v>73271872</v>
      </c>
    </row>
    <row r="2878">
      <c r="A2878" s="2">
        <f>IFERROR(__xludf.DUMMYFUNCTION("""COMPUTED_VALUE"""),35541.666666666664)</f>
        <v>35541.66667</v>
      </c>
      <c r="B2878" s="1">
        <f>IFERROR(__xludf.DUMMYFUNCTION("""COMPUTED_VALUE"""),766.16)</f>
        <v>766.16</v>
      </c>
      <c r="C2878" s="1">
        <f>IFERROR(__xludf.DUMMYFUNCTION("""COMPUTED_VALUE"""),767.39)</f>
        <v>767.39</v>
      </c>
      <c r="D2878" s="1">
        <f>IFERROR(__xludf.DUMMYFUNCTION("""COMPUTED_VALUE"""),756.38)</f>
        <v>756.38</v>
      </c>
      <c r="E2878" s="1">
        <f>IFERROR(__xludf.DUMMYFUNCTION("""COMPUTED_VALUE"""),760.37)</f>
        <v>760.37</v>
      </c>
      <c r="F2878" s="1">
        <f>IFERROR(__xludf.DUMMYFUNCTION("""COMPUTED_VALUE"""),6.2078124E7)</f>
        <v>62078124</v>
      </c>
    </row>
    <row r="2879">
      <c r="A2879" s="2">
        <f>IFERROR(__xludf.DUMMYFUNCTION("""COMPUTED_VALUE"""),35542.666666666664)</f>
        <v>35542.66667</v>
      </c>
      <c r="B2879" s="1">
        <f>IFERROR(__xludf.DUMMYFUNCTION("""COMPUTED_VALUE"""),761.22)</f>
        <v>761.22</v>
      </c>
      <c r="C2879" s="1">
        <f>IFERROR(__xludf.DUMMYFUNCTION("""COMPUTED_VALUE"""),774.64)</f>
        <v>774.64</v>
      </c>
      <c r="D2879" s="1">
        <f>IFERROR(__xludf.DUMMYFUNCTION("""COMPUTED_VALUE"""),759.9)</f>
        <v>759.9</v>
      </c>
      <c r="E2879" s="1">
        <f>IFERROR(__xludf.DUMMYFUNCTION("""COMPUTED_VALUE"""),774.64)</f>
        <v>774.64</v>
      </c>
      <c r="F2879" s="1">
        <f>IFERROR(__xludf.DUMMYFUNCTION("""COMPUTED_VALUE"""),7.9296872E7)</f>
        <v>79296872</v>
      </c>
    </row>
    <row r="2880">
      <c r="A2880" s="2">
        <f>IFERROR(__xludf.DUMMYFUNCTION("""COMPUTED_VALUE"""),35543.666666666664)</f>
        <v>35543.66667</v>
      </c>
      <c r="B2880" s="1">
        <f>IFERROR(__xludf.DUMMYFUNCTION("""COMPUTED_VALUE"""),774.54)</f>
        <v>774.54</v>
      </c>
      <c r="C2880" s="1">
        <f>IFERROR(__xludf.DUMMYFUNCTION("""COMPUTED_VALUE"""),778.19)</f>
        <v>778.19</v>
      </c>
      <c r="D2880" s="1">
        <f>IFERROR(__xludf.DUMMYFUNCTION("""COMPUTED_VALUE"""),771.9)</f>
        <v>771.9</v>
      </c>
      <c r="E2880" s="1">
        <f>IFERROR(__xludf.DUMMYFUNCTION("""COMPUTED_VALUE"""),773.64)</f>
        <v>773.64</v>
      </c>
      <c r="F2880" s="1">
        <f>IFERROR(__xludf.DUMMYFUNCTION("""COMPUTED_VALUE"""),7.6460936E7)</f>
        <v>76460936</v>
      </c>
    </row>
    <row r="2881">
      <c r="A2881" s="2">
        <f>IFERROR(__xludf.DUMMYFUNCTION("""COMPUTED_VALUE"""),35544.666666666664)</f>
        <v>35544.66667</v>
      </c>
      <c r="B2881" s="1">
        <f>IFERROR(__xludf.DUMMYFUNCTION("""COMPUTED_VALUE"""),777.62)</f>
        <v>777.62</v>
      </c>
      <c r="C2881" s="1">
        <f>IFERROR(__xludf.DUMMYFUNCTION("""COMPUTED_VALUE"""),779.89)</f>
        <v>779.89</v>
      </c>
      <c r="D2881" s="1">
        <f>IFERROR(__xludf.DUMMYFUNCTION("""COMPUTED_VALUE"""),769.72)</f>
        <v>769.72</v>
      </c>
      <c r="E2881" s="1">
        <f>IFERROR(__xludf.DUMMYFUNCTION("""COMPUTED_VALUE"""),771.18)</f>
        <v>771.18</v>
      </c>
      <c r="F2881" s="1">
        <f>IFERROR(__xludf.DUMMYFUNCTION("""COMPUTED_VALUE"""),7.7131248E7)</f>
        <v>77131248</v>
      </c>
    </row>
    <row r="2882">
      <c r="A2882" s="2">
        <f>IFERROR(__xludf.DUMMYFUNCTION("""COMPUTED_VALUE"""),35545.666666666664)</f>
        <v>35545.66667</v>
      </c>
      <c r="B2882" s="1">
        <f>IFERROR(__xludf.DUMMYFUNCTION("""COMPUTED_VALUE"""),769.59)</f>
        <v>769.59</v>
      </c>
      <c r="C2882" s="1">
        <f>IFERROR(__xludf.DUMMYFUNCTION("""COMPUTED_VALUE"""),771.18)</f>
        <v>771.18</v>
      </c>
      <c r="D2882" s="1">
        <f>IFERROR(__xludf.DUMMYFUNCTION("""COMPUTED_VALUE"""),764.63)</f>
        <v>764.63</v>
      </c>
      <c r="E2882" s="1">
        <f>IFERROR(__xludf.DUMMYFUNCTION("""COMPUTED_VALUE"""),765.37)</f>
        <v>765.37</v>
      </c>
      <c r="F2882" s="1">
        <f>IFERROR(__xludf.DUMMYFUNCTION("""COMPUTED_VALUE"""),6.4742188E7)</f>
        <v>64742188</v>
      </c>
    </row>
    <row r="2883">
      <c r="A2883" s="2">
        <f>IFERROR(__xludf.DUMMYFUNCTION("""COMPUTED_VALUE"""),35548.666666666664)</f>
        <v>35548.66667</v>
      </c>
      <c r="B2883" s="1">
        <f>IFERROR(__xludf.DUMMYFUNCTION("""COMPUTED_VALUE"""),764.41)</f>
        <v>764.41</v>
      </c>
      <c r="C2883" s="1">
        <f>IFERROR(__xludf.DUMMYFUNCTION("""COMPUTED_VALUE"""),773.89)</f>
        <v>773.89</v>
      </c>
      <c r="D2883" s="1">
        <f>IFERROR(__xludf.DUMMYFUNCTION("""COMPUTED_VALUE"""),763.3)</f>
        <v>763.3</v>
      </c>
      <c r="E2883" s="1">
        <f>IFERROR(__xludf.DUMMYFUNCTION("""COMPUTED_VALUE"""),772.96)</f>
        <v>772.96</v>
      </c>
      <c r="F2883" s="1">
        <f>IFERROR(__xludf.DUMMYFUNCTION("""COMPUTED_VALUE"""),6.3198436E7)</f>
        <v>63198436</v>
      </c>
    </row>
    <row r="2884">
      <c r="A2884" s="2">
        <f>IFERROR(__xludf.DUMMYFUNCTION("""COMPUTED_VALUE"""),35549.666666666664)</f>
        <v>35549.66667</v>
      </c>
      <c r="B2884" s="1">
        <f>IFERROR(__xludf.DUMMYFUNCTION("""COMPUTED_VALUE"""),779.28)</f>
        <v>779.28</v>
      </c>
      <c r="C2884" s="1">
        <f>IFERROR(__xludf.DUMMYFUNCTION("""COMPUTED_VALUE"""),794.44)</f>
        <v>794.44</v>
      </c>
      <c r="D2884" s="1">
        <f>IFERROR(__xludf.DUMMYFUNCTION("""COMPUTED_VALUE"""),772.96)</f>
        <v>772.96</v>
      </c>
      <c r="E2884" s="1">
        <f>IFERROR(__xludf.DUMMYFUNCTION("""COMPUTED_VALUE"""),794.05)</f>
        <v>794.05</v>
      </c>
      <c r="F2884" s="1">
        <f>IFERROR(__xludf.DUMMYFUNCTION("""COMPUTED_VALUE"""),8.557656E7)</f>
        <v>85576560</v>
      </c>
    </row>
    <row r="2885">
      <c r="A2885" s="2">
        <f>IFERROR(__xludf.DUMMYFUNCTION("""COMPUTED_VALUE"""),35550.666666666664)</f>
        <v>35550.66667</v>
      </c>
      <c r="B2885" s="1">
        <f>IFERROR(__xludf.DUMMYFUNCTION("""COMPUTED_VALUE"""),791.7)</f>
        <v>791.7</v>
      </c>
      <c r="C2885" s="1">
        <f>IFERROR(__xludf.DUMMYFUNCTION("""COMPUTED_VALUE"""),804.13)</f>
        <v>804.13</v>
      </c>
      <c r="D2885" s="1">
        <f>IFERROR(__xludf.DUMMYFUNCTION("""COMPUTED_VALUE"""),791.21)</f>
        <v>791.21</v>
      </c>
      <c r="E2885" s="1">
        <f>IFERROR(__xludf.DUMMYFUNCTION("""COMPUTED_VALUE"""),801.34)</f>
        <v>801.34</v>
      </c>
      <c r="F2885" s="1">
        <f>IFERROR(__xludf.DUMMYFUNCTION("""COMPUTED_VALUE"""),8.6885936E7)</f>
        <v>86885936</v>
      </c>
    </row>
    <row r="2886">
      <c r="A2886" s="2">
        <f>IFERROR(__xludf.DUMMYFUNCTION("""COMPUTED_VALUE"""),35551.666666666664)</f>
        <v>35551.66667</v>
      </c>
      <c r="B2886" s="1">
        <f>IFERROR(__xludf.DUMMYFUNCTION("""COMPUTED_VALUE"""),799.38)</f>
        <v>799.38</v>
      </c>
      <c r="C2886" s="1">
        <f>IFERROR(__xludf.DUMMYFUNCTION("""COMPUTED_VALUE"""),802.95)</f>
        <v>802.95</v>
      </c>
      <c r="D2886" s="1">
        <f>IFERROR(__xludf.DUMMYFUNCTION("""COMPUTED_VALUE"""),793.21)</f>
        <v>793.21</v>
      </c>
      <c r="E2886" s="1">
        <f>IFERROR(__xludf.DUMMYFUNCTION("""COMPUTED_VALUE"""),798.53)</f>
        <v>798.53</v>
      </c>
      <c r="F2886" s="1">
        <f>IFERROR(__xludf.DUMMYFUNCTION("""COMPUTED_VALUE"""),7.1934376E7)</f>
        <v>71934376</v>
      </c>
    </row>
    <row r="2887">
      <c r="A2887" s="2">
        <f>IFERROR(__xludf.DUMMYFUNCTION("""COMPUTED_VALUE"""),35552.666666666664)</f>
        <v>35552.66667</v>
      </c>
      <c r="B2887" s="1">
        <f>IFERROR(__xludf.DUMMYFUNCTION("""COMPUTED_VALUE"""),800.42)</f>
        <v>800.42</v>
      </c>
      <c r="C2887" s="1">
        <f>IFERROR(__xludf.DUMMYFUNCTION("""COMPUTED_VALUE"""),812.99)</f>
        <v>812.99</v>
      </c>
      <c r="D2887" s="1">
        <f>IFERROR(__xludf.DUMMYFUNCTION("""COMPUTED_VALUE"""),798.53)</f>
        <v>798.53</v>
      </c>
      <c r="E2887" s="1">
        <f>IFERROR(__xludf.DUMMYFUNCTION("""COMPUTED_VALUE"""),812.97)</f>
        <v>812.97</v>
      </c>
      <c r="F2887" s="1">
        <f>IFERROR(__xludf.DUMMYFUNCTION("""COMPUTED_VALUE"""),7.8089064E7)</f>
        <v>78089064</v>
      </c>
    </row>
    <row r="2888">
      <c r="A2888" s="2">
        <f>IFERROR(__xludf.DUMMYFUNCTION("""COMPUTED_VALUE"""),35555.666666666664)</f>
        <v>35555.66667</v>
      </c>
      <c r="B2888" s="1">
        <f>IFERROR(__xludf.DUMMYFUNCTION("""COMPUTED_VALUE"""),813.98)</f>
        <v>813.98</v>
      </c>
      <c r="C2888" s="1">
        <f>IFERROR(__xludf.DUMMYFUNCTION("""COMPUTED_VALUE"""),830.25)</f>
        <v>830.25</v>
      </c>
      <c r="D2888" s="1">
        <f>IFERROR(__xludf.DUMMYFUNCTION("""COMPUTED_VALUE"""),811.8)</f>
        <v>811.8</v>
      </c>
      <c r="E2888" s="1">
        <f>IFERROR(__xludf.DUMMYFUNCTION("""COMPUTED_VALUE"""),830.24)</f>
        <v>830.24</v>
      </c>
      <c r="F2888" s="1">
        <f>IFERROR(__xludf.DUMMYFUNCTION("""COMPUTED_VALUE"""),8.5845312E7)</f>
        <v>85845312</v>
      </c>
    </row>
    <row r="2889">
      <c r="A2889" s="2">
        <f>IFERROR(__xludf.DUMMYFUNCTION("""COMPUTED_VALUE"""),35556.666666666664)</f>
        <v>35556.66667</v>
      </c>
      <c r="B2889" s="1">
        <f>IFERROR(__xludf.DUMMYFUNCTION("""COMPUTED_VALUE"""),827.76)</f>
        <v>827.76</v>
      </c>
      <c r="C2889" s="1">
        <f>IFERROR(__xludf.DUMMYFUNCTION("""COMPUTED_VALUE"""),832.29)</f>
        <v>832.29</v>
      </c>
      <c r="D2889" s="1">
        <f>IFERROR(__xludf.DUMMYFUNCTION("""COMPUTED_VALUE"""),824.7)</f>
        <v>824.7</v>
      </c>
      <c r="E2889" s="1">
        <f>IFERROR(__xludf.DUMMYFUNCTION("""COMPUTED_VALUE"""),827.76)</f>
        <v>827.76</v>
      </c>
      <c r="F2889" s="1">
        <f>IFERROR(__xludf.DUMMYFUNCTION("""COMPUTED_VALUE"""),9.4325E7)</f>
        <v>94325000</v>
      </c>
    </row>
    <row r="2890">
      <c r="A2890" s="2">
        <f>IFERROR(__xludf.DUMMYFUNCTION("""COMPUTED_VALUE"""),35557.666666666664)</f>
        <v>35557.66667</v>
      </c>
      <c r="B2890" s="1">
        <f>IFERROR(__xludf.DUMMYFUNCTION("""COMPUTED_VALUE"""),826.06)</f>
        <v>826.06</v>
      </c>
      <c r="C2890" s="1">
        <f>IFERROR(__xludf.DUMMYFUNCTION("""COMPUTED_VALUE"""),827.76)</f>
        <v>827.76</v>
      </c>
      <c r="D2890" s="1">
        <f>IFERROR(__xludf.DUMMYFUNCTION("""COMPUTED_VALUE"""),814.7)</f>
        <v>814.7</v>
      </c>
      <c r="E2890" s="1">
        <f>IFERROR(__xludf.DUMMYFUNCTION("""COMPUTED_VALUE"""),815.62)</f>
        <v>815.62</v>
      </c>
      <c r="F2890" s="1">
        <f>IFERROR(__xludf.DUMMYFUNCTION("""COMPUTED_VALUE"""),7.8215624E7)</f>
        <v>78215624</v>
      </c>
    </row>
    <row r="2891">
      <c r="A2891" s="2">
        <f>IFERROR(__xludf.DUMMYFUNCTION("""COMPUTED_VALUE"""),35558.666666666664)</f>
        <v>35558.66667</v>
      </c>
      <c r="B2891" s="1">
        <f>IFERROR(__xludf.DUMMYFUNCTION("""COMPUTED_VALUE"""),814.46)</f>
        <v>814.46</v>
      </c>
      <c r="C2891" s="1">
        <f>IFERROR(__xludf.DUMMYFUNCTION("""COMPUTED_VALUE"""),829.09)</f>
        <v>829.09</v>
      </c>
      <c r="D2891" s="1">
        <f>IFERROR(__xludf.DUMMYFUNCTION("""COMPUTED_VALUE"""),811.84)</f>
        <v>811.84</v>
      </c>
      <c r="E2891" s="1">
        <f>IFERROR(__xludf.DUMMYFUNCTION("""COMPUTED_VALUE"""),820.28)</f>
        <v>820.28</v>
      </c>
      <c r="F2891" s="1">
        <f>IFERROR(__xludf.DUMMYFUNCTION("""COMPUTED_VALUE"""),8.3456248E7)</f>
        <v>83456248</v>
      </c>
    </row>
    <row r="2892">
      <c r="A2892" s="2">
        <f>IFERROR(__xludf.DUMMYFUNCTION("""COMPUTED_VALUE"""),35559.666666666664)</f>
        <v>35559.66667</v>
      </c>
      <c r="B2892" s="1">
        <f>IFERROR(__xludf.DUMMYFUNCTION("""COMPUTED_VALUE"""),824.61)</f>
        <v>824.61</v>
      </c>
      <c r="C2892" s="1">
        <f>IFERROR(__xludf.DUMMYFUNCTION("""COMPUTED_VALUE"""),827.69)</f>
        <v>827.69</v>
      </c>
      <c r="D2892" s="1">
        <f>IFERROR(__xludf.DUMMYFUNCTION("""COMPUTED_VALUE"""),815.78)</f>
        <v>815.78</v>
      </c>
      <c r="E2892" s="1">
        <f>IFERROR(__xludf.DUMMYFUNCTION("""COMPUTED_VALUE"""),824.78)</f>
        <v>824.78</v>
      </c>
      <c r="F2892" s="1">
        <f>IFERROR(__xludf.DUMMYFUNCTION("""COMPUTED_VALUE"""),7.120156E7)</f>
        <v>71201560</v>
      </c>
    </row>
    <row r="2893">
      <c r="A2893" s="2">
        <f>IFERROR(__xludf.DUMMYFUNCTION("""COMPUTED_VALUE"""),35562.666666666664)</f>
        <v>35562.66667</v>
      </c>
      <c r="B2893" s="1">
        <f>IFERROR(__xludf.DUMMYFUNCTION("""COMPUTED_VALUE"""),827.17)</f>
        <v>827.17</v>
      </c>
      <c r="C2893" s="1">
        <f>IFERROR(__xludf.DUMMYFUNCTION("""COMPUTED_VALUE"""),838.56)</f>
        <v>838.56</v>
      </c>
      <c r="D2893" s="1">
        <f>IFERROR(__xludf.DUMMYFUNCTION("""COMPUTED_VALUE"""),824.78)</f>
        <v>824.78</v>
      </c>
      <c r="E2893" s="1">
        <f>IFERROR(__xludf.DUMMYFUNCTION("""COMPUTED_VALUE"""),837.66)</f>
        <v>837.66</v>
      </c>
      <c r="F2893" s="1">
        <f>IFERROR(__xludf.DUMMYFUNCTION("""COMPUTED_VALUE"""),7.177656E7)</f>
        <v>71776560</v>
      </c>
    </row>
    <row r="2894">
      <c r="A2894" s="2">
        <f>IFERROR(__xludf.DUMMYFUNCTION("""COMPUTED_VALUE"""),35563.666666666664)</f>
        <v>35563.66667</v>
      </c>
      <c r="B2894" s="1">
        <f>IFERROR(__xludf.DUMMYFUNCTION("""COMPUTED_VALUE"""),837.2)</f>
        <v>837.2</v>
      </c>
      <c r="C2894" s="1">
        <f>IFERROR(__xludf.DUMMYFUNCTION("""COMPUTED_VALUE"""),838.49)</f>
        <v>838.49</v>
      </c>
      <c r="D2894" s="1">
        <f>IFERROR(__xludf.DUMMYFUNCTION("""COMPUTED_VALUE"""),829.12)</f>
        <v>829.12</v>
      </c>
      <c r="E2894" s="1">
        <f>IFERROR(__xludf.DUMMYFUNCTION("""COMPUTED_VALUE"""),833.13)</f>
        <v>833.13</v>
      </c>
      <c r="F2894" s="1">
        <f>IFERROR(__xludf.DUMMYFUNCTION("""COMPUTED_VALUE"""),7.6525E7)</f>
        <v>76525000</v>
      </c>
    </row>
    <row r="2895">
      <c r="A2895" s="2">
        <f>IFERROR(__xludf.DUMMYFUNCTION("""COMPUTED_VALUE"""),35564.666666666664)</f>
        <v>35564.66667</v>
      </c>
      <c r="B2895" s="1">
        <f>IFERROR(__xludf.DUMMYFUNCTION("""COMPUTED_VALUE"""),837.26)</f>
        <v>837.26</v>
      </c>
      <c r="C2895" s="1">
        <f>IFERROR(__xludf.DUMMYFUNCTION("""COMPUTED_VALUE"""),841.29)</f>
        <v>841.29</v>
      </c>
      <c r="D2895" s="1">
        <f>IFERROR(__xludf.DUMMYFUNCTION("""COMPUTED_VALUE"""),833.13)</f>
        <v>833.13</v>
      </c>
      <c r="E2895" s="1">
        <f>IFERROR(__xludf.DUMMYFUNCTION("""COMPUTED_VALUE"""),836.05)</f>
        <v>836.05</v>
      </c>
      <c r="F2895" s="1">
        <f>IFERROR(__xludf.DUMMYFUNCTION("""COMPUTED_VALUE"""),7.89E7)</f>
        <v>78900000</v>
      </c>
    </row>
    <row r="2896">
      <c r="A2896" s="2">
        <f>IFERROR(__xludf.DUMMYFUNCTION("""COMPUTED_VALUE"""),35565.666666666664)</f>
        <v>35565.66667</v>
      </c>
      <c r="B2896" s="1">
        <f>IFERROR(__xludf.DUMMYFUNCTION("""COMPUTED_VALUE"""),834.94)</f>
        <v>834.94</v>
      </c>
      <c r="C2896" s="1">
        <f>IFERROR(__xludf.DUMMYFUNCTION("""COMPUTED_VALUE"""),842.45)</f>
        <v>842.45</v>
      </c>
      <c r="D2896" s="1">
        <f>IFERROR(__xludf.DUMMYFUNCTION("""COMPUTED_VALUE"""),833.34)</f>
        <v>833.34</v>
      </c>
      <c r="E2896" s="1">
        <f>IFERROR(__xludf.DUMMYFUNCTION("""COMPUTED_VALUE"""),841.88)</f>
        <v>841.88</v>
      </c>
      <c r="F2896" s="1">
        <f>IFERROR(__xludf.DUMMYFUNCTION("""COMPUTED_VALUE"""),7.1589064E7)</f>
        <v>71589064</v>
      </c>
    </row>
    <row r="2897">
      <c r="A2897" s="2">
        <f>IFERROR(__xludf.DUMMYFUNCTION("""COMPUTED_VALUE"""),35566.666666666664)</f>
        <v>35566.66667</v>
      </c>
      <c r="B2897" s="1">
        <f>IFERROR(__xludf.DUMMYFUNCTION("""COMPUTED_VALUE"""),839.88)</f>
        <v>839.88</v>
      </c>
      <c r="C2897" s="1">
        <f>IFERROR(__xludf.DUMMYFUNCTION("""COMPUTED_VALUE"""),841.88)</f>
        <v>841.88</v>
      </c>
      <c r="D2897" s="1">
        <f>IFERROR(__xludf.DUMMYFUNCTION("""COMPUTED_VALUE"""),829.15)</f>
        <v>829.15</v>
      </c>
      <c r="E2897" s="1">
        <f>IFERROR(__xludf.DUMMYFUNCTION("""COMPUTED_VALUE"""),829.75)</f>
        <v>829.75</v>
      </c>
      <c r="F2897" s="1">
        <f>IFERROR(__xludf.DUMMYFUNCTION("""COMPUTED_VALUE"""),7.6059376E7)</f>
        <v>76059376</v>
      </c>
    </row>
    <row r="2898">
      <c r="A2898" s="2">
        <f>IFERROR(__xludf.DUMMYFUNCTION("""COMPUTED_VALUE"""),35569.666666666664)</f>
        <v>35569.66667</v>
      </c>
      <c r="B2898" s="1">
        <f>IFERROR(__xludf.DUMMYFUNCTION("""COMPUTED_VALUE"""),831.09)</f>
        <v>831.09</v>
      </c>
      <c r="C2898" s="1">
        <f>IFERROR(__xludf.DUMMYFUNCTION("""COMPUTED_VALUE"""),835.92)</f>
        <v>835.92</v>
      </c>
      <c r="D2898" s="1">
        <f>IFERROR(__xludf.DUMMYFUNCTION("""COMPUTED_VALUE"""),828.87)</f>
        <v>828.87</v>
      </c>
      <c r="E2898" s="1">
        <f>IFERROR(__xludf.DUMMYFUNCTION("""COMPUTED_VALUE"""),833.27)</f>
        <v>833.27</v>
      </c>
      <c r="F2898" s="1">
        <f>IFERROR(__xludf.DUMMYFUNCTION("""COMPUTED_VALUE"""),5.3928124E7)</f>
        <v>53928124</v>
      </c>
    </row>
    <row r="2899">
      <c r="A2899" s="2">
        <f>IFERROR(__xludf.DUMMYFUNCTION("""COMPUTED_VALUE"""),35570.666666666664)</f>
        <v>35570.66667</v>
      </c>
      <c r="B2899" s="1">
        <f>IFERROR(__xludf.DUMMYFUNCTION("""COMPUTED_VALUE"""),830.17)</f>
        <v>830.17</v>
      </c>
      <c r="C2899" s="1">
        <f>IFERROR(__xludf.DUMMYFUNCTION("""COMPUTED_VALUE"""),841.96)</f>
        <v>841.96</v>
      </c>
      <c r="D2899" s="1">
        <f>IFERROR(__xludf.DUMMYFUNCTION("""COMPUTED_VALUE"""),826.41)</f>
        <v>826.41</v>
      </c>
      <c r="E2899" s="1">
        <f>IFERROR(__xludf.DUMMYFUNCTION("""COMPUTED_VALUE"""),841.66)</f>
        <v>841.66</v>
      </c>
      <c r="F2899" s="1">
        <f>IFERROR(__xludf.DUMMYFUNCTION("""COMPUTED_VALUE"""),7.0445312E7)</f>
        <v>70445312</v>
      </c>
    </row>
    <row r="2900">
      <c r="A2900" s="2">
        <f>IFERROR(__xludf.DUMMYFUNCTION("""COMPUTED_VALUE"""),35571.666666666664)</f>
        <v>35571.66667</v>
      </c>
      <c r="B2900" s="1">
        <f>IFERROR(__xludf.DUMMYFUNCTION("""COMPUTED_VALUE"""),843.44)</f>
        <v>843.44</v>
      </c>
      <c r="C2900" s="1">
        <f>IFERROR(__xludf.DUMMYFUNCTION("""COMPUTED_VALUE"""),846.87)</f>
        <v>846.87</v>
      </c>
      <c r="D2900" s="1">
        <f>IFERROR(__xludf.DUMMYFUNCTION("""COMPUTED_VALUE"""),835.22)</f>
        <v>835.22</v>
      </c>
      <c r="E2900" s="1">
        <f>IFERROR(__xludf.DUMMYFUNCTION("""COMPUTED_VALUE"""),839.35)</f>
        <v>839.35</v>
      </c>
      <c r="F2900" s="1">
        <f>IFERROR(__xludf.DUMMYFUNCTION("""COMPUTED_VALUE"""),8.4489064E7)</f>
        <v>84489064</v>
      </c>
    </row>
    <row r="2901">
      <c r="A2901" s="2">
        <f>IFERROR(__xludf.DUMMYFUNCTION("""COMPUTED_VALUE"""),35572.666666666664)</f>
        <v>35572.66667</v>
      </c>
      <c r="B2901" s="1">
        <f>IFERROR(__xludf.DUMMYFUNCTION("""COMPUTED_VALUE"""),840.89)</f>
        <v>840.89</v>
      </c>
      <c r="C2901" s="1">
        <f>IFERROR(__xludf.DUMMYFUNCTION("""COMPUTED_VALUE"""),841.91)</f>
        <v>841.91</v>
      </c>
      <c r="D2901" s="1">
        <f>IFERROR(__xludf.DUMMYFUNCTION("""COMPUTED_VALUE"""),833.86)</f>
        <v>833.86</v>
      </c>
      <c r="E2901" s="1">
        <f>IFERROR(__xludf.DUMMYFUNCTION("""COMPUTED_VALUE"""),835.66)</f>
        <v>835.66</v>
      </c>
      <c r="F2901" s="1">
        <f>IFERROR(__xludf.DUMMYFUNCTION("""COMPUTED_VALUE"""),6.6709376E7)</f>
        <v>66709376</v>
      </c>
    </row>
    <row r="2902">
      <c r="A2902" s="2">
        <f>IFERROR(__xludf.DUMMYFUNCTION("""COMPUTED_VALUE"""),35573.666666666664)</f>
        <v>35573.66667</v>
      </c>
      <c r="B2902" s="1">
        <f>IFERROR(__xludf.DUMMYFUNCTION("""COMPUTED_VALUE"""),835.66)</f>
        <v>835.66</v>
      </c>
      <c r="C2902" s="1">
        <f>IFERROR(__xludf.DUMMYFUNCTION("""COMPUTED_VALUE"""),847.03)</f>
        <v>847.03</v>
      </c>
      <c r="D2902" s="1">
        <f>IFERROR(__xludf.DUMMYFUNCTION("""COMPUTED_VALUE"""),835.66)</f>
        <v>835.66</v>
      </c>
      <c r="E2902" s="1">
        <f>IFERROR(__xludf.DUMMYFUNCTION("""COMPUTED_VALUE"""),847.03)</f>
        <v>847.03</v>
      </c>
      <c r="F2902" s="1">
        <f>IFERROR(__xludf.DUMMYFUNCTION("""COMPUTED_VALUE"""),6.5160936E7)</f>
        <v>65160936</v>
      </c>
    </row>
    <row r="2903">
      <c r="A2903" s="2">
        <f>IFERROR(__xludf.DUMMYFUNCTION("""COMPUTED_VALUE"""),35577.666666666664)</f>
        <v>35577.66667</v>
      </c>
      <c r="B2903" s="1">
        <f>IFERROR(__xludf.DUMMYFUNCTION("""COMPUTED_VALUE"""),844.26)</f>
        <v>844.26</v>
      </c>
      <c r="C2903" s="1">
        <f>IFERROR(__xludf.DUMMYFUNCTION("""COMPUTED_VALUE"""),851.53)</f>
        <v>851.53</v>
      </c>
      <c r="D2903" s="1">
        <f>IFERROR(__xludf.DUMMYFUNCTION("""COMPUTED_VALUE"""),840.96)</f>
        <v>840.96</v>
      </c>
      <c r="E2903" s="1">
        <f>IFERROR(__xludf.DUMMYFUNCTION("""COMPUTED_VALUE"""),849.71)</f>
        <v>849.71</v>
      </c>
      <c r="F2903" s="1">
        <f>IFERROR(__xludf.DUMMYFUNCTION("""COMPUTED_VALUE"""),6.814844E7)</f>
        <v>68148440</v>
      </c>
    </row>
    <row r="2904">
      <c r="A2904" s="2">
        <f>IFERROR(__xludf.DUMMYFUNCTION("""COMPUTED_VALUE"""),35578.666666666664)</f>
        <v>35578.66667</v>
      </c>
      <c r="B2904" s="1">
        <f>IFERROR(__xludf.DUMMYFUNCTION("""COMPUTED_VALUE"""),848.66)</f>
        <v>848.66</v>
      </c>
      <c r="C2904" s="1">
        <f>IFERROR(__xludf.DUMMYFUNCTION("""COMPUTED_VALUE"""),850.95)</f>
        <v>850.95</v>
      </c>
      <c r="D2904" s="1">
        <f>IFERROR(__xludf.DUMMYFUNCTION("""COMPUTED_VALUE"""),843.21)</f>
        <v>843.21</v>
      </c>
      <c r="E2904" s="1">
        <f>IFERROR(__xludf.DUMMYFUNCTION("""COMPUTED_VALUE"""),847.21)</f>
        <v>847.21</v>
      </c>
      <c r="F2904" s="1">
        <f>IFERROR(__xludf.DUMMYFUNCTION("""COMPUTED_VALUE"""),7.6146872E7)</f>
        <v>76146872</v>
      </c>
    </row>
    <row r="2905">
      <c r="A2905" s="2">
        <f>IFERROR(__xludf.DUMMYFUNCTION("""COMPUTED_VALUE"""),35579.666666666664)</f>
        <v>35579.66667</v>
      </c>
      <c r="B2905" s="1">
        <f>IFERROR(__xludf.DUMMYFUNCTION("""COMPUTED_VALUE"""),848.85)</f>
        <v>848.85</v>
      </c>
      <c r="C2905" s="1">
        <f>IFERROR(__xludf.DUMMYFUNCTION("""COMPUTED_VALUE"""),848.96)</f>
        <v>848.96</v>
      </c>
      <c r="D2905" s="1">
        <f>IFERROR(__xludf.DUMMYFUNCTION("""COMPUTED_VALUE"""),842.61)</f>
        <v>842.61</v>
      </c>
      <c r="E2905" s="1">
        <f>IFERROR(__xludf.DUMMYFUNCTION("""COMPUTED_VALUE"""),844.08)</f>
        <v>844.08</v>
      </c>
      <c r="F2905" s="1">
        <f>IFERROR(__xludf.DUMMYFUNCTION("""COMPUTED_VALUE"""),7.2281248E7)</f>
        <v>72281248</v>
      </c>
    </row>
    <row r="2906">
      <c r="A2906" s="2">
        <f>IFERROR(__xludf.DUMMYFUNCTION("""COMPUTED_VALUE"""),35580.666666666664)</f>
        <v>35580.66667</v>
      </c>
      <c r="B2906" s="1">
        <f>IFERROR(__xludf.DUMMYFUNCTION("""COMPUTED_VALUE"""),835.77)</f>
        <v>835.77</v>
      </c>
      <c r="C2906" s="1">
        <f>IFERROR(__xludf.DUMMYFUNCTION("""COMPUTED_VALUE"""),851.87)</f>
        <v>851.87</v>
      </c>
      <c r="D2906" s="1">
        <f>IFERROR(__xludf.DUMMYFUNCTION("""COMPUTED_VALUE"""),831.87)</f>
        <v>831.87</v>
      </c>
      <c r="E2906" s="1">
        <f>IFERROR(__xludf.DUMMYFUNCTION("""COMPUTED_VALUE"""),848.28)</f>
        <v>848.28</v>
      </c>
      <c r="F2906" s="1">
        <f>IFERROR(__xludf.DUMMYFUNCTION("""COMPUTED_VALUE"""),8.3937504E7)</f>
        <v>83937504</v>
      </c>
    </row>
    <row r="2907">
      <c r="A2907" s="2">
        <f>IFERROR(__xludf.DUMMYFUNCTION("""COMPUTED_VALUE"""),35583.666666666664)</f>
        <v>35583.66667</v>
      </c>
      <c r="B2907" s="1">
        <f>IFERROR(__xludf.DUMMYFUNCTION("""COMPUTED_VALUE"""),850.56)</f>
        <v>850.56</v>
      </c>
      <c r="C2907" s="1">
        <f>IFERROR(__xludf.DUMMYFUNCTION("""COMPUTED_VALUE"""),851.34)</f>
        <v>851.34</v>
      </c>
      <c r="D2907" s="1">
        <f>IFERROR(__xludf.DUMMYFUNCTION("""COMPUTED_VALUE"""),844.61)</f>
        <v>844.61</v>
      </c>
      <c r="E2907" s="1">
        <f>IFERROR(__xludf.DUMMYFUNCTION("""COMPUTED_VALUE"""),846.36)</f>
        <v>846.36</v>
      </c>
      <c r="F2907" s="1">
        <f>IFERROR(__xludf.DUMMYFUNCTION("""COMPUTED_VALUE"""),6.8117184E7)</f>
        <v>68117184</v>
      </c>
    </row>
    <row r="2908">
      <c r="A2908" s="2">
        <f>IFERROR(__xludf.DUMMYFUNCTION("""COMPUTED_VALUE"""),35584.666666666664)</f>
        <v>35584.66667</v>
      </c>
      <c r="B2908" s="1">
        <f>IFERROR(__xludf.DUMMYFUNCTION("""COMPUTED_VALUE"""),843.9)</f>
        <v>843.9</v>
      </c>
      <c r="C2908" s="1">
        <f>IFERROR(__xludf.DUMMYFUNCTION("""COMPUTED_VALUE"""),850.56)</f>
        <v>850.56</v>
      </c>
      <c r="D2908" s="1">
        <f>IFERROR(__xludf.DUMMYFUNCTION("""COMPUTED_VALUE"""),841.51)</f>
        <v>841.51</v>
      </c>
      <c r="E2908" s="1">
        <f>IFERROR(__xludf.DUMMYFUNCTION("""COMPUTED_VALUE"""),845.48)</f>
        <v>845.48</v>
      </c>
      <c r="F2908" s="1">
        <f>IFERROR(__xludf.DUMMYFUNCTION("""COMPUTED_VALUE"""),8.2362496E7)</f>
        <v>82362496</v>
      </c>
    </row>
    <row r="2909">
      <c r="A2909" s="2">
        <f>IFERROR(__xludf.DUMMYFUNCTION("""COMPUTED_VALUE"""),35585.666666666664)</f>
        <v>35585.66667</v>
      </c>
      <c r="B2909" s="1">
        <f>IFERROR(__xludf.DUMMYFUNCTION("""COMPUTED_VALUE"""),843.43)</f>
        <v>843.43</v>
      </c>
      <c r="C2909" s="1">
        <f>IFERROR(__xludf.DUMMYFUNCTION("""COMPUTED_VALUE"""),845.55)</f>
        <v>845.55</v>
      </c>
      <c r="D2909" s="1">
        <f>IFERROR(__xludf.DUMMYFUNCTION("""COMPUTED_VALUE"""),838.82)</f>
        <v>838.82</v>
      </c>
      <c r="E2909" s="1">
        <f>IFERROR(__xludf.DUMMYFUNCTION("""COMPUTED_VALUE"""),840.11)</f>
        <v>840.11</v>
      </c>
      <c r="F2909" s="1">
        <f>IFERROR(__xludf.DUMMYFUNCTION("""COMPUTED_VALUE"""),7.2920312E7)</f>
        <v>72920312</v>
      </c>
    </row>
    <row r="2910">
      <c r="A2910" s="2">
        <f>IFERROR(__xludf.DUMMYFUNCTION("""COMPUTED_VALUE"""),35586.666666666664)</f>
        <v>35586.66667</v>
      </c>
      <c r="B2910" s="1">
        <f>IFERROR(__xludf.DUMMYFUNCTION("""COMPUTED_VALUE"""),842.27)</f>
        <v>842.27</v>
      </c>
      <c r="C2910" s="1">
        <f>IFERROR(__xludf.DUMMYFUNCTION("""COMPUTED_VALUE"""),848.89)</f>
        <v>848.89</v>
      </c>
      <c r="D2910" s="1">
        <f>IFERROR(__xludf.DUMMYFUNCTION("""COMPUTED_VALUE"""),840.11)</f>
        <v>840.11</v>
      </c>
      <c r="E2910" s="1">
        <f>IFERROR(__xludf.DUMMYFUNCTION("""COMPUTED_VALUE"""),843.43)</f>
        <v>843.43</v>
      </c>
      <c r="F2910" s="1">
        <f>IFERROR(__xludf.DUMMYFUNCTION("""COMPUTED_VALUE"""),7.0720312E7)</f>
        <v>70720312</v>
      </c>
    </row>
    <row r="2911">
      <c r="A2911" s="2">
        <f>IFERROR(__xludf.DUMMYFUNCTION("""COMPUTED_VALUE"""),35587.666666666664)</f>
        <v>35587.66667</v>
      </c>
      <c r="B2911" s="1">
        <f>IFERROR(__xludf.DUMMYFUNCTION("""COMPUTED_VALUE"""),844.22)</f>
        <v>844.22</v>
      </c>
      <c r="C2911" s="1">
        <f>IFERROR(__xludf.DUMMYFUNCTION("""COMPUTED_VALUE"""),859.24)</f>
        <v>859.24</v>
      </c>
      <c r="D2911" s="1">
        <f>IFERROR(__xludf.DUMMYFUNCTION("""COMPUTED_VALUE"""),843.36)</f>
        <v>843.36</v>
      </c>
      <c r="E2911" s="1">
        <f>IFERROR(__xludf.DUMMYFUNCTION("""COMPUTED_VALUE"""),858.01)</f>
        <v>858.01</v>
      </c>
      <c r="F2911" s="1">
        <f>IFERROR(__xludf.DUMMYFUNCTION("""COMPUTED_VALUE"""),7.6396872E7)</f>
        <v>76396872</v>
      </c>
    </row>
    <row r="2912">
      <c r="A2912" s="2">
        <f>IFERROR(__xludf.DUMMYFUNCTION("""COMPUTED_VALUE"""),35590.666666666664)</f>
        <v>35590.66667</v>
      </c>
      <c r="B2912" s="1">
        <f>IFERROR(__xludf.DUMMYFUNCTION("""COMPUTED_VALUE"""),859.9)</f>
        <v>859.9</v>
      </c>
      <c r="C2912" s="1">
        <f>IFERROR(__xludf.DUMMYFUNCTION("""COMPUTED_VALUE"""),865.14)</f>
        <v>865.14</v>
      </c>
      <c r="D2912" s="1">
        <f>IFERROR(__xludf.DUMMYFUNCTION("""COMPUTED_VALUE"""),858.01)</f>
        <v>858.01</v>
      </c>
      <c r="E2912" s="1">
        <f>IFERROR(__xludf.DUMMYFUNCTION("""COMPUTED_VALUE"""),862.91)</f>
        <v>862.91</v>
      </c>
      <c r="F2912" s="1">
        <f>IFERROR(__xludf.DUMMYFUNCTION("""COMPUTED_VALUE"""),7.2782816E7)</f>
        <v>72782816</v>
      </c>
    </row>
    <row r="2913">
      <c r="A2913" s="2">
        <f>IFERROR(__xludf.DUMMYFUNCTION("""COMPUTED_VALUE"""),35591.666666666664)</f>
        <v>35591.66667</v>
      </c>
      <c r="B2913" s="1">
        <f>IFERROR(__xludf.DUMMYFUNCTION("""COMPUTED_VALUE"""),862.91)</f>
        <v>862.91</v>
      </c>
      <c r="C2913" s="1">
        <f>IFERROR(__xludf.DUMMYFUNCTION("""COMPUTED_VALUE"""),870.05)</f>
        <v>870.05</v>
      </c>
      <c r="D2913" s="1">
        <f>IFERROR(__xludf.DUMMYFUNCTION("""COMPUTED_VALUE"""),862.18)</f>
        <v>862.18</v>
      </c>
      <c r="E2913" s="1">
        <f>IFERROR(__xludf.DUMMYFUNCTION("""COMPUTED_VALUE"""),865.27)</f>
        <v>865.27</v>
      </c>
      <c r="F2913" s="1">
        <f>IFERROR(__xludf.DUMMYFUNCTION("""COMPUTED_VALUE"""),8.2340624E7)</f>
        <v>82340624</v>
      </c>
    </row>
    <row r="2914">
      <c r="A2914" s="2">
        <f>IFERROR(__xludf.DUMMYFUNCTION("""COMPUTED_VALUE"""),35592.666666666664)</f>
        <v>35592.66667</v>
      </c>
      <c r="B2914" s="1">
        <f>IFERROR(__xludf.DUMMYFUNCTION("""COMPUTED_VALUE"""),865.99)</f>
        <v>865.99</v>
      </c>
      <c r="C2914" s="1">
        <f>IFERROR(__xludf.DUMMYFUNCTION("""COMPUTED_VALUE"""),870.66)</f>
        <v>870.66</v>
      </c>
      <c r="D2914" s="1">
        <f>IFERROR(__xludf.DUMMYFUNCTION("""COMPUTED_VALUE"""),865.16)</f>
        <v>865.16</v>
      </c>
      <c r="E2914" s="1">
        <f>IFERROR(__xludf.DUMMYFUNCTION("""COMPUTED_VALUE"""),869.57)</f>
        <v>869.57</v>
      </c>
      <c r="F2914" s="1">
        <f>IFERROR(__xludf.DUMMYFUNCTION("""COMPUTED_VALUE"""),8.0271872E7)</f>
        <v>80271872</v>
      </c>
    </row>
    <row r="2915">
      <c r="A2915" s="2">
        <f>IFERROR(__xludf.DUMMYFUNCTION("""COMPUTED_VALUE"""),35593.666666666664)</f>
        <v>35593.66667</v>
      </c>
      <c r="B2915" s="1">
        <f>IFERROR(__xludf.DUMMYFUNCTION("""COMPUTED_VALUE"""),871.72)</f>
        <v>871.72</v>
      </c>
      <c r="C2915" s="1">
        <f>IFERROR(__xludf.DUMMYFUNCTION("""COMPUTED_VALUE"""),884.34)</f>
        <v>884.34</v>
      </c>
      <c r="D2915" s="1">
        <f>IFERROR(__xludf.DUMMYFUNCTION("""COMPUTED_VALUE"""),869.01)</f>
        <v>869.01</v>
      </c>
      <c r="E2915" s="1">
        <f>IFERROR(__xludf.DUMMYFUNCTION("""COMPUTED_VALUE"""),883.48)</f>
        <v>883.48</v>
      </c>
      <c r="F2915" s="1">
        <f>IFERROR(__xludf.DUMMYFUNCTION("""COMPUTED_VALUE"""),9.2614064E7)</f>
        <v>92614064</v>
      </c>
    </row>
    <row r="2916">
      <c r="A2916" s="2">
        <f>IFERROR(__xludf.DUMMYFUNCTION("""COMPUTED_VALUE"""),35594.666666666664)</f>
        <v>35594.66667</v>
      </c>
      <c r="B2916" s="1">
        <f>IFERROR(__xludf.DUMMYFUNCTION("""COMPUTED_VALUE"""),884.13)</f>
        <v>884.13</v>
      </c>
      <c r="C2916" s="1">
        <f>IFERROR(__xludf.DUMMYFUNCTION("""COMPUTED_VALUE"""),894.69)</f>
        <v>894.69</v>
      </c>
      <c r="D2916" s="1">
        <f>IFERROR(__xludf.DUMMYFUNCTION("""COMPUTED_VALUE"""),883.48)</f>
        <v>883.48</v>
      </c>
      <c r="E2916" s="1">
        <f>IFERROR(__xludf.DUMMYFUNCTION("""COMPUTED_VALUE"""),893.27)</f>
        <v>893.27</v>
      </c>
      <c r="F2916" s="1">
        <f>IFERROR(__xludf.DUMMYFUNCTION("""COMPUTED_VALUE"""),8.9970312E7)</f>
        <v>89970312</v>
      </c>
    </row>
    <row r="2917">
      <c r="A2917" s="2">
        <f>IFERROR(__xludf.DUMMYFUNCTION("""COMPUTED_VALUE"""),35597.666666666664)</f>
        <v>35597.66667</v>
      </c>
      <c r="B2917" s="1">
        <f>IFERROR(__xludf.DUMMYFUNCTION("""COMPUTED_VALUE"""),892.56)</f>
        <v>892.56</v>
      </c>
      <c r="C2917" s="1">
        <f>IFERROR(__xludf.DUMMYFUNCTION("""COMPUTED_VALUE"""),895.17)</f>
        <v>895.17</v>
      </c>
      <c r="D2917" s="1">
        <f>IFERROR(__xludf.DUMMYFUNCTION("""COMPUTED_VALUE"""),891.21)</f>
        <v>891.21</v>
      </c>
      <c r="E2917" s="1">
        <f>IFERROR(__xludf.DUMMYFUNCTION("""COMPUTED_VALUE"""),893.9)</f>
        <v>893.9</v>
      </c>
      <c r="F2917" s="1">
        <f>IFERROR(__xludf.DUMMYFUNCTION("""COMPUTED_VALUE"""),6.4731248E7)</f>
        <v>64731248</v>
      </c>
    </row>
    <row r="2918">
      <c r="A2918" s="2">
        <f>IFERROR(__xludf.DUMMYFUNCTION("""COMPUTED_VALUE"""),35598.666666666664)</f>
        <v>35598.66667</v>
      </c>
      <c r="B2918" s="1">
        <f>IFERROR(__xludf.DUMMYFUNCTION("""COMPUTED_VALUE"""),891.67)</f>
        <v>891.67</v>
      </c>
      <c r="C2918" s="1">
        <f>IFERROR(__xludf.DUMMYFUNCTION("""COMPUTED_VALUE"""),897.6)</f>
        <v>897.6</v>
      </c>
      <c r="D2918" s="1">
        <f>IFERROR(__xludf.DUMMYFUNCTION("""COMPUTED_VALUE"""),891.67)</f>
        <v>891.67</v>
      </c>
      <c r="E2918" s="1">
        <f>IFERROR(__xludf.DUMMYFUNCTION("""COMPUTED_VALUE"""),894.42)</f>
        <v>894.42</v>
      </c>
      <c r="F2918" s="1">
        <f>IFERROR(__xludf.DUMMYFUNCTION("""COMPUTED_VALUE"""),8.4845312E7)</f>
        <v>84845312</v>
      </c>
    </row>
    <row r="2919">
      <c r="A2919" s="2">
        <f>IFERROR(__xludf.DUMMYFUNCTION("""COMPUTED_VALUE"""),35599.666666666664)</f>
        <v>35599.66667</v>
      </c>
      <c r="B2919" s="1">
        <f>IFERROR(__xludf.DUMMYFUNCTION("""COMPUTED_VALUE"""),890.9)</f>
        <v>890.9</v>
      </c>
      <c r="C2919" s="1">
        <f>IFERROR(__xludf.DUMMYFUNCTION("""COMPUTED_VALUE"""),893.59)</f>
        <v>893.59</v>
      </c>
      <c r="D2919" s="1">
        <f>IFERROR(__xludf.DUMMYFUNCTION("""COMPUTED_VALUE"""),887.03)</f>
        <v>887.03</v>
      </c>
      <c r="E2919" s="1">
        <f>IFERROR(__xludf.DUMMYFUNCTION("""COMPUTED_VALUE"""),889.06)</f>
        <v>889.06</v>
      </c>
      <c r="F2919" s="1">
        <f>IFERROR(__xludf.DUMMYFUNCTION("""COMPUTED_VALUE"""),7.6834376E7)</f>
        <v>76834376</v>
      </c>
    </row>
    <row r="2920">
      <c r="A2920" s="2">
        <f>IFERROR(__xludf.DUMMYFUNCTION("""COMPUTED_VALUE"""),35600.666666666664)</f>
        <v>35600.66667</v>
      </c>
      <c r="B2920" s="1">
        <f>IFERROR(__xludf.DUMMYFUNCTION("""COMPUTED_VALUE"""),890.48)</f>
        <v>890.48</v>
      </c>
      <c r="C2920" s="1">
        <f>IFERROR(__xludf.DUMMYFUNCTION("""COMPUTED_VALUE"""),900.09)</f>
        <v>900.09</v>
      </c>
      <c r="D2920" s="1">
        <f>IFERROR(__xludf.DUMMYFUNCTION("""COMPUTED_VALUE"""),888.99)</f>
        <v>888.99</v>
      </c>
      <c r="E2920" s="1">
        <f>IFERROR(__xludf.DUMMYFUNCTION("""COMPUTED_VALUE"""),897.99)</f>
        <v>897.99</v>
      </c>
      <c r="F2920" s="1">
        <f>IFERROR(__xludf.DUMMYFUNCTION("""COMPUTED_VALUE"""),8.3896872E7)</f>
        <v>83896872</v>
      </c>
    </row>
    <row r="2921">
      <c r="A2921" s="2">
        <f>IFERROR(__xludf.DUMMYFUNCTION("""COMPUTED_VALUE"""),35601.666666666664)</f>
        <v>35601.66667</v>
      </c>
      <c r="B2921" s="1">
        <f>IFERROR(__xludf.DUMMYFUNCTION("""COMPUTED_VALUE"""),898.59)</f>
        <v>898.59</v>
      </c>
      <c r="C2921" s="1">
        <f>IFERROR(__xludf.DUMMYFUNCTION("""COMPUTED_VALUE"""),901.77)</f>
        <v>901.77</v>
      </c>
      <c r="D2921" s="1">
        <f>IFERROR(__xludf.DUMMYFUNCTION("""COMPUTED_VALUE"""),897.77)</f>
        <v>897.77</v>
      </c>
      <c r="E2921" s="1">
        <f>IFERROR(__xludf.DUMMYFUNCTION("""COMPUTED_VALUE"""),898.7)</f>
        <v>898.7</v>
      </c>
      <c r="F2921" s="1">
        <f>IFERROR(__xludf.DUMMYFUNCTION("""COMPUTED_VALUE"""),1.0204844E8)</f>
        <v>102048440</v>
      </c>
    </row>
    <row r="2922">
      <c r="A2922" s="2">
        <f>IFERROR(__xludf.DUMMYFUNCTION("""COMPUTED_VALUE"""),35604.666666666664)</f>
        <v>35604.66667</v>
      </c>
      <c r="B2922" s="1">
        <f>IFERROR(__xludf.DUMMYFUNCTION("""COMPUTED_VALUE"""),895.96)</f>
        <v>895.96</v>
      </c>
      <c r="C2922" s="1">
        <f>IFERROR(__xludf.DUMMYFUNCTION("""COMPUTED_VALUE"""),898.7)</f>
        <v>898.7</v>
      </c>
      <c r="D2922" s="1">
        <f>IFERROR(__xludf.DUMMYFUNCTION("""COMPUTED_VALUE"""),878.43)</f>
        <v>878.43</v>
      </c>
      <c r="E2922" s="1">
        <f>IFERROR(__xludf.DUMMYFUNCTION("""COMPUTED_VALUE"""),878.62)</f>
        <v>878.62</v>
      </c>
      <c r="F2922" s="1">
        <f>IFERROR(__xludf.DUMMYFUNCTION("""COMPUTED_VALUE"""),7.7021872E7)</f>
        <v>77021872</v>
      </c>
    </row>
    <row r="2923">
      <c r="A2923" s="2">
        <f>IFERROR(__xludf.DUMMYFUNCTION("""COMPUTED_VALUE"""),35605.666666666664)</f>
        <v>35605.66667</v>
      </c>
      <c r="B2923" s="1">
        <f>IFERROR(__xludf.DUMMYFUNCTION("""COMPUTED_VALUE"""),884.48)</f>
        <v>884.48</v>
      </c>
      <c r="C2923" s="1">
        <f>IFERROR(__xludf.DUMMYFUNCTION("""COMPUTED_VALUE"""),896.75)</f>
        <v>896.75</v>
      </c>
      <c r="D2923" s="1">
        <f>IFERROR(__xludf.DUMMYFUNCTION("""COMPUTED_VALUE"""),878.62)</f>
        <v>878.62</v>
      </c>
      <c r="E2923" s="1">
        <f>IFERROR(__xludf.DUMMYFUNCTION("""COMPUTED_VALUE"""),896.34)</f>
        <v>896.34</v>
      </c>
      <c r="F2923" s="1">
        <f>IFERROR(__xludf.DUMMYFUNCTION("""COMPUTED_VALUE"""),8.4789064E7)</f>
        <v>84789064</v>
      </c>
    </row>
    <row r="2924">
      <c r="A2924" s="2">
        <f>IFERROR(__xludf.DUMMYFUNCTION("""COMPUTED_VALUE"""),35606.666666666664)</f>
        <v>35606.66667</v>
      </c>
      <c r="B2924" s="1">
        <f>IFERROR(__xludf.DUMMYFUNCTION("""COMPUTED_VALUE"""),895.92)</f>
        <v>895.92</v>
      </c>
      <c r="C2924" s="1">
        <f>IFERROR(__xludf.DUMMYFUNCTION("""COMPUTED_VALUE"""),902.09)</f>
        <v>902.09</v>
      </c>
      <c r="D2924" s="1">
        <f>IFERROR(__xludf.DUMMYFUNCTION("""COMPUTED_VALUE"""),882.24)</f>
        <v>882.24</v>
      </c>
      <c r="E2924" s="1">
        <f>IFERROR(__xludf.DUMMYFUNCTION("""COMPUTED_VALUE"""),888.99)</f>
        <v>888.99</v>
      </c>
      <c r="F2924" s="1">
        <f>IFERROR(__xludf.DUMMYFUNCTION("""COMPUTED_VALUE"""),9.4225E7)</f>
        <v>94225000</v>
      </c>
    </row>
    <row r="2925">
      <c r="A2925" s="2">
        <f>IFERROR(__xludf.DUMMYFUNCTION("""COMPUTED_VALUE"""),35607.666666666664)</f>
        <v>35607.66667</v>
      </c>
      <c r="B2925" s="1">
        <f>IFERROR(__xludf.DUMMYFUNCTION("""COMPUTED_VALUE"""),888.58)</f>
        <v>888.58</v>
      </c>
      <c r="C2925" s="1">
        <f>IFERROR(__xludf.DUMMYFUNCTION("""COMPUTED_VALUE"""),893.21)</f>
        <v>893.21</v>
      </c>
      <c r="D2925" s="1">
        <f>IFERROR(__xludf.DUMMYFUNCTION("""COMPUTED_VALUE"""),879.32)</f>
        <v>879.32</v>
      </c>
      <c r="E2925" s="1">
        <f>IFERROR(__xludf.DUMMYFUNCTION("""COMPUTED_VALUE"""),883.68)</f>
        <v>883.68</v>
      </c>
      <c r="F2925" s="1">
        <f>IFERROR(__xludf.DUMMYFUNCTION("""COMPUTED_VALUE"""),7.8090624E7)</f>
        <v>78090624</v>
      </c>
    </row>
    <row r="2926">
      <c r="A2926" s="2">
        <f>IFERROR(__xludf.DUMMYFUNCTION("""COMPUTED_VALUE"""),35608.666666666664)</f>
        <v>35608.66667</v>
      </c>
      <c r="B2926" s="1">
        <f>IFERROR(__xludf.DUMMYFUNCTION("""COMPUTED_VALUE"""),886.71)</f>
        <v>886.71</v>
      </c>
      <c r="C2926" s="1">
        <f>IFERROR(__xludf.DUMMYFUNCTION("""COMPUTED_VALUE"""),894.7)</f>
        <v>894.7</v>
      </c>
      <c r="D2926" s="1">
        <f>IFERROR(__xludf.DUMMYFUNCTION("""COMPUTED_VALUE"""),883.68)</f>
        <v>883.68</v>
      </c>
      <c r="E2926" s="1">
        <f>IFERROR(__xludf.DUMMYFUNCTION("""COMPUTED_VALUE"""),887.3)</f>
        <v>887.3</v>
      </c>
      <c r="F2926" s="1">
        <f>IFERROR(__xludf.DUMMYFUNCTION("""COMPUTED_VALUE"""),7.3834376E7)</f>
        <v>73834376</v>
      </c>
    </row>
    <row r="2927">
      <c r="A2927" s="2">
        <f>IFERROR(__xludf.DUMMYFUNCTION("""COMPUTED_VALUE"""),35611.666666666664)</f>
        <v>35611.66667</v>
      </c>
      <c r="B2927" s="1">
        <f>IFERROR(__xludf.DUMMYFUNCTION("""COMPUTED_VALUE"""),888.47)</f>
        <v>888.47</v>
      </c>
      <c r="C2927" s="1">
        <f>IFERROR(__xludf.DUMMYFUNCTION("""COMPUTED_VALUE"""),892.62)</f>
        <v>892.62</v>
      </c>
      <c r="D2927" s="1">
        <f>IFERROR(__xludf.DUMMYFUNCTION("""COMPUTED_VALUE"""),879.88)</f>
        <v>879.88</v>
      </c>
      <c r="E2927" s="1">
        <f>IFERROR(__xludf.DUMMYFUNCTION("""COMPUTED_VALUE"""),885.15)</f>
        <v>885.15</v>
      </c>
      <c r="F2927" s="1">
        <f>IFERROR(__xludf.DUMMYFUNCTION("""COMPUTED_VALUE"""),8.7740624E7)</f>
        <v>87740624</v>
      </c>
    </row>
    <row r="2928">
      <c r="A2928" s="2">
        <f>IFERROR(__xludf.DUMMYFUNCTION("""COMPUTED_VALUE"""),35612.666666666664)</f>
        <v>35612.66667</v>
      </c>
      <c r="B2928" s="1">
        <f>IFERROR(__xludf.DUMMYFUNCTION("""COMPUTED_VALUE"""),891.03)</f>
        <v>891.03</v>
      </c>
      <c r="C2928" s="1">
        <f>IFERROR(__xludf.DUMMYFUNCTION("""COMPUTED_VALUE"""),893.88)</f>
        <v>893.88</v>
      </c>
      <c r="D2928" s="1">
        <f>IFERROR(__xludf.DUMMYFUNCTION("""COMPUTED_VALUE"""),885.67)</f>
        <v>885.67</v>
      </c>
      <c r="E2928" s="1">
        <f>IFERROR(__xludf.DUMMYFUNCTION("""COMPUTED_VALUE"""),891.03)</f>
        <v>891.03</v>
      </c>
      <c r="F2928" s="1">
        <f>IFERROR(__xludf.DUMMYFUNCTION("""COMPUTED_VALUE"""),8.5029688E7)</f>
        <v>85029688</v>
      </c>
    </row>
    <row r="2929">
      <c r="A2929" s="2">
        <f>IFERROR(__xludf.DUMMYFUNCTION("""COMPUTED_VALUE"""),35613.666666666664)</f>
        <v>35613.66667</v>
      </c>
      <c r="B2929" s="1">
        <f>IFERROR(__xludf.DUMMYFUNCTION("""COMPUTED_VALUE"""),892.68)</f>
        <v>892.68</v>
      </c>
      <c r="C2929" s="1">
        <f>IFERROR(__xludf.DUMMYFUNCTION("""COMPUTED_VALUE"""),904.05)</f>
        <v>904.05</v>
      </c>
      <c r="D2929" s="1">
        <f>IFERROR(__xludf.DUMMYFUNCTION("""COMPUTED_VALUE"""),891.03)</f>
        <v>891.03</v>
      </c>
      <c r="E2929" s="1">
        <f>IFERROR(__xludf.DUMMYFUNCTION("""COMPUTED_VALUE"""),904.03)</f>
        <v>904.03</v>
      </c>
      <c r="F2929" s="1">
        <f>IFERROR(__xludf.DUMMYFUNCTION("""COMPUTED_VALUE"""),8.2339064E7)</f>
        <v>82339064</v>
      </c>
    </row>
    <row r="2930">
      <c r="A2930" s="2">
        <f>IFERROR(__xludf.DUMMYFUNCTION("""COMPUTED_VALUE"""),35614.666666666664)</f>
        <v>35614.66667</v>
      </c>
      <c r="B2930" s="1">
        <f>IFERROR(__xludf.DUMMYFUNCTION("""COMPUTED_VALUE"""),909.31)</f>
        <v>909.31</v>
      </c>
      <c r="C2930" s="1">
        <f>IFERROR(__xludf.DUMMYFUNCTION("""COMPUTED_VALUE"""),917.82)</f>
        <v>917.82</v>
      </c>
      <c r="D2930" s="1">
        <f>IFERROR(__xludf.DUMMYFUNCTION("""COMPUTED_VALUE"""),904.03)</f>
        <v>904.03</v>
      </c>
      <c r="E2930" s="1">
        <f>IFERROR(__xludf.DUMMYFUNCTION("""COMPUTED_VALUE"""),916.92)</f>
        <v>916.92</v>
      </c>
      <c r="F2930" s="1">
        <f>IFERROR(__xludf.DUMMYFUNCTION("""COMPUTED_VALUE"""),5.8543752E7)</f>
        <v>58543752</v>
      </c>
    </row>
    <row r="2931">
      <c r="A2931" s="2">
        <f>IFERROR(__xludf.DUMMYFUNCTION("""COMPUTED_VALUE"""),35618.666666666664)</f>
        <v>35618.66667</v>
      </c>
      <c r="B2931" s="1">
        <f>IFERROR(__xludf.DUMMYFUNCTION("""COMPUTED_VALUE"""),919.64)</f>
        <v>919.64</v>
      </c>
      <c r="C2931" s="1">
        <f>IFERROR(__xludf.DUMMYFUNCTION("""COMPUTED_VALUE"""),923.26)</f>
        <v>923.26</v>
      </c>
      <c r="D2931" s="1">
        <f>IFERROR(__xludf.DUMMYFUNCTION("""COMPUTED_VALUE"""),909.69)</f>
        <v>909.69</v>
      </c>
      <c r="E2931" s="1">
        <f>IFERROR(__xludf.DUMMYFUNCTION("""COMPUTED_VALUE"""),912.2)</f>
        <v>912.2</v>
      </c>
      <c r="F2931" s="1">
        <f>IFERROR(__xludf.DUMMYFUNCTION("""COMPUTED_VALUE"""),8.1059376E7)</f>
        <v>81059376</v>
      </c>
    </row>
    <row r="2932">
      <c r="A2932" s="2">
        <f>IFERROR(__xludf.DUMMYFUNCTION("""COMPUTED_VALUE"""),35619.666666666664)</f>
        <v>35619.66667</v>
      </c>
      <c r="B2932" s="1">
        <f>IFERROR(__xludf.DUMMYFUNCTION("""COMPUTED_VALUE"""),912.15)</f>
        <v>912.15</v>
      </c>
      <c r="C2932" s="1">
        <f>IFERROR(__xludf.DUMMYFUNCTION("""COMPUTED_VALUE"""),918.76)</f>
        <v>918.76</v>
      </c>
      <c r="D2932" s="1">
        <f>IFERROR(__xludf.DUMMYFUNCTION("""COMPUTED_VALUE"""),911.56)</f>
        <v>911.56</v>
      </c>
      <c r="E2932" s="1">
        <f>IFERROR(__xludf.DUMMYFUNCTION("""COMPUTED_VALUE"""),918.75)</f>
        <v>918.75</v>
      </c>
      <c r="F2932" s="1">
        <f>IFERROR(__xludf.DUMMYFUNCTION("""COMPUTED_VALUE"""),8.2189064E7)</f>
        <v>82189064</v>
      </c>
    </row>
    <row r="2933">
      <c r="A2933" s="2">
        <f>IFERROR(__xludf.DUMMYFUNCTION("""COMPUTED_VALUE"""),35620.666666666664)</f>
        <v>35620.66667</v>
      </c>
      <c r="B2933" s="1">
        <f>IFERROR(__xludf.DUMMYFUNCTION("""COMPUTED_VALUE"""),920.41)</f>
        <v>920.41</v>
      </c>
      <c r="C2933" s="1">
        <f>IFERROR(__xludf.DUMMYFUNCTION("""COMPUTED_VALUE"""),922.03)</f>
        <v>922.03</v>
      </c>
      <c r="D2933" s="1">
        <f>IFERROR(__xludf.DUMMYFUNCTION("""COMPUTED_VALUE"""),902.48)</f>
        <v>902.48</v>
      </c>
      <c r="E2933" s="1">
        <f>IFERROR(__xludf.DUMMYFUNCTION("""COMPUTED_VALUE"""),907.54)</f>
        <v>907.54</v>
      </c>
      <c r="F2933" s="1">
        <f>IFERROR(__xludf.DUMMYFUNCTION("""COMPUTED_VALUE"""),9.204844E7)</f>
        <v>92048440</v>
      </c>
    </row>
    <row r="2934">
      <c r="A2934" s="2">
        <f>IFERROR(__xludf.DUMMYFUNCTION("""COMPUTED_VALUE"""),35621.666666666664)</f>
        <v>35621.66667</v>
      </c>
      <c r="B2934" s="1">
        <f>IFERROR(__xludf.DUMMYFUNCTION("""COMPUTED_VALUE"""),908.97)</f>
        <v>908.97</v>
      </c>
      <c r="C2934" s="1">
        <f>IFERROR(__xludf.DUMMYFUNCTION("""COMPUTED_VALUE"""),916.54)</f>
        <v>916.54</v>
      </c>
      <c r="D2934" s="1">
        <f>IFERROR(__xludf.DUMMYFUNCTION("""COMPUTED_VALUE"""),904.31)</f>
        <v>904.31</v>
      </c>
      <c r="E2934" s="1">
        <f>IFERROR(__xludf.DUMMYFUNCTION("""COMPUTED_VALUE"""),913.78)</f>
        <v>913.78</v>
      </c>
      <c r="F2934" s="1">
        <f>IFERROR(__xludf.DUMMYFUNCTION("""COMPUTED_VALUE"""),8.6146872E7)</f>
        <v>86146872</v>
      </c>
    </row>
    <row r="2935">
      <c r="A2935" s="2">
        <f>IFERROR(__xludf.DUMMYFUNCTION("""COMPUTED_VALUE"""),35622.666666666664)</f>
        <v>35622.66667</v>
      </c>
      <c r="B2935" s="1">
        <f>IFERROR(__xludf.DUMMYFUNCTION("""COMPUTED_VALUE"""),913.78)</f>
        <v>913.78</v>
      </c>
      <c r="C2935" s="1">
        <f>IFERROR(__xludf.DUMMYFUNCTION("""COMPUTED_VALUE"""),919.74)</f>
        <v>919.74</v>
      </c>
      <c r="D2935" s="1">
        <f>IFERROR(__xludf.DUMMYFUNCTION("""COMPUTED_VALUE"""),913.11)</f>
        <v>913.11</v>
      </c>
      <c r="E2935" s="1">
        <f>IFERROR(__xludf.DUMMYFUNCTION("""COMPUTED_VALUE"""),916.68)</f>
        <v>916.68</v>
      </c>
      <c r="F2935" s="1">
        <f>IFERROR(__xludf.DUMMYFUNCTION("""COMPUTED_VALUE"""),7.8132816E7)</f>
        <v>78132816</v>
      </c>
    </row>
    <row r="2936">
      <c r="A2936" s="2">
        <f>IFERROR(__xludf.DUMMYFUNCTION("""COMPUTED_VALUE"""),35625.666666666664)</f>
        <v>35625.66667</v>
      </c>
      <c r="B2936" s="1">
        <f>IFERROR(__xludf.DUMMYFUNCTION("""COMPUTED_VALUE"""),916.68)</f>
        <v>916.68</v>
      </c>
      <c r="C2936" s="1">
        <f>IFERROR(__xludf.DUMMYFUNCTION("""COMPUTED_VALUE"""),921.78)</f>
        <v>921.78</v>
      </c>
      <c r="D2936" s="1">
        <f>IFERROR(__xludf.DUMMYFUNCTION("""COMPUTED_VALUE"""),912.02)</f>
        <v>912.02</v>
      </c>
      <c r="E2936" s="1">
        <f>IFERROR(__xludf.DUMMYFUNCTION("""COMPUTED_VALUE"""),918.38)</f>
        <v>918.38</v>
      </c>
      <c r="F2936" s="1">
        <f>IFERROR(__xludf.DUMMYFUNCTION("""COMPUTED_VALUE"""),7.5931248E7)</f>
        <v>75931248</v>
      </c>
    </row>
    <row r="2937">
      <c r="A2937" s="2">
        <f>IFERROR(__xludf.DUMMYFUNCTION("""COMPUTED_VALUE"""),35626.666666666664)</f>
        <v>35626.66667</v>
      </c>
      <c r="B2937" s="1">
        <f>IFERROR(__xludf.DUMMYFUNCTION("""COMPUTED_VALUE"""),918.38)</f>
        <v>918.38</v>
      </c>
      <c r="C2937" s="1">
        <f>IFERROR(__xludf.DUMMYFUNCTION("""COMPUTED_VALUE"""),926.15)</f>
        <v>926.15</v>
      </c>
      <c r="D2937" s="1">
        <f>IFERROR(__xludf.DUMMYFUNCTION("""COMPUTED_VALUE"""),914.52)</f>
        <v>914.52</v>
      </c>
      <c r="E2937" s="1">
        <f>IFERROR(__xludf.DUMMYFUNCTION("""COMPUTED_VALUE"""),925.76)</f>
        <v>925.76</v>
      </c>
      <c r="F2937" s="1">
        <f>IFERROR(__xludf.DUMMYFUNCTION("""COMPUTED_VALUE"""),9.3495312E7)</f>
        <v>93495312</v>
      </c>
    </row>
    <row r="2938">
      <c r="A2938" s="2">
        <f>IFERROR(__xludf.DUMMYFUNCTION("""COMPUTED_VALUE"""),35627.666666666664)</f>
        <v>35627.66667</v>
      </c>
      <c r="B2938" s="1">
        <f>IFERROR(__xludf.DUMMYFUNCTION("""COMPUTED_VALUE"""),926.24)</f>
        <v>926.24</v>
      </c>
      <c r="C2938" s="1">
        <f>IFERROR(__xludf.DUMMYFUNCTION("""COMPUTED_VALUE"""),939.32)</f>
        <v>939.32</v>
      </c>
      <c r="D2938" s="1">
        <f>IFERROR(__xludf.DUMMYFUNCTION("""COMPUTED_VALUE"""),926.24)</f>
        <v>926.24</v>
      </c>
      <c r="E2938" s="1">
        <f>IFERROR(__xludf.DUMMYFUNCTION("""COMPUTED_VALUE"""),936.59)</f>
        <v>936.59</v>
      </c>
      <c r="F2938" s="1">
        <f>IFERROR(__xludf.DUMMYFUNCTION("""COMPUTED_VALUE"""),1.01154688E8)</f>
        <v>101154688</v>
      </c>
    </row>
    <row r="2939">
      <c r="A2939" s="2">
        <f>IFERROR(__xludf.DUMMYFUNCTION("""COMPUTED_VALUE"""),35628.666666666664)</f>
        <v>35628.66667</v>
      </c>
      <c r="B2939" s="1">
        <f>IFERROR(__xludf.DUMMYFUNCTION("""COMPUTED_VALUE"""),936.59)</f>
        <v>936.59</v>
      </c>
      <c r="C2939" s="1">
        <f>IFERROR(__xludf.DUMMYFUNCTION("""COMPUTED_VALUE"""),936.96)</f>
        <v>936.96</v>
      </c>
      <c r="D2939" s="1">
        <f>IFERROR(__xludf.DUMMYFUNCTION("""COMPUTED_VALUE"""),927.9)</f>
        <v>927.9</v>
      </c>
      <c r="E2939" s="1">
        <f>IFERROR(__xludf.DUMMYFUNCTION("""COMPUTED_VALUE"""),931.61)</f>
        <v>931.61</v>
      </c>
      <c r="F2939" s="1">
        <f>IFERROR(__xludf.DUMMYFUNCTION("""COMPUTED_VALUE"""),9.8320312E7)</f>
        <v>98320312</v>
      </c>
    </row>
    <row r="2940">
      <c r="A2940" s="2">
        <f>IFERROR(__xludf.DUMMYFUNCTION("""COMPUTED_VALUE"""),35629.666666666664)</f>
        <v>35629.66667</v>
      </c>
      <c r="B2940" s="1">
        <f>IFERROR(__xludf.DUMMYFUNCTION("""COMPUTED_VALUE"""),931.61)</f>
        <v>931.61</v>
      </c>
      <c r="C2940" s="1">
        <f>IFERROR(__xludf.DUMMYFUNCTION("""COMPUTED_VALUE"""),931.61)</f>
        <v>931.61</v>
      </c>
      <c r="D2940" s="1">
        <f>IFERROR(__xludf.DUMMYFUNCTION("""COMPUTED_VALUE"""),912.91)</f>
        <v>912.91</v>
      </c>
      <c r="E2940" s="1">
        <f>IFERROR(__xludf.DUMMYFUNCTION("""COMPUTED_VALUE"""),915.3)</f>
        <v>915.3</v>
      </c>
      <c r="F2940" s="1">
        <f>IFERROR(__xludf.DUMMYFUNCTION("""COMPUTED_VALUE"""),9.2142184E7)</f>
        <v>92142184</v>
      </c>
    </row>
    <row r="2941">
      <c r="A2941" s="2">
        <f>IFERROR(__xludf.DUMMYFUNCTION("""COMPUTED_VALUE"""),35632.666666666664)</f>
        <v>35632.66667</v>
      </c>
      <c r="B2941" s="1">
        <f>IFERROR(__xludf.DUMMYFUNCTION("""COMPUTED_VALUE"""),915.3)</f>
        <v>915.3</v>
      </c>
      <c r="C2941" s="1">
        <f>IFERROR(__xludf.DUMMYFUNCTION("""COMPUTED_VALUE"""),915.38)</f>
        <v>915.38</v>
      </c>
      <c r="D2941" s="1">
        <f>IFERROR(__xludf.DUMMYFUNCTION("""COMPUTED_VALUE"""),907.12)</f>
        <v>907.12</v>
      </c>
      <c r="E2941" s="1">
        <f>IFERROR(__xludf.DUMMYFUNCTION("""COMPUTED_VALUE"""),912.94)</f>
        <v>912.94</v>
      </c>
      <c r="F2941" s="1">
        <f>IFERROR(__xludf.DUMMYFUNCTION("""COMPUTED_VALUE"""),7.1796872E7)</f>
        <v>71796872</v>
      </c>
    </row>
    <row r="2942">
      <c r="A2942" s="2">
        <f>IFERROR(__xludf.DUMMYFUNCTION("""COMPUTED_VALUE"""),35633.666666666664)</f>
        <v>35633.66667</v>
      </c>
      <c r="B2942" s="1">
        <f>IFERROR(__xludf.DUMMYFUNCTION("""COMPUTED_VALUE"""),912.94)</f>
        <v>912.94</v>
      </c>
      <c r="C2942" s="1">
        <f>IFERROR(__xludf.DUMMYFUNCTION("""COMPUTED_VALUE"""),934.38)</f>
        <v>934.38</v>
      </c>
      <c r="D2942" s="1">
        <f>IFERROR(__xludf.DUMMYFUNCTION("""COMPUTED_VALUE"""),912.94)</f>
        <v>912.94</v>
      </c>
      <c r="E2942" s="1">
        <f>IFERROR(__xludf.DUMMYFUNCTION("""COMPUTED_VALUE"""),933.98)</f>
        <v>933.98</v>
      </c>
      <c r="F2942" s="1">
        <f>IFERROR(__xludf.DUMMYFUNCTION("""COMPUTED_VALUE"""),9.0560936E7)</f>
        <v>90560936</v>
      </c>
    </row>
    <row r="2943">
      <c r="A2943" s="2">
        <f>IFERROR(__xludf.DUMMYFUNCTION("""COMPUTED_VALUE"""),35634.666666666664)</f>
        <v>35634.66667</v>
      </c>
      <c r="B2943" s="1">
        <f>IFERROR(__xludf.DUMMYFUNCTION("""COMPUTED_VALUE"""),933.98)</f>
        <v>933.98</v>
      </c>
      <c r="C2943" s="1">
        <f>IFERROR(__xludf.DUMMYFUNCTION("""COMPUTED_VALUE"""),941.79)</f>
        <v>941.79</v>
      </c>
      <c r="D2943" s="1">
        <f>IFERROR(__xludf.DUMMYFUNCTION("""COMPUTED_VALUE"""),933.98)</f>
        <v>933.98</v>
      </c>
      <c r="E2943" s="1">
        <f>IFERROR(__xludf.DUMMYFUNCTION("""COMPUTED_VALUE"""),936.56)</f>
        <v>936.56</v>
      </c>
      <c r="F2943" s="1">
        <f>IFERROR(__xludf.DUMMYFUNCTION("""COMPUTED_VALUE"""),9.6395312E7)</f>
        <v>96395312</v>
      </c>
    </row>
    <row r="2944">
      <c r="A2944" s="2">
        <f>IFERROR(__xludf.DUMMYFUNCTION("""COMPUTED_VALUE"""),35635.666666666664)</f>
        <v>35635.66667</v>
      </c>
      <c r="B2944" s="1">
        <f>IFERROR(__xludf.DUMMYFUNCTION("""COMPUTED_VALUE"""),936.56)</f>
        <v>936.56</v>
      </c>
      <c r="C2944" s="1">
        <f>IFERROR(__xludf.DUMMYFUNCTION("""COMPUTED_VALUE"""),941.51)</f>
        <v>941.51</v>
      </c>
      <c r="D2944" s="1">
        <f>IFERROR(__xludf.DUMMYFUNCTION("""COMPUTED_VALUE"""),926.91)</f>
        <v>926.91</v>
      </c>
      <c r="E2944" s="1">
        <f>IFERROR(__xludf.DUMMYFUNCTION("""COMPUTED_VALUE"""),940.28)</f>
        <v>940.28</v>
      </c>
      <c r="F2944" s="1">
        <f>IFERROR(__xludf.DUMMYFUNCTION("""COMPUTED_VALUE"""),8.9221872E7)</f>
        <v>89221872</v>
      </c>
    </row>
    <row r="2945">
      <c r="A2945" s="2">
        <f>IFERROR(__xludf.DUMMYFUNCTION("""COMPUTED_VALUE"""),35636.666666666664)</f>
        <v>35636.66667</v>
      </c>
      <c r="B2945" s="1">
        <f>IFERROR(__xludf.DUMMYFUNCTION("""COMPUTED_VALUE"""),940.3)</f>
        <v>940.3</v>
      </c>
      <c r="C2945" s="1">
        <f>IFERROR(__xludf.DUMMYFUNCTION("""COMPUTED_VALUE"""),945.62)</f>
        <v>945.62</v>
      </c>
      <c r="D2945" s="1">
        <f>IFERROR(__xludf.DUMMYFUNCTION("""COMPUTED_VALUE"""),936.09)</f>
        <v>936.09</v>
      </c>
      <c r="E2945" s="1">
        <f>IFERROR(__xludf.DUMMYFUNCTION("""COMPUTED_VALUE"""),938.79)</f>
        <v>938.79</v>
      </c>
      <c r="F2945" s="1">
        <f>IFERROR(__xludf.DUMMYFUNCTION("""COMPUTED_VALUE"""),8.1485936E7)</f>
        <v>81485936</v>
      </c>
    </row>
    <row r="2946">
      <c r="A2946" s="2">
        <f>IFERROR(__xludf.DUMMYFUNCTION("""COMPUTED_VALUE"""),35639.666666666664)</f>
        <v>35639.66667</v>
      </c>
      <c r="B2946" s="1">
        <f>IFERROR(__xludf.DUMMYFUNCTION("""COMPUTED_VALUE"""),940.19)</f>
        <v>940.19</v>
      </c>
      <c r="C2946" s="1">
        <f>IFERROR(__xludf.DUMMYFUNCTION("""COMPUTED_VALUE"""),942.97)</f>
        <v>942.97</v>
      </c>
      <c r="D2946" s="1">
        <f>IFERROR(__xludf.DUMMYFUNCTION("""COMPUTED_VALUE"""),935.19)</f>
        <v>935.19</v>
      </c>
      <c r="E2946" s="1">
        <f>IFERROR(__xludf.DUMMYFUNCTION("""COMPUTED_VALUE"""),936.45)</f>
        <v>936.45</v>
      </c>
      <c r="F2946" s="1">
        <f>IFERROR(__xludf.DUMMYFUNCTION("""COMPUTED_VALUE"""),7.2956248E7)</f>
        <v>72956248</v>
      </c>
    </row>
    <row r="2947">
      <c r="A2947" s="2">
        <f>IFERROR(__xludf.DUMMYFUNCTION("""COMPUTED_VALUE"""),35640.666666666664)</f>
        <v>35640.66667</v>
      </c>
      <c r="B2947" s="1">
        <f>IFERROR(__xludf.DUMMYFUNCTION("""COMPUTED_VALUE"""),936.16)</f>
        <v>936.16</v>
      </c>
      <c r="C2947" s="1">
        <f>IFERROR(__xludf.DUMMYFUNCTION("""COMPUTED_VALUE"""),942.96)</f>
        <v>942.96</v>
      </c>
      <c r="D2947" s="1">
        <f>IFERROR(__xludf.DUMMYFUNCTION("""COMPUTED_VALUE"""),932.56)</f>
        <v>932.56</v>
      </c>
      <c r="E2947" s="1">
        <f>IFERROR(__xludf.DUMMYFUNCTION("""COMPUTED_VALUE"""),942.29)</f>
        <v>942.29</v>
      </c>
      <c r="F2947" s="1">
        <f>IFERROR(__xludf.DUMMYFUNCTION("""COMPUTED_VALUE"""),8.5084376E7)</f>
        <v>85084376</v>
      </c>
    </row>
    <row r="2948">
      <c r="A2948" s="2">
        <f>IFERROR(__xludf.DUMMYFUNCTION("""COMPUTED_VALUE"""),35641.666666666664)</f>
        <v>35641.66667</v>
      </c>
      <c r="B2948" s="1">
        <f>IFERROR(__xludf.DUMMYFUNCTION("""COMPUTED_VALUE"""),951.25)</f>
        <v>951.25</v>
      </c>
      <c r="C2948" s="1">
        <f>IFERROR(__xludf.DUMMYFUNCTION("""COMPUTED_VALUE"""),953.98)</f>
        <v>953.98</v>
      </c>
      <c r="D2948" s="1">
        <f>IFERROR(__xludf.DUMMYFUNCTION("""COMPUTED_VALUE"""),941.9)</f>
        <v>941.9</v>
      </c>
      <c r="E2948" s="1">
        <f>IFERROR(__xludf.DUMMYFUNCTION("""COMPUTED_VALUE"""),952.29)</f>
        <v>952.29</v>
      </c>
      <c r="F2948" s="1">
        <f>IFERROR(__xludf.DUMMYFUNCTION("""COMPUTED_VALUE"""),8.882344E7)</f>
        <v>88823440</v>
      </c>
    </row>
    <row r="2949">
      <c r="A2949" s="2">
        <f>IFERROR(__xludf.DUMMYFUNCTION("""COMPUTED_VALUE"""),35642.666666666664)</f>
        <v>35642.66667</v>
      </c>
      <c r="B2949" s="1">
        <f>IFERROR(__xludf.DUMMYFUNCTION("""COMPUTED_VALUE"""),952.29)</f>
        <v>952.29</v>
      </c>
      <c r="C2949" s="1">
        <f>IFERROR(__xludf.DUMMYFUNCTION("""COMPUTED_VALUE"""),957.73)</f>
        <v>957.73</v>
      </c>
      <c r="D2949" s="1">
        <f>IFERROR(__xludf.DUMMYFUNCTION("""COMPUTED_VALUE"""),948.89)</f>
        <v>948.89</v>
      </c>
      <c r="E2949" s="1">
        <f>IFERROR(__xludf.DUMMYFUNCTION("""COMPUTED_VALUE"""),954.29)</f>
        <v>954.29</v>
      </c>
      <c r="F2949" s="1">
        <f>IFERROR(__xludf.DUMMYFUNCTION("""COMPUTED_VALUE"""),8.559844E7)</f>
        <v>85598440</v>
      </c>
    </row>
    <row r="2950">
      <c r="A2950" s="2">
        <f>IFERROR(__xludf.DUMMYFUNCTION("""COMPUTED_VALUE"""),35643.666666666664)</f>
        <v>35643.66667</v>
      </c>
      <c r="B2950" s="1">
        <f>IFERROR(__xludf.DUMMYFUNCTION("""COMPUTED_VALUE"""),954.29)</f>
        <v>954.29</v>
      </c>
      <c r="C2950" s="1">
        <f>IFERROR(__xludf.DUMMYFUNCTION("""COMPUTED_VALUE"""),955.33)</f>
        <v>955.33</v>
      </c>
      <c r="D2950" s="1">
        <f>IFERROR(__xludf.DUMMYFUNCTION("""COMPUTED_VALUE"""),939.05)</f>
        <v>939.05</v>
      </c>
      <c r="E2950" s="1">
        <f>IFERROR(__xludf.DUMMYFUNCTION("""COMPUTED_VALUE"""),947.14)</f>
        <v>947.14</v>
      </c>
      <c r="F2950" s="1">
        <f>IFERROR(__xludf.DUMMYFUNCTION("""COMPUTED_VALUE"""),8.027344E7)</f>
        <v>80273440</v>
      </c>
    </row>
    <row r="2951">
      <c r="A2951" s="2">
        <f>IFERROR(__xludf.DUMMYFUNCTION("""COMPUTED_VALUE"""),35646.666666666664)</f>
        <v>35646.66667</v>
      </c>
      <c r="B2951" s="1">
        <f>IFERROR(__xludf.DUMMYFUNCTION("""COMPUTED_VALUE"""),947.14)</f>
        <v>947.14</v>
      </c>
      <c r="C2951" s="1">
        <f>IFERROR(__xludf.DUMMYFUNCTION("""COMPUTED_VALUE"""),953.18)</f>
        <v>953.18</v>
      </c>
      <c r="D2951" s="1">
        <f>IFERROR(__xludf.DUMMYFUNCTION("""COMPUTED_VALUE"""),943.6)</f>
        <v>943.6</v>
      </c>
      <c r="E2951" s="1">
        <f>IFERROR(__xludf.DUMMYFUNCTION("""COMPUTED_VALUE"""),950.3)</f>
        <v>950.3</v>
      </c>
      <c r="F2951" s="1">
        <f>IFERROR(__xludf.DUMMYFUNCTION("""COMPUTED_VALUE"""),7.125E7)</f>
        <v>71250000</v>
      </c>
    </row>
    <row r="2952">
      <c r="A2952" s="2">
        <f>IFERROR(__xludf.DUMMYFUNCTION("""COMPUTED_VALUE"""),35647.666666666664)</f>
        <v>35647.66667</v>
      </c>
      <c r="B2952" s="1">
        <f>IFERROR(__xludf.DUMMYFUNCTION("""COMPUTED_VALUE"""),950.3)</f>
        <v>950.3</v>
      </c>
      <c r="C2952" s="1">
        <f>IFERROR(__xludf.DUMMYFUNCTION("""COMPUTED_VALUE"""),954.21)</f>
        <v>954.21</v>
      </c>
      <c r="D2952" s="1">
        <f>IFERROR(__xludf.DUMMYFUNCTION("""COMPUTED_VALUE"""),948.92)</f>
        <v>948.92</v>
      </c>
      <c r="E2952" s="1">
        <f>IFERROR(__xludf.DUMMYFUNCTION("""COMPUTED_VALUE"""),952.37)</f>
        <v>952.37</v>
      </c>
      <c r="F2952" s="1">
        <f>IFERROR(__xludf.DUMMYFUNCTION("""COMPUTED_VALUE"""),8.2142184E7)</f>
        <v>82142184</v>
      </c>
    </row>
    <row r="2953">
      <c r="A2953" s="2">
        <f>IFERROR(__xludf.DUMMYFUNCTION("""COMPUTED_VALUE"""),35648.666666666664)</f>
        <v>35648.66667</v>
      </c>
      <c r="B2953" s="1">
        <f>IFERROR(__xludf.DUMMYFUNCTION("""COMPUTED_VALUE"""),952.37)</f>
        <v>952.37</v>
      </c>
      <c r="C2953" s="1">
        <f>IFERROR(__xludf.DUMMYFUNCTION("""COMPUTED_VALUE"""),962.43)</f>
        <v>962.43</v>
      </c>
      <c r="D2953" s="1">
        <f>IFERROR(__xludf.DUMMYFUNCTION("""COMPUTED_VALUE"""),949.45)</f>
        <v>949.45</v>
      </c>
      <c r="E2953" s="1">
        <f>IFERROR(__xludf.DUMMYFUNCTION("""COMPUTED_VALUE"""),960.32)</f>
        <v>960.32</v>
      </c>
      <c r="F2953" s="1">
        <f>IFERROR(__xludf.DUMMYFUNCTION("""COMPUTED_VALUE"""),8.8312496E7)</f>
        <v>88312496</v>
      </c>
    </row>
    <row r="2954">
      <c r="A2954" s="2">
        <f>IFERROR(__xludf.DUMMYFUNCTION("""COMPUTED_VALUE"""),35649.666666666664)</f>
        <v>35649.66667</v>
      </c>
      <c r="B2954" s="1">
        <f>IFERROR(__xludf.DUMMYFUNCTION("""COMPUTED_VALUE"""),960.32)</f>
        <v>960.32</v>
      </c>
      <c r="C2954" s="1">
        <f>IFERROR(__xludf.DUMMYFUNCTION("""COMPUTED_VALUE"""),964.17)</f>
        <v>964.17</v>
      </c>
      <c r="D2954" s="1">
        <f>IFERROR(__xludf.DUMMYFUNCTION("""COMPUTED_VALUE"""),950.87)</f>
        <v>950.87</v>
      </c>
      <c r="E2954" s="1">
        <f>IFERROR(__xludf.DUMMYFUNCTION("""COMPUTED_VALUE"""),951.19)</f>
        <v>951.19</v>
      </c>
      <c r="F2954" s="1">
        <f>IFERROR(__xludf.DUMMYFUNCTION("""COMPUTED_VALUE"""),9.0004688E7)</f>
        <v>90004688</v>
      </c>
    </row>
    <row r="2955">
      <c r="A2955" s="2">
        <f>IFERROR(__xludf.DUMMYFUNCTION("""COMPUTED_VALUE"""),35650.666666666664)</f>
        <v>35650.66667</v>
      </c>
      <c r="B2955" s="1">
        <f>IFERROR(__xludf.DUMMYFUNCTION("""COMPUTED_VALUE"""),951.19)</f>
        <v>951.19</v>
      </c>
      <c r="C2955" s="1">
        <f>IFERROR(__xludf.DUMMYFUNCTION("""COMPUTED_VALUE"""),951.19)</f>
        <v>951.19</v>
      </c>
      <c r="D2955" s="1">
        <f>IFERROR(__xludf.DUMMYFUNCTION("""COMPUTED_VALUE"""),925.74)</f>
        <v>925.74</v>
      </c>
      <c r="E2955" s="1">
        <f>IFERROR(__xludf.DUMMYFUNCTION("""COMPUTED_VALUE"""),933.54)</f>
        <v>933.54</v>
      </c>
      <c r="F2955" s="1">
        <f>IFERROR(__xludf.DUMMYFUNCTION("""COMPUTED_VALUE"""),8.8034376E7)</f>
        <v>88034376</v>
      </c>
    </row>
    <row r="2956">
      <c r="A2956" s="2">
        <f>IFERROR(__xludf.DUMMYFUNCTION("""COMPUTED_VALUE"""),35653.666666666664)</f>
        <v>35653.66667</v>
      </c>
      <c r="B2956" s="1">
        <f>IFERROR(__xludf.DUMMYFUNCTION("""COMPUTED_VALUE"""),933.54)</f>
        <v>933.54</v>
      </c>
      <c r="C2956" s="1">
        <f>IFERROR(__xludf.DUMMYFUNCTION("""COMPUTED_VALUE"""),938.5)</f>
        <v>938.5</v>
      </c>
      <c r="D2956" s="1">
        <f>IFERROR(__xludf.DUMMYFUNCTION("""COMPUTED_VALUE"""),925.39)</f>
        <v>925.39</v>
      </c>
      <c r="E2956" s="1">
        <f>IFERROR(__xludf.DUMMYFUNCTION("""COMPUTED_VALUE"""),937.0)</f>
        <v>937</v>
      </c>
      <c r="F2956" s="1">
        <f>IFERROR(__xludf.DUMMYFUNCTION("""COMPUTED_VALUE"""),7.5053128E7)</f>
        <v>75053128</v>
      </c>
    </row>
    <row r="2957">
      <c r="A2957" s="2">
        <f>IFERROR(__xludf.DUMMYFUNCTION("""COMPUTED_VALUE"""),35654.666666666664)</f>
        <v>35654.66667</v>
      </c>
      <c r="B2957" s="1">
        <f>IFERROR(__xludf.DUMMYFUNCTION("""COMPUTED_VALUE"""),937.0)</f>
        <v>937</v>
      </c>
      <c r="C2957" s="1">
        <f>IFERROR(__xludf.DUMMYFUNCTION("""COMPUTED_VALUE"""),942.99)</f>
        <v>942.99</v>
      </c>
      <c r="D2957" s="1">
        <f>IFERROR(__xludf.DUMMYFUNCTION("""COMPUTED_VALUE"""),925.66)</f>
        <v>925.66</v>
      </c>
      <c r="E2957" s="1">
        <f>IFERROR(__xludf.DUMMYFUNCTION("""COMPUTED_VALUE"""),926.53)</f>
        <v>926.53</v>
      </c>
      <c r="F2957" s="1">
        <f>IFERROR(__xludf.DUMMYFUNCTION("""COMPUTED_VALUE"""),7.8017184E7)</f>
        <v>78017184</v>
      </c>
    </row>
    <row r="2958">
      <c r="A2958" s="2">
        <f>IFERROR(__xludf.DUMMYFUNCTION("""COMPUTED_VALUE"""),35655.666666666664)</f>
        <v>35655.66667</v>
      </c>
      <c r="B2958" s="1">
        <f>IFERROR(__xludf.DUMMYFUNCTION("""COMPUTED_VALUE"""),926.53)</f>
        <v>926.53</v>
      </c>
      <c r="C2958" s="1">
        <f>IFERROR(__xludf.DUMMYFUNCTION("""COMPUTED_VALUE"""),935.77)</f>
        <v>935.77</v>
      </c>
      <c r="D2958" s="1">
        <f>IFERROR(__xludf.DUMMYFUNCTION("""COMPUTED_VALUE"""),916.54)</f>
        <v>916.54</v>
      </c>
      <c r="E2958" s="1">
        <f>IFERROR(__xludf.DUMMYFUNCTION("""COMPUTED_VALUE"""),922.02)</f>
        <v>922.02</v>
      </c>
      <c r="F2958" s="1">
        <f>IFERROR(__xludf.DUMMYFUNCTION("""COMPUTED_VALUE"""),9.175156E7)</f>
        <v>91751560</v>
      </c>
    </row>
    <row r="2959">
      <c r="A2959" s="2">
        <f>IFERROR(__xludf.DUMMYFUNCTION("""COMPUTED_VALUE"""),35656.666666666664)</f>
        <v>35656.66667</v>
      </c>
      <c r="B2959" s="1">
        <f>IFERROR(__xludf.DUMMYFUNCTION("""COMPUTED_VALUE"""),922.02)</f>
        <v>922.02</v>
      </c>
      <c r="C2959" s="1">
        <f>IFERROR(__xludf.DUMMYFUNCTION("""COMPUTED_VALUE"""),930.07)</f>
        <v>930.07</v>
      </c>
      <c r="D2959" s="1">
        <f>IFERROR(__xludf.DUMMYFUNCTION("""COMPUTED_VALUE"""),916.92)</f>
        <v>916.92</v>
      </c>
      <c r="E2959" s="1">
        <f>IFERROR(__xludf.DUMMYFUNCTION("""COMPUTED_VALUE"""),924.77)</f>
        <v>924.77</v>
      </c>
      <c r="F2959" s="1">
        <f>IFERROR(__xludf.DUMMYFUNCTION("""COMPUTED_VALUE"""),8.2884376E7)</f>
        <v>82884376</v>
      </c>
    </row>
    <row r="2960">
      <c r="A2960" s="2">
        <f>IFERROR(__xludf.DUMMYFUNCTION("""COMPUTED_VALUE"""),35657.666666666664)</f>
        <v>35657.66667</v>
      </c>
      <c r="B2960" s="1">
        <f>IFERROR(__xludf.DUMMYFUNCTION("""COMPUTED_VALUE"""),924.77)</f>
        <v>924.77</v>
      </c>
      <c r="C2960" s="1">
        <f>IFERROR(__xludf.DUMMYFUNCTION("""COMPUTED_VALUE"""),924.77)</f>
        <v>924.77</v>
      </c>
      <c r="D2960" s="1">
        <f>IFERROR(__xludf.DUMMYFUNCTION("""COMPUTED_VALUE"""),900.81)</f>
        <v>900.81</v>
      </c>
      <c r="E2960" s="1">
        <f>IFERROR(__xludf.DUMMYFUNCTION("""COMPUTED_VALUE"""),900.81)</f>
        <v>900.81</v>
      </c>
      <c r="F2960" s="1">
        <f>IFERROR(__xludf.DUMMYFUNCTION("""COMPUTED_VALUE"""),8.4034376E7)</f>
        <v>84034376</v>
      </c>
    </row>
    <row r="2961">
      <c r="A2961" s="2">
        <f>IFERROR(__xludf.DUMMYFUNCTION("""COMPUTED_VALUE"""),35660.666666666664)</f>
        <v>35660.66667</v>
      </c>
      <c r="B2961" s="1">
        <f>IFERROR(__xludf.DUMMYFUNCTION("""COMPUTED_VALUE"""),900.81)</f>
        <v>900.81</v>
      </c>
      <c r="C2961" s="1">
        <f>IFERROR(__xludf.DUMMYFUNCTION("""COMPUTED_VALUE"""),912.57)</f>
        <v>912.57</v>
      </c>
      <c r="D2961" s="1">
        <f>IFERROR(__xludf.DUMMYFUNCTION("""COMPUTED_VALUE"""),893.34)</f>
        <v>893.34</v>
      </c>
      <c r="E2961" s="1">
        <f>IFERROR(__xludf.DUMMYFUNCTION("""COMPUTED_VALUE"""),912.49)</f>
        <v>912.49</v>
      </c>
      <c r="F2961" s="1">
        <f>IFERROR(__xludf.DUMMYFUNCTION("""COMPUTED_VALUE"""),8.0364064E7)</f>
        <v>80364064</v>
      </c>
    </row>
    <row r="2962">
      <c r="A2962" s="2">
        <f>IFERROR(__xludf.DUMMYFUNCTION("""COMPUTED_VALUE"""),35661.666666666664)</f>
        <v>35661.66667</v>
      </c>
      <c r="B2962" s="1">
        <f>IFERROR(__xludf.DUMMYFUNCTION("""COMPUTED_VALUE"""),912.49)</f>
        <v>912.49</v>
      </c>
      <c r="C2962" s="1">
        <f>IFERROR(__xludf.DUMMYFUNCTION("""COMPUTED_VALUE"""),926.01)</f>
        <v>926.01</v>
      </c>
      <c r="D2962" s="1">
        <f>IFERROR(__xludf.DUMMYFUNCTION("""COMPUTED_VALUE"""),912.49)</f>
        <v>912.49</v>
      </c>
      <c r="E2962" s="1">
        <f>IFERROR(__xludf.DUMMYFUNCTION("""COMPUTED_VALUE"""),926.01)</f>
        <v>926.01</v>
      </c>
      <c r="F2962" s="1">
        <f>IFERROR(__xludf.DUMMYFUNCTION("""COMPUTED_VALUE"""),8.5254688E7)</f>
        <v>85254688</v>
      </c>
    </row>
    <row r="2963">
      <c r="A2963" s="2">
        <f>IFERROR(__xludf.DUMMYFUNCTION("""COMPUTED_VALUE"""),35662.666666666664)</f>
        <v>35662.66667</v>
      </c>
      <c r="B2963" s="1">
        <f>IFERROR(__xludf.DUMMYFUNCTION("""COMPUTED_VALUE"""),926.01)</f>
        <v>926.01</v>
      </c>
      <c r="C2963" s="1">
        <f>IFERROR(__xludf.DUMMYFUNCTION("""COMPUTED_VALUE"""),939.35)</f>
        <v>939.35</v>
      </c>
      <c r="D2963" s="1">
        <f>IFERROR(__xludf.DUMMYFUNCTION("""COMPUTED_VALUE"""),924.58)</f>
        <v>924.58</v>
      </c>
      <c r="E2963" s="1">
        <f>IFERROR(__xludf.DUMMYFUNCTION("""COMPUTED_VALUE"""),939.35)</f>
        <v>939.35</v>
      </c>
      <c r="F2963" s="1">
        <f>IFERROR(__xludf.DUMMYFUNCTION("""COMPUTED_VALUE"""),8.144844E7)</f>
        <v>81448440</v>
      </c>
    </row>
    <row r="2964">
      <c r="A2964" s="2">
        <f>IFERROR(__xludf.DUMMYFUNCTION("""COMPUTED_VALUE"""),35663.666666666664)</f>
        <v>35663.66667</v>
      </c>
      <c r="B2964" s="1">
        <f>IFERROR(__xludf.DUMMYFUNCTION("""COMPUTED_VALUE"""),939.35)</f>
        <v>939.35</v>
      </c>
      <c r="C2964" s="1">
        <f>IFERROR(__xludf.DUMMYFUNCTION("""COMPUTED_VALUE"""),939.47)</f>
        <v>939.47</v>
      </c>
      <c r="D2964" s="1">
        <f>IFERROR(__xludf.DUMMYFUNCTION("""COMPUTED_VALUE"""),921.38)</f>
        <v>921.38</v>
      </c>
      <c r="E2964" s="1">
        <f>IFERROR(__xludf.DUMMYFUNCTION("""COMPUTED_VALUE"""),925.05)</f>
        <v>925.05</v>
      </c>
      <c r="F2964" s="1">
        <f>IFERROR(__xludf.DUMMYFUNCTION("""COMPUTED_VALUE"""),7.7968752E7)</f>
        <v>77968752</v>
      </c>
    </row>
    <row r="2965">
      <c r="A2965" s="2">
        <f>IFERROR(__xludf.DUMMYFUNCTION("""COMPUTED_VALUE"""),35664.666666666664)</f>
        <v>35664.66667</v>
      </c>
      <c r="B2965" s="1">
        <f>IFERROR(__xludf.DUMMYFUNCTION("""COMPUTED_VALUE"""),925.05)</f>
        <v>925.05</v>
      </c>
      <c r="C2965" s="1">
        <f>IFERROR(__xludf.DUMMYFUNCTION("""COMPUTED_VALUE"""),925.05)</f>
        <v>925.05</v>
      </c>
      <c r="D2965" s="1">
        <f>IFERROR(__xludf.DUMMYFUNCTION("""COMPUTED_VALUE"""),905.42)</f>
        <v>905.42</v>
      </c>
      <c r="E2965" s="1">
        <f>IFERROR(__xludf.DUMMYFUNCTION("""COMPUTED_VALUE"""),923.54)</f>
        <v>923.54</v>
      </c>
      <c r="F2965" s="1">
        <f>IFERROR(__xludf.DUMMYFUNCTION("""COMPUTED_VALUE"""),7.19E7)</f>
        <v>71900000</v>
      </c>
    </row>
    <row r="2966">
      <c r="A2966" s="2">
        <f>IFERROR(__xludf.DUMMYFUNCTION("""COMPUTED_VALUE"""),35667.666666666664)</f>
        <v>35667.66667</v>
      </c>
      <c r="B2966" s="1">
        <f>IFERROR(__xludf.DUMMYFUNCTION("""COMPUTED_VALUE"""),923.55)</f>
        <v>923.55</v>
      </c>
      <c r="C2966" s="1">
        <f>IFERROR(__xludf.DUMMYFUNCTION("""COMPUTED_VALUE"""),930.93)</f>
        <v>930.93</v>
      </c>
      <c r="D2966" s="1">
        <f>IFERROR(__xludf.DUMMYFUNCTION("""COMPUTED_VALUE"""),917.29)</f>
        <v>917.29</v>
      </c>
      <c r="E2966" s="1">
        <f>IFERROR(__xludf.DUMMYFUNCTION("""COMPUTED_VALUE"""),920.16)</f>
        <v>920.16</v>
      </c>
      <c r="F2966" s="1">
        <f>IFERROR(__xludf.DUMMYFUNCTION("""COMPUTED_VALUE"""),6.0779688E7)</f>
        <v>60779688</v>
      </c>
    </row>
    <row r="2967">
      <c r="A2967" s="2">
        <f>IFERROR(__xludf.DUMMYFUNCTION("""COMPUTED_VALUE"""),35668.666666666664)</f>
        <v>35668.66667</v>
      </c>
      <c r="B2967" s="1">
        <f>IFERROR(__xludf.DUMMYFUNCTION("""COMPUTED_VALUE"""),920.16)</f>
        <v>920.16</v>
      </c>
      <c r="C2967" s="1">
        <f>IFERROR(__xludf.DUMMYFUNCTION("""COMPUTED_VALUE"""),922.47)</f>
        <v>922.47</v>
      </c>
      <c r="D2967" s="1">
        <f>IFERROR(__xludf.DUMMYFUNCTION("""COMPUTED_VALUE"""),911.72)</f>
        <v>911.72</v>
      </c>
      <c r="E2967" s="1">
        <f>IFERROR(__xludf.DUMMYFUNCTION("""COMPUTED_VALUE"""),913.02)</f>
        <v>913.02</v>
      </c>
      <c r="F2967" s="1">
        <f>IFERROR(__xludf.DUMMYFUNCTION("""COMPUTED_VALUE"""),7.017344E7)</f>
        <v>70173440</v>
      </c>
    </row>
    <row r="2968">
      <c r="A2968" s="2">
        <f>IFERROR(__xludf.DUMMYFUNCTION("""COMPUTED_VALUE"""),35669.666666666664)</f>
        <v>35669.66667</v>
      </c>
      <c r="B2968" s="1">
        <f>IFERROR(__xludf.DUMMYFUNCTION("""COMPUTED_VALUE"""),913.02)</f>
        <v>913.02</v>
      </c>
      <c r="C2968" s="1">
        <f>IFERROR(__xludf.DUMMYFUNCTION("""COMPUTED_VALUE"""),916.23)</f>
        <v>916.23</v>
      </c>
      <c r="D2968" s="1">
        <f>IFERROR(__xludf.DUMMYFUNCTION("""COMPUTED_VALUE"""),903.83)</f>
        <v>903.83</v>
      </c>
      <c r="E2968" s="1">
        <f>IFERROR(__xludf.DUMMYFUNCTION("""COMPUTED_VALUE"""),913.7)</f>
        <v>913.7</v>
      </c>
      <c r="F2968" s="1">
        <f>IFERROR(__xludf.DUMMYFUNCTION("""COMPUTED_VALUE"""),7.689844E7)</f>
        <v>76898440</v>
      </c>
    </row>
    <row r="2969">
      <c r="A2969" s="2">
        <f>IFERROR(__xludf.DUMMYFUNCTION("""COMPUTED_VALUE"""),35670.666666666664)</f>
        <v>35670.66667</v>
      </c>
      <c r="B2969" s="1">
        <f>IFERROR(__xludf.DUMMYFUNCTION("""COMPUTED_VALUE"""),913.7)</f>
        <v>913.7</v>
      </c>
      <c r="C2969" s="1">
        <f>IFERROR(__xludf.DUMMYFUNCTION("""COMPUTED_VALUE"""),915.9)</f>
        <v>915.9</v>
      </c>
      <c r="D2969" s="1">
        <f>IFERROR(__xludf.DUMMYFUNCTION("""COMPUTED_VALUE"""),898.65)</f>
        <v>898.65</v>
      </c>
      <c r="E2969" s="1">
        <f>IFERROR(__xludf.DUMMYFUNCTION("""COMPUTED_VALUE"""),903.67)</f>
        <v>903.67</v>
      </c>
      <c r="F2969" s="1">
        <f>IFERROR(__xludf.DUMMYFUNCTION("""COMPUTED_VALUE"""),7.5984376E7)</f>
        <v>75984376</v>
      </c>
    </row>
    <row r="2970">
      <c r="A2970" s="2">
        <f>IFERROR(__xludf.DUMMYFUNCTION("""COMPUTED_VALUE"""),35671.666666666664)</f>
        <v>35671.66667</v>
      </c>
      <c r="B2970" s="1">
        <f>IFERROR(__xludf.DUMMYFUNCTION("""COMPUTED_VALUE"""),903.67)</f>
        <v>903.67</v>
      </c>
      <c r="C2970" s="1">
        <f>IFERROR(__xludf.DUMMYFUNCTION("""COMPUTED_VALUE"""),907.28)</f>
        <v>907.28</v>
      </c>
      <c r="D2970" s="1">
        <f>IFERROR(__xludf.DUMMYFUNCTION("""COMPUTED_VALUE"""),896.82)</f>
        <v>896.82</v>
      </c>
      <c r="E2970" s="1">
        <f>IFERROR(__xludf.DUMMYFUNCTION("""COMPUTED_VALUE"""),899.47)</f>
        <v>899.47</v>
      </c>
      <c r="F2970" s="1">
        <f>IFERROR(__xludf.DUMMYFUNCTION("""COMPUTED_VALUE"""),6.4673436E7)</f>
        <v>64673436</v>
      </c>
    </row>
    <row r="2971">
      <c r="A2971" s="2">
        <f>IFERROR(__xludf.DUMMYFUNCTION("""COMPUTED_VALUE"""),35675.666666666664)</f>
        <v>35675.66667</v>
      </c>
      <c r="B2971" s="1">
        <f>IFERROR(__xludf.DUMMYFUNCTION("""COMPUTED_VALUE"""),899.47)</f>
        <v>899.47</v>
      </c>
      <c r="C2971" s="1">
        <f>IFERROR(__xludf.DUMMYFUNCTION("""COMPUTED_VALUE"""),927.58)</f>
        <v>927.58</v>
      </c>
      <c r="D2971" s="1">
        <f>IFERROR(__xludf.DUMMYFUNCTION("""COMPUTED_VALUE"""),899.47)</f>
        <v>899.47</v>
      </c>
      <c r="E2971" s="1">
        <f>IFERROR(__xludf.DUMMYFUNCTION("""COMPUTED_VALUE"""),927.58)</f>
        <v>927.58</v>
      </c>
      <c r="F2971" s="1">
        <f>IFERROR(__xludf.DUMMYFUNCTION("""COMPUTED_VALUE"""),7.6854688E7)</f>
        <v>76854688</v>
      </c>
    </row>
    <row r="2972">
      <c r="A2972" s="2">
        <f>IFERROR(__xludf.DUMMYFUNCTION("""COMPUTED_VALUE"""),35676.666666666664)</f>
        <v>35676.66667</v>
      </c>
      <c r="B2972" s="1">
        <f>IFERROR(__xludf.DUMMYFUNCTION("""COMPUTED_VALUE"""),927.58)</f>
        <v>927.58</v>
      </c>
      <c r="C2972" s="1">
        <f>IFERROR(__xludf.DUMMYFUNCTION("""COMPUTED_VALUE"""),935.9)</f>
        <v>935.9</v>
      </c>
      <c r="D2972" s="1">
        <f>IFERROR(__xludf.DUMMYFUNCTION("""COMPUTED_VALUE"""),926.87)</f>
        <v>926.87</v>
      </c>
      <c r="E2972" s="1">
        <f>IFERROR(__xludf.DUMMYFUNCTION("""COMPUTED_VALUE"""),927.85)</f>
        <v>927.85</v>
      </c>
      <c r="F2972" s="1">
        <f>IFERROR(__xludf.DUMMYFUNCTION("""COMPUTED_VALUE"""),8.5790624E7)</f>
        <v>85790624</v>
      </c>
    </row>
    <row r="2973">
      <c r="A2973" s="2">
        <f>IFERROR(__xludf.DUMMYFUNCTION("""COMPUTED_VALUE"""),35677.666666666664)</f>
        <v>35677.66667</v>
      </c>
      <c r="B2973" s="1">
        <f>IFERROR(__xludf.DUMMYFUNCTION("""COMPUTED_VALUE"""),927.86)</f>
        <v>927.86</v>
      </c>
      <c r="C2973" s="1">
        <f>IFERROR(__xludf.DUMMYFUNCTION("""COMPUTED_VALUE"""),933.36)</f>
        <v>933.36</v>
      </c>
      <c r="D2973" s="1">
        <f>IFERROR(__xludf.DUMMYFUNCTION("""COMPUTED_VALUE"""),925.59)</f>
        <v>925.59</v>
      </c>
      <c r="E2973" s="1">
        <f>IFERROR(__xludf.DUMMYFUNCTION("""COMPUTED_VALUE"""),930.87)</f>
        <v>930.87</v>
      </c>
      <c r="F2973" s="1">
        <f>IFERROR(__xludf.DUMMYFUNCTION("""COMPUTED_VALUE"""),8.7392184E7)</f>
        <v>87392184</v>
      </c>
    </row>
    <row r="2974">
      <c r="A2974" s="2">
        <f>IFERROR(__xludf.DUMMYFUNCTION("""COMPUTED_VALUE"""),35678.666666666664)</f>
        <v>35678.66667</v>
      </c>
      <c r="B2974" s="1">
        <f>IFERROR(__xludf.DUMMYFUNCTION("""COMPUTED_VALUE"""),930.87)</f>
        <v>930.87</v>
      </c>
      <c r="C2974" s="1">
        <f>IFERROR(__xludf.DUMMYFUNCTION("""COMPUTED_VALUE"""),940.37)</f>
        <v>940.37</v>
      </c>
      <c r="D2974" s="1">
        <f>IFERROR(__xludf.DUMMYFUNCTION("""COMPUTED_VALUE"""),924.05)</f>
        <v>924.05</v>
      </c>
      <c r="E2974" s="1">
        <f>IFERROR(__xludf.DUMMYFUNCTION("""COMPUTED_VALUE"""),929.05)</f>
        <v>929.05</v>
      </c>
      <c r="F2974" s="1">
        <f>IFERROR(__xludf.DUMMYFUNCTION("""COMPUTED_VALUE"""),8.3812496E7)</f>
        <v>83812496</v>
      </c>
    </row>
    <row r="2975">
      <c r="A2975" s="2">
        <f>IFERROR(__xludf.DUMMYFUNCTION("""COMPUTED_VALUE"""),35681.666666666664)</f>
        <v>35681.66667</v>
      </c>
      <c r="B2975" s="1">
        <f>IFERROR(__xludf.DUMMYFUNCTION("""COMPUTED_VALUE"""),929.05)</f>
        <v>929.05</v>
      </c>
      <c r="C2975" s="1">
        <f>IFERROR(__xludf.DUMMYFUNCTION("""COMPUTED_VALUE"""),936.5)</f>
        <v>936.5</v>
      </c>
      <c r="D2975" s="1">
        <f>IFERROR(__xludf.DUMMYFUNCTION("""COMPUTED_VALUE"""),929.05)</f>
        <v>929.05</v>
      </c>
      <c r="E2975" s="1">
        <f>IFERROR(__xludf.DUMMYFUNCTION("""COMPUTED_VALUE"""),931.2)</f>
        <v>931.2</v>
      </c>
      <c r="F2975" s="1">
        <f>IFERROR(__xludf.DUMMYFUNCTION("""COMPUTED_VALUE"""),7.2879688E7)</f>
        <v>72879688</v>
      </c>
    </row>
    <row r="2976">
      <c r="A2976" s="2">
        <f>IFERROR(__xludf.DUMMYFUNCTION("""COMPUTED_VALUE"""),35682.666666666664)</f>
        <v>35682.66667</v>
      </c>
      <c r="B2976" s="1">
        <f>IFERROR(__xludf.DUMMYFUNCTION("""COMPUTED_VALUE"""),931.2)</f>
        <v>931.2</v>
      </c>
      <c r="C2976" s="1">
        <f>IFERROR(__xludf.DUMMYFUNCTION("""COMPUTED_VALUE"""),938.9)</f>
        <v>938.9</v>
      </c>
      <c r="D2976" s="1">
        <f>IFERROR(__xludf.DUMMYFUNCTION("""COMPUTED_VALUE"""),927.28)</f>
        <v>927.28</v>
      </c>
      <c r="E2976" s="1">
        <f>IFERROR(__xludf.DUMMYFUNCTION("""COMPUTED_VALUE"""),933.62)</f>
        <v>933.62</v>
      </c>
      <c r="F2976" s="1">
        <f>IFERROR(__xludf.DUMMYFUNCTION("""COMPUTED_VALUE"""),7.8468752E7)</f>
        <v>78468752</v>
      </c>
    </row>
    <row r="2977">
      <c r="A2977" s="2">
        <f>IFERROR(__xludf.DUMMYFUNCTION("""COMPUTED_VALUE"""),35683.666666666664)</f>
        <v>35683.66667</v>
      </c>
      <c r="B2977" s="1">
        <f>IFERROR(__xludf.DUMMYFUNCTION("""COMPUTED_VALUE"""),933.62)</f>
        <v>933.62</v>
      </c>
      <c r="C2977" s="1">
        <f>IFERROR(__xludf.DUMMYFUNCTION("""COMPUTED_VALUE"""),933.62)</f>
        <v>933.62</v>
      </c>
      <c r="D2977" s="1">
        <f>IFERROR(__xludf.DUMMYFUNCTION("""COMPUTED_VALUE"""),918.76)</f>
        <v>918.76</v>
      </c>
      <c r="E2977" s="1">
        <f>IFERROR(__xludf.DUMMYFUNCTION("""COMPUTED_VALUE"""),919.03)</f>
        <v>919.03</v>
      </c>
      <c r="F2977" s="1">
        <f>IFERROR(__xludf.DUMMYFUNCTION("""COMPUTED_VALUE"""),8.0878128E7)</f>
        <v>80878128</v>
      </c>
    </row>
    <row r="2978">
      <c r="A2978" s="2">
        <f>IFERROR(__xludf.DUMMYFUNCTION("""COMPUTED_VALUE"""),35684.666666666664)</f>
        <v>35684.66667</v>
      </c>
      <c r="B2978" s="1">
        <f>IFERROR(__xludf.DUMMYFUNCTION("""COMPUTED_VALUE"""),919.03)</f>
        <v>919.03</v>
      </c>
      <c r="C2978" s="1">
        <f>IFERROR(__xludf.DUMMYFUNCTION("""COMPUTED_VALUE"""),919.03)</f>
        <v>919.03</v>
      </c>
      <c r="D2978" s="1">
        <f>IFERROR(__xludf.DUMMYFUNCTION("""COMPUTED_VALUE"""),902.56)</f>
        <v>902.56</v>
      </c>
      <c r="E2978" s="1">
        <f>IFERROR(__xludf.DUMMYFUNCTION("""COMPUTED_VALUE"""),912.59)</f>
        <v>912.59</v>
      </c>
      <c r="F2978" s="1">
        <f>IFERROR(__xludf.DUMMYFUNCTION("""COMPUTED_VALUE"""),8.9846872E7)</f>
        <v>89846872</v>
      </c>
    </row>
    <row r="2979">
      <c r="A2979" s="2">
        <f>IFERROR(__xludf.DUMMYFUNCTION("""COMPUTED_VALUE"""),35685.666666666664)</f>
        <v>35685.66667</v>
      </c>
      <c r="B2979" s="1">
        <f>IFERROR(__xludf.DUMMYFUNCTION("""COMPUTED_VALUE"""),912.59)</f>
        <v>912.59</v>
      </c>
      <c r="C2979" s="1">
        <f>IFERROR(__xludf.DUMMYFUNCTION("""COMPUTED_VALUE"""),925.05)</f>
        <v>925.05</v>
      </c>
      <c r="D2979" s="1">
        <f>IFERROR(__xludf.DUMMYFUNCTION("""COMPUTED_VALUE"""),906.7)</f>
        <v>906.7</v>
      </c>
      <c r="E2979" s="1">
        <f>IFERROR(__xludf.DUMMYFUNCTION("""COMPUTED_VALUE"""),923.91)</f>
        <v>923.91</v>
      </c>
      <c r="F2979" s="1">
        <f>IFERROR(__xludf.DUMMYFUNCTION("""COMPUTED_VALUE"""),8.502344E7)</f>
        <v>85023440</v>
      </c>
    </row>
    <row r="2980">
      <c r="A2980" s="2">
        <f>IFERROR(__xludf.DUMMYFUNCTION("""COMPUTED_VALUE"""),35688.666666666664)</f>
        <v>35688.66667</v>
      </c>
      <c r="B2980" s="1">
        <f>IFERROR(__xludf.DUMMYFUNCTION("""COMPUTED_VALUE"""),923.91)</f>
        <v>923.91</v>
      </c>
      <c r="C2980" s="1">
        <f>IFERROR(__xludf.DUMMYFUNCTION("""COMPUTED_VALUE"""),928.9)</f>
        <v>928.9</v>
      </c>
      <c r="D2980" s="1">
        <f>IFERROR(__xludf.DUMMYFUNCTION("""COMPUTED_VALUE"""),919.41)</f>
        <v>919.41</v>
      </c>
      <c r="E2980" s="1">
        <f>IFERROR(__xludf.DUMMYFUNCTION("""COMPUTED_VALUE"""),919.77)</f>
        <v>919.77</v>
      </c>
      <c r="F2980" s="1">
        <f>IFERROR(__xludf.DUMMYFUNCTION("""COMPUTED_VALUE"""),7.3129688E7)</f>
        <v>73129688</v>
      </c>
    </row>
    <row r="2981">
      <c r="A2981" s="2">
        <f>IFERROR(__xludf.DUMMYFUNCTION("""COMPUTED_VALUE"""),35689.666666666664)</f>
        <v>35689.66667</v>
      </c>
      <c r="B2981" s="1">
        <f>IFERROR(__xludf.DUMMYFUNCTION("""COMPUTED_VALUE"""),919.77)</f>
        <v>919.77</v>
      </c>
      <c r="C2981" s="1">
        <f>IFERROR(__xludf.DUMMYFUNCTION("""COMPUTED_VALUE"""),947.66)</f>
        <v>947.66</v>
      </c>
      <c r="D2981" s="1">
        <f>IFERROR(__xludf.DUMMYFUNCTION("""COMPUTED_VALUE"""),919.77)</f>
        <v>919.77</v>
      </c>
      <c r="E2981" s="1">
        <f>IFERROR(__xludf.DUMMYFUNCTION("""COMPUTED_VALUE"""),945.64)</f>
        <v>945.64</v>
      </c>
      <c r="F2981" s="1">
        <f>IFERROR(__xludf.DUMMYFUNCTION("""COMPUTED_VALUE"""),9.9434376E7)</f>
        <v>99434376</v>
      </c>
    </row>
    <row r="2982">
      <c r="A2982" s="2">
        <f>IFERROR(__xludf.DUMMYFUNCTION("""COMPUTED_VALUE"""),35690.666666666664)</f>
        <v>35690.66667</v>
      </c>
      <c r="B2982" s="1">
        <f>IFERROR(__xludf.DUMMYFUNCTION("""COMPUTED_VALUE"""),945.64)</f>
        <v>945.64</v>
      </c>
      <c r="C2982" s="1">
        <f>IFERROR(__xludf.DUMMYFUNCTION("""COMPUTED_VALUE"""),950.29)</f>
        <v>950.29</v>
      </c>
      <c r="D2982" s="1">
        <f>IFERROR(__xludf.DUMMYFUNCTION("""COMPUTED_VALUE"""),941.99)</f>
        <v>941.99</v>
      </c>
      <c r="E2982" s="1">
        <f>IFERROR(__xludf.DUMMYFUNCTION("""COMPUTED_VALUE"""),943.0)</f>
        <v>943</v>
      </c>
      <c r="F2982" s="1">
        <f>IFERROR(__xludf.DUMMYFUNCTION("""COMPUTED_VALUE"""),9.227344E7)</f>
        <v>92273440</v>
      </c>
    </row>
    <row r="2983">
      <c r="A2983" s="2">
        <f>IFERROR(__xludf.DUMMYFUNCTION("""COMPUTED_VALUE"""),35691.666666666664)</f>
        <v>35691.66667</v>
      </c>
      <c r="B2983" s="1">
        <f>IFERROR(__xludf.DUMMYFUNCTION("""COMPUTED_VALUE"""),943.0)</f>
        <v>943</v>
      </c>
      <c r="C2983" s="1">
        <f>IFERROR(__xludf.DUMMYFUNCTION("""COMPUTED_VALUE"""),958.19)</f>
        <v>958.19</v>
      </c>
      <c r="D2983" s="1">
        <f>IFERROR(__xludf.DUMMYFUNCTION("""COMPUTED_VALUE"""),943.0)</f>
        <v>943</v>
      </c>
      <c r="E2983" s="1">
        <f>IFERROR(__xludf.DUMMYFUNCTION("""COMPUTED_VALUE"""),947.29)</f>
        <v>947.29</v>
      </c>
      <c r="F2983" s="1">
        <f>IFERROR(__xludf.DUMMYFUNCTION("""COMPUTED_VALUE"""),8.8567184E7)</f>
        <v>88567184</v>
      </c>
    </row>
    <row r="2984">
      <c r="A2984" s="2">
        <f>IFERROR(__xludf.DUMMYFUNCTION("""COMPUTED_VALUE"""),35692.666666666664)</f>
        <v>35692.66667</v>
      </c>
      <c r="B2984" s="1">
        <f>IFERROR(__xludf.DUMMYFUNCTION("""COMPUTED_VALUE"""),947.29)</f>
        <v>947.29</v>
      </c>
      <c r="C2984" s="1">
        <f>IFERROR(__xludf.DUMMYFUNCTION("""COMPUTED_VALUE"""),952.35)</f>
        <v>952.35</v>
      </c>
      <c r="D2984" s="1">
        <f>IFERROR(__xludf.DUMMYFUNCTION("""COMPUTED_VALUE"""),943.9)</f>
        <v>943.9</v>
      </c>
      <c r="E2984" s="1">
        <f>IFERROR(__xludf.DUMMYFUNCTION("""COMPUTED_VALUE"""),950.51)</f>
        <v>950.51</v>
      </c>
      <c r="F2984" s="1">
        <f>IFERROR(__xludf.DUMMYFUNCTION("""COMPUTED_VALUE"""),9.86E7)</f>
        <v>98600000</v>
      </c>
    </row>
    <row r="2985">
      <c r="A2985" s="2">
        <f>IFERROR(__xludf.DUMMYFUNCTION("""COMPUTED_VALUE"""),35695.666666666664)</f>
        <v>35695.66667</v>
      </c>
      <c r="B2985" s="1">
        <f>IFERROR(__xludf.DUMMYFUNCTION("""COMPUTED_VALUE"""),950.51)</f>
        <v>950.51</v>
      </c>
      <c r="C2985" s="1">
        <f>IFERROR(__xludf.DUMMYFUNCTION("""COMPUTED_VALUE"""),960.59)</f>
        <v>960.59</v>
      </c>
      <c r="D2985" s="1">
        <f>IFERROR(__xludf.DUMMYFUNCTION("""COMPUTED_VALUE"""),950.51)</f>
        <v>950.51</v>
      </c>
      <c r="E2985" s="1">
        <f>IFERROR(__xludf.DUMMYFUNCTION("""COMPUTED_VALUE"""),955.43)</f>
        <v>955.43</v>
      </c>
      <c r="F2985" s="1">
        <f>IFERROR(__xludf.DUMMYFUNCTION("""COMPUTED_VALUE"""),7.6703128E7)</f>
        <v>76703128</v>
      </c>
    </row>
    <row r="2986">
      <c r="A2986" s="2">
        <f>IFERROR(__xludf.DUMMYFUNCTION("""COMPUTED_VALUE"""),35696.666666666664)</f>
        <v>35696.66667</v>
      </c>
      <c r="B2986" s="1">
        <f>IFERROR(__xludf.DUMMYFUNCTION("""COMPUTED_VALUE"""),955.43)</f>
        <v>955.43</v>
      </c>
      <c r="C2986" s="1">
        <f>IFERROR(__xludf.DUMMYFUNCTION("""COMPUTED_VALUE"""),955.78)</f>
        <v>955.78</v>
      </c>
      <c r="D2986" s="1">
        <f>IFERROR(__xludf.DUMMYFUNCTION("""COMPUTED_VALUE"""),948.07)</f>
        <v>948.07</v>
      </c>
      <c r="E2986" s="1">
        <f>IFERROR(__xludf.DUMMYFUNCTION("""COMPUTED_VALUE"""),951.93)</f>
        <v>951.93</v>
      </c>
      <c r="F2986" s="1">
        <f>IFERROR(__xludf.DUMMYFUNCTION("""COMPUTED_VALUE"""),8.1707816E7)</f>
        <v>81707816</v>
      </c>
    </row>
    <row r="2987">
      <c r="A2987" s="2">
        <f>IFERROR(__xludf.DUMMYFUNCTION("""COMPUTED_VALUE"""),35697.666666666664)</f>
        <v>35697.66667</v>
      </c>
      <c r="B2987" s="1">
        <f>IFERROR(__xludf.DUMMYFUNCTION("""COMPUTED_VALUE"""),951.93)</f>
        <v>951.93</v>
      </c>
      <c r="C2987" s="1">
        <f>IFERROR(__xludf.DUMMYFUNCTION("""COMPUTED_VALUE"""),959.78)</f>
        <v>959.78</v>
      </c>
      <c r="D2987" s="1">
        <f>IFERROR(__xludf.DUMMYFUNCTION("""COMPUTED_VALUE"""),944.07)</f>
        <v>944.07</v>
      </c>
      <c r="E2987" s="1">
        <f>IFERROR(__xludf.DUMMYFUNCTION("""COMPUTED_VALUE"""),944.48)</f>
        <v>944.48</v>
      </c>
      <c r="F2987" s="1">
        <f>IFERROR(__xludf.DUMMYFUNCTION("""COMPUTED_VALUE"""),9.9915624E7)</f>
        <v>99915624</v>
      </c>
    </row>
    <row r="2988">
      <c r="A2988" s="2">
        <f>IFERROR(__xludf.DUMMYFUNCTION("""COMPUTED_VALUE"""),35698.666666666664)</f>
        <v>35698.66667</v>
      </c>
      <c r="B2988" s="1">
        <f>IFERROR(__xludf.DUMMYFUNCTION("""COMPUTED_VALUE"""),944.48)</f>
        <v>944.48</v>
      </c>
      <c r="C2988" s="1">
        <f>IFERROR(__xludf.DUMMYFUNCTION("""COMPUTED_VALUE"""),947.0)</f>
        <v>947</v>
      </c>
      <c r="D2988" s="1">
        <f>IFERROR(__xludf.DUMMYFUNCTION("""COMPUTED_VALUE"""),937.38)</f>
        <v>937.38</v>
      </c>
      <c r="E2988" s="1">
        <f>IFERROR(__xludf.DUMMYFUNCTION("""COMPUTED_VALUE"""),937.91)</f>
        <v>937.91</v>
      </c>
      <c r="F2988" s="1">
        <f>IFERROR(__xludf.DUMMYFUNCTION("""COMPUTED_VALUE"""),8.2012496E7)</f>
        <v>82012496</v>
      </c>
    </row>
    <row r="2989">
      <c r="A2989" s="2">
        <f>IFERROR(__xludf.DUMMYFUNCTION("""COMPUTED_VALUE"""),35699.666666666664)</f>
        <v>35699.66667</v>
      </c>
      <c r="B2989" s="1">
        <f>IFERROR(__xludf.DUMMYFUNCTION("""COMPUTED_VALUE"""),937.91)</f>
        <v>937.91</v>
      </c>
      <c r="C2989" s="1">
        <f>IFERROR(__xludf.DUMMYFUNCTION("""COMPUTED_VALUE"""),946.44)</f>
        <v>946.44</v>
      </c>
      <c r="D2989" s="1">
        <f>IFERROR(__xludf.DUMMYFUNCTION("""COMPUTED_VALUE"""),937.91)</f>
        <v>937.91</v>
      </c>
      <c r="E2989" s="1">
        <f>IFERROR(__xludf.DUMMYFUNCTION("""COMPUTED_VALUE"""),945.22)</f>
        <v>945.22</v>
      </c>
      <c r="F2989" s="1">
        <f>IFERROR(__xludf.DUMMYFUNCTION("""COMPUTED_VALUE"""),7.8959376E7)</f>
        <v>78959376</v>
      </c>
    </row>
    <row r="2990">
      <c r="A2990" s="2">
        <f>IFERROR(__xludf.DUMMYFUNCTION("""COMPUTED_VALUE"""),35702.666666666664)</f>
        <v>35702.66667</v>
      </c>
      <c r="B2990" s="1">
        <f>IFERROR(__xludf.DUMMYFUNCTION("""COMPUTED_VALUE"""),945.22)</f>
        <v>945.22</v>
      </c>
      <c r="C2990" s="1">
        <f>IFERROR(__xludf.DUMMYFUNCTION("""COMPUTED_VALUE"""),953.96)</f>
        <v>953.96</v>
      </c>
      <c r="D2990" s="1">
        <f>IFERROR(__xludf.DUMMYFUNCTION("""COMPUTED_VALUE"""),941.94)</f>
        <v>941.94</v>
      </c>
      <c r="E2990" s="1">
        <f>IFERROR(__xludf.DUMMYFUNCTION("""COMPUTED_VALUE"""),953.34)</f>
        <v>953.34</v>
      </c>
      <c r="F2990" s="1">
        <f>IFERROR(__xludf.DUMMYFUNCTION("""COMPUTED_VALUE"""),7.4546872E7)</f>
        <v>74546872</v>
      </c>
    </row>
    <row r="2991">
      <c r="A2991" s="2">
        <f>IFERROR(__xludf.DUMMYFUNCTION("""COMPUTED_VALUE"""),35703.666666666664)</f>
        <v>35703.66667</v>
      </c>
      <c r="B2991" s="1">
        <f>IFERROR(__xludf.DUMMYFUNCTION("""COMPUTED_VALUE"""),953.34)</f>
        <v>953.34</v>
      </c>
      <c r="C2991" s="1">
        <f>IFERROR(__xludf.DUMMYFUNCTION("""COMPUTED_VALUE"""),955.17)</f>
        <v>955.17</v>
      </c>
      <c r="D2991" s="1">
        <f>IFERROR(__xludf.DUMMYFUNCTION("""COMPUTED_VALUE"""),947.28)</f>
        <v>947.28</v>
      </c>
      <c r="E2991" s="1">
        <f>IFERROR(__xludf.DUMMYFUNCTION("""COMPUTED_VALUE"""),947.28)</f>
        <v>947.28</v>
      </c>
      <c r="F2991" s="1">
        <f>IFERROR(__xludf.DUMMYFUNCTION("""COMPUTED_VALUE"""),9.1796872E7)</f>
        <v>91796872</v>
      </c>
    </row>
    <row r="2992">
      <c r="A2992" s="2">
        <f>IFERROR(__xludf.DUMMYFUNCTION("""COMPUTED_VALUE"""),35704.666666666664)</f>
        <v>35704.66667</v>
      </c>
      <c r="B2992" s="1">
        <f>IFERROR(__xludf.DUMMYFUNCTION("""COMPUTED_VALUE"""),950.92)</f>
        <v>950.92</v>
      </c>
      <c r="C2992" s="1">
        <f>IFERROR(__xludf.DUMMYFUNCTION("""COMPUTED_VALUE"""),956.71)</f>
        <v>956.71</v>
      </c>
      <c r="D2992" s="1">
        <f>IFERROR(__xludf.DUMMYFUNCTION("""COMPUTED_VALUE"""),948.04)</f>
        <v>948.04</v>
      </c>
      <c r="E2992" s="1">
        <f>IFERROR(__xludf.DUMMYFUNCTION("""COMPUTED_VALUE"""),955.41)</f>
        <v>955.41</v>
      </c>
      <c r="F2992" s="1">
        <f>IFERROR(__xludf.DUMMYFUNCTION("""COMPUTED_VALUE"""),9.3540624E7)</f>
        <v>93540624</v>
      </c>
    </row>
    <row r="2993">
      <c r="A2993" s="2">
        <f>IFERROR(__xludf.DUMMYFUNCTION("""COMPUTED_VALUE"""),35705.666666666664)</f>
        <v>35705.66667</v>
      </c>
      <c r="B2993" s="1">
        <f>IFERROR(__xludf.DUMMYFUNCTION("""COMPUTED_VALUE"""),955.41)</f>
        <v>955.41</v>
      </c>
      <c r="C2993" s="1">
        <f>IFERROR(__xludf.DUMMYFUNCTION("""COMPUTED_VALUE"""),960.46)</f>
        <v>960.46</v>
      </c>
      <c r="D2993" s="1">
        <f>IFERROR(__xludf.DUMMYFUNCTION("""COMPUTED_VALUE"""),952.94)</f>
        <v>952.94</v>
      </c>
      <c r="E2993" s="1">
        <f>IFERROR(__xludf.DUMMYFUNCTION("""COMPUTED_VALUE"""),960.46)</f>
        <v>960.46</v>
      </c>
      <c r="F2993" s="1">
        <f>IFERROR(__xludf.DUMMYFUNCTION("""COMPUTED_VALUE"""),7.4181248E7)</f>
        <v>74181248</v>
      </c>
    </row>
    <row r="2994">
      <c r="A2994" s="2">
        <f>IFERROR(__xludf.DUMMYFUNCTION("""COMPUTED_VALUE"""),35706.666666666664)</f>
        <v>35706.66667</v>
      </c>
      <c r="B2994" s="1">
        <f>IFERROR(__xludf.DUMMYFUNCTION("""COMPUTED_VALUE"""),960.46)</f>
        <v>960.46</v>
      </c>
      <c r="C2994" s="1">
        <f>IFERROR(__xludf.DUMMYFUNCTION("""COMPUTED_VALUE"""),975.47)</f>
        <v>975.47</v>
      </c>
      <c r="D2994" s="1">
        <f>IFERROR(__xludf.DUMMYFUNCTION("""COMPUTED_VALUE"""),955.13)</f>
        <v>955.13</v>
      </c>
      <c r="E2994" s="1">
        <f>IFERROR(__xludf.DUMMYFUNCTION("""COMPUTED_VALUE"""),965.03)</f>
        <v>965.03</v>
      </c>
      <c r="F2994" s="1">
        <f>IFERROR(__xludf.DUMMYFUNCTION("""COMPUTED_VALUE"""),9.740156E7)</f>
        <v>97401560</v>
      </c>
    </row>
    <row r="2995">
      <c r="A2995" s="2">
        <f>IFERROR(__xludf.DUMMYFUNCTION("""COMPUTED_VALUE"""),35709.666666666664)</f>
        <v>35709.66667</v>
      </c>
      <c r="B2995" s="1">
        <f>IFERROR(__xludf.DUMMYFUNCTION("""COMPUTED_VALUE"""),965.03)</f>
        <v>965.03</v>
      </c>
      <c r="C2995" s="1">
        <f>IFERROR(__xludf.DUMMYFUNCTION("""COMPUTED_VALUE"""),974.16)</f>
        <v>974.16</v>
      </c>
      <c r="D2995" s="1">
        <f>IFERROR(__xludf.DUMMYFUNCTION("""COMPUTED_VALUE"""),965.03)</f>
        <v>965.03</v>
      </c>
      <c r="E2995" s="1">
        <f>IFERROR(__xludf.DUMMYFUNCTION("""COMPUTED_VALUE"""),972.69)</f>
        <v>972.69</v>
      </c>
      <c r="F2995" s="1">
        <f>IFERROR(__xludf.DUMMYFUNCTION("""COMPUTED_VALUE"""),7.7440624E7)</f>
        <v>77440624</v>
      </c>
    </row>
    <row r="2996">
      <c r="A2996" s="2">
        <f>IFERROR(__xludf.DUMMYFUNCTION("""COMPUTED_VALUE"""),35710.666666666664)</f>
        <v>35710.66667</v>
      </c>
      <c r="B2996" s="1">
        <f>IFERROR(__xludf.DUMMYFUNCTION("""COMPUTED_VALUE"""),972.69)</f>
        <v>972.69</v>
      </c>
      <c r="C2996" s="1">
        <f>IFERROR(__xludf.DUMMYFUNCTION("""COMPUTED_VALUE"""),983.12)</f>
        <v>983.12</v>
      </c>
      <c r="D2996" s="1">
        <f>IFERROR(__xludf.DUMMYFUNCTION("""COMPUTED_VALUE"""),971.95)</f>
        <v>971.95</v>
      </c>
      <c r="E2996" s="1">
        <f>IFERROR(__xludf.DUMMYFUNCTION("""COMPUTED_VALUE"""),983.12)</f>
        <v>983.12</v>
      </c>
      <c r="F2996" s="1">
        <f>IFERROR(__xludf.DUMMYFUNCTION("""COMPUTED_VALUE"""),8.6245312E7)</f>
        <v>86245312</v>
      </c>
    </row>
    <row r="2997">
      <c r="A2997" s="2">
        <f>IFERROR(__xludf.DUMMYFUNCTION("""COMPUTED_VALUE"""),35711.666666666664)</f>
        <v>35711.66667</v>
      </c>
      <c r="B2997" s="1">
        <f>IFERROR(__xludf.DUMMYFUNCTION("""COMPUTED_VALUE"""),983.12)</f>
        <v>983.12</v>
      </c>
      <c r="C2997" s="1">
        <f>IFERROR(__xludf.DUMMYFUNCTION("""COMPUTED_VALUE"""),983.12)</f>
        <v>983.12</v>
      </c>
      <c r="D2997" s="1">
        <f>IFERROR(__xludf.DUMMYFUNCTION("""COMPUTED_VALUE"""),968.65)</f>
        <v>968.65</v>
      </c>
      <c r="E2997" s="1">
        <f>IFERROR(__xludf.DUMMYFUNCTION("""COMPUTED_VALUE"""),973.84)</f>
        <v>973.84</v>
      </c>
      <c r="F2997" s="1">
        <f>IFERROR(__xludf.DUMMYFUNCTION("""COMPUTED_VALUE"""),8.954844E7)</f>
        <v>89548440</v>
      </c>
    </row>
    <row r="2998">
      <c r="A2998" s="2">
        <f>IFERROR(__xludf.DUMMYFUNCTION("""COMPUTED_VALUE"""),35712.666666666664)</f>
        <v>35712.66667</v>
      </c>
      <c r="B2998" s="1">
        <f>IFERROR(__xludf.DUMMYFUNCTION("""COMPUTED_VALUE"""),973.84)</f>
        <v>973.84</v>
      </c>
      <c r="C2998" s="1">
        <f>IFERROR(__xludf.DUMMYFUNCTION("""COMPUTED_VALUE"""),974.72)</f>
        <v>974.72</v>
      </c>
      <c r="D2998" s="1">
        <f>IFERROR(__xludf.DUMMYFUNCTION("""COMPUTED_VALUE"""),963.34)</f>
        <v>963.34</v>
      </c>
      <c r="E2998" s="1">
        <f>IFERROR(__xludf.DUMMYFUNCTION("""COMPUTED_VALUE"""),970.62)</f>
        <v>970.62</v>
      </c>
      <c r="F2998" s="1">
        <f>IFERROR(__xludf.DUMMYFUNCTION("""COMPUTED_VALUE"""),8.6225E7)</f>
        <v>86225000</v>
      </c>
    </row>
    <row r="2999">
      <c r="A2999" s="2">
        <f>IFERROR(__xludf.DUMMYFUNCTION("""COMPUTED_VALUE"""),35713.666666666664)</f>
        <v>35713.66667</v>
      </c>
      <c r="B2999" s="1">
        <f>IFERROR(__xludf.DUMMYFUNCTION("""COMPUTED_VALUE"""),970.62)</f>
        <v>970.62</v>
      </c>
      <c r="C2999" s="1">
        <f>IFERROR(__xludf.DUMMYFUNCTION("""COMPUTED_VALUE"""),970.62)</f>
        <v>970.62</v>
      </c>
      <c r="D2999" s="1">
        <f>IFERROR(__xludf.DUMMYFUNCTION("""COMPUTED_VALUE"""),963.42)</f>
        <v>963.42</v>
      </c>
      <c r="E2999" s="1">
        <f>IFERROR(__xludf.DUMMYFUNCTION("""COMPUTED_VALUE"""),966.98)</f>
        <v>966.98</v>
      </c>
      <c r="F2999" s="1">
        <f>IFERROR(__xludf.DUMMYFUNCTION("""COMPUTED_VALUE"""),7.8231248E7)</f>
        <v>78231248</v>
      </c>
    </row>
    <row r="3000">
      <c r="A3000" s="2">
        <f>IFERROR(__xludf.DUMMYFUNCTION("""COMPUTED_VALUE"""),35716.666666666664)</f>
        <v>35716.66667</v>
      </c>
      <c r="B3000" s="1">
        <f>IFERROR(__xludf.DUMMYFUNCTION("""COMPUTED_VALUE"""),966.98)</f>
        <v>966.98</v>
      </c>
      <c r="C3000" s="1">
        <f>IFERROR(__xludf.DUMMYFUNCTION("""COMPUTED_VALUE"""),973.46)</f>
        <v>973.46</v>
      </c>
      <c r="D3000" s="1">
        <f>IFERROR(__xludf.DUMMYFUNCTION("""COMPUTED_VALUE"""),966.95)</f>
        <v>966.95</v>
      </c>
      <c r="E3000" s="1">
        <f>IFERROR(__xludf.DUMMYFUNCTION("""COMPUTED_VALUE"""),968.1)</f>
        <v>968.1</v>
      </c>
      <c r="F3000" s="1">
        <f>IFERROR(__xludf.DUMMYFUNCTION("""COMPUTED_VALUE"""),5.54375E7)</f>
        <v>55437500</v>
      </c>
    </row>
    <row r="3001">
      <c r="A3001" s="2">
        <f>IFERROR(__xludf.DUMMYFUNCTION("""COMPUTED_VALUE"""),35717.666666666664)</f>
        <v>35717.66667</v>
      </c>
      <c r="B3001" s="1">
        <f>IFERROR(__xludf.DUMMYFUNCTION("""COMPUTED_VALUE"""),968.1)</f>
        <v>968.1</v>
      </c>
      <c r="C3001" s="1">
        <f>IFERROR(__xludf.DUMMYFUNCTION("""COMPUTED_VALUE"""),972.86)</f>
        <v>972.86</v>
      </c>
      <c r="D3001" s="1">
        <f>IFERROR(__xludf.DUMMYFUNCTION("""COMPUTED_VALUE"""),961.87)</f>
        <v>961.87</v>
      </c>
      <c r="E3001" s="1">
        <f>IFERROR(__xludf.DUMMYFUNCTION("""COMPUTED_VALUE"""),970.28)</f>
        <v>970.28</v>
      </c>
      <c r="F3001" s="1">
        <f>IFERROR(__xludf.DUMMYFUNCTION("""COMPUTED_VALUE"""),7.9739064E7)</f>
        <v>79739064</v>
      </c>
    </row>
    <row r="3002">
      <c r="A3002" s="2">
        <f>IFERROR(__xludf.DUMMYFUNCTION("""COMPUTED_VALUE"""),35718.666666666664)</f>
        <v>35718.66667</v>
      </c>
      <c r="B3002" s="1">
        <f>IFERROR(__xludf.DUMMYFUNCTION("""COMPUTED_VALUE"""),966.92)</f>
        <v>966.92</v>
      </c>
      <c r="C3002" s="1">
        <f>IFERROR(__xludf.DUMMYFUNCTION("""COMPUTED_VALUE"""),969.16)</f>
        <v>969.16</v>
      </c>
      <c r="D3002" s="1">
        <f>IFERROR(__xludf.DUMMYFUNCTION("""COMPUTED_VALUE"""),962.75)</f>
        <v>962.75</v>
      </c>
      <c r="E3002" s="1">
        <f>IFERROR(__xludf.DUMMYFUNCTION("""COMPUTED_VALUE"""),965.73)</f>
        <v>965.73</v>
      </c>
      <c r="F3002" s="1">
        <f>IFERROR(__xludf.DUMMYFUNCTION("""COMPUTED_VALUE"""),7.8954688E7)</f>
        <v>78954688</v>
      </c>
    </row>
    <row r="3003">
      <c r="A3003" s="2">
        <f>IFERROR(__xludf.DUMMYFUNCTION("""COMPUTED_VALUE"""),35719.666666666664)</f>
        <v>35719.66667</v>
      </c>
      <c r="B3003" s="1">
        <f>IFERROR(__xludf.DUMMYFUNCTION("""COMPUTED_VALUE"""),965.72)</f>
        <v>965.72</v>
      </c>
      <c r="C3003" s="1">
        <f>IFERROR(__xludf.DUMMYFUNCTION("""COMPUTED_VALUE"""),973.38)</f>
        <v>973.38</v>
      </c>
      <c r="D3003" s="1">
        <f>IFERROR(__xludf.DUMMYFUNCTION("""COMPUTED_VALUE"""),950.77)</f>
        <v>950.77</v>
      </c>
      <c r="E3003" s="1">
        <f>IFERROR(__xludf.DUMMYFUNCTION("""COMPUTED_VALUE"""),955.25)</f>
        <v>955.25</v>
      </c>
      <c r="F3003" s="1">
        <f>IFERROR(__xludf.DUMMYFUNCTION("""COMPUTED_VALUE"""),9.3282816E7)</f>
        <v>93282816</v>
      </c>
    </row>
    <row r="3004">
      <c r="A3004" s="2">
        <f>IFERROR(__xludf.DUMMYFUNCTION("""COMPUTED_VALUE"""),35720.666666666664)</f>
        <v>35720.66667</v>
      </c>
      <c r="B3004" s="1">
        <f>IFERROR(__xludf.DUMMYFUNCTION("""COMPUTED_VALUE"""),955.23)</f>
        <v>955.23</v>
      </c>
      <c r="C3004" s="1">
        <f>IFERROR(__xludf.DUMMYFUNCTION("""COMPUTED_VALUE"""),955.23)</f>
        <v>955.23</v>
      </c>
      <c r="D3004" s="1">
        <f>IFERROR(__xludf.DUMMYFUNCTION("""COMPUTED_VALUE"""),931.58)</f>
        <v>931.58</v>
      </c>
      <c r="E3004" s="1">
        <f>IFERROR(__xludf.DUMMYFUNCTION("""COMPUTED_VALUE"""),944.17)</f>
        <v>944.17</v>
      </c>
      <c r="F3004" s="1">
        <f>IFERROR(__xludf.DUMMYFUNCTION("""COMPUTED_VALUE"""),9.7653128E7)</f>
        <v>97653128</v>
      </c>
    </row>
    <row r="3005">
      <c r="A3005" s="2">
        <f>IFERROR(__xludf.DUMMYFUNCTION("""COMPUTED_VALUE"""),35723.666666666664)</f>
        <v>35723.66667</v>
      </c>
      <c r="B3005" s="1">
        <f>IFERROR(__xludf.DUMMYFUNCTION("""COMPUTED_VALUE"""),944.16)</f>
        <v>944.16</v>
      </c>
      <c r="C3005" s="1">
        <f>IFERROR(__xludf.DUMMYFUNCTION("""COMPUTED_VALUE"""),955.72)</f>
        <v>955.72</v>
      </c>
      <c r="D3005" s="1">
        <f>IFERROR(__xludf.DUMMYFUNCTION("""COMPUTED_VALUE"""),941.43)</f>
        <v>941.43</v>
      </c>
      <c r="E3005" s="1">
        <f>IFERROR(__xludf.DUMMYFUNCTION("""COMPUTED_VALUE"""),955.61)</f>
        <v>955.61</v>
      </c>
      <c r="F3005" s="1">
        <f>IFERROR(__xludf.DUMMYFUNCTION("""COMPUTED_VALUE"""),7.5606248E7)</f>
        <v>75606248</v>
      </c>
    </row>
    <row r="3006">
      <c r="A3006" s="2">
        <f>IFERROR(__xludf.DUMMYFUNCTION("""COMPUTED_VALUE"""),35724.666666666664)</f>
        <v>35724.66667</v>
      </c>
      <c r="B3006" s="1">
        <f>IFERROR(__xludf.DUMMYFUNCTION("""COMPUTED_VALUE"""),955.61)</f>
        <v>955.61</v>
      </c>
      <c r="C3006" s="1">
        <f>IFERROR(__xludf.DUMMYFUNCTION("""COMPUTED_VALUE"""),972.56)</f>
        <v>972.56</v>
      </c>
      <c r="D3006" s="1">
        <f>IFERROR(__xludf.DUMMYFUNCTION("""COMPUTED_VALUE"""),955.61)</f>
        <v>955.61</v>
      </c>
      <c r="E3006" s="1">
        <f>IFERROR(__xludf.DUMMYFUNCTION("""COMPUTED_VALUE"""),972.28)</f>
        <v>972.28</v>
      </c>
      <c r="F3006" s="1">
        <f>IFERROR(__xludf.DUMMYFUNCTION("""COMPUTED_VALUE"""),9.0985936E7)</f>
        <v>90985936</v>
      </c>
    </row>
    <row r="3007">
      <c r="A3007" s="2">
        <f>IFERROR(__xludf.DUMMYFUNCTION("""COMPUTED_VALUE"""),35725.666666666664)</f>
        <v>35725.66667</v>
      </c>
      <c r="B3007" s="1">
        <f>IFERROR(__xludf.DUMMYFUNCTION("""COMPUTED_VALUE"""),972.28)</f>
        <v>972.28</v>
      </c>
      <c r="C3007" s="1">
        <f>IFERROR(__xludf.DUMMYFUNCTION("""COMPUTED_VALUE"""),972.61)</f>
        <v>972.61</v>
      </c>
      <c r="D3007" s="1">
        <f>IFERROR(__xludf.DUMMYFUNCTION("""COMPUTED_VALUE"""),965.66)</f>
        <v>965.66</v>
      </c>
      <c r="E3007" s="1">
        <f>IFERROR(__xludf.DUMMYFUNCTION("""COMPUTED_VALUE"""),968.49)</f>
        <v>968.49</v>
      </c>
      <c r="F3007" s="1">
        <f>IFERROR(__xludf.DUMMYFUNCTION("""COMPUTED_VALUE"""),9.5857816E7)</f>
        <v>95857816</v>
      </c>
    </row>
    <row r="3008">
      <c r="A3008" s="2">
        <f>IFERROR(__xludf.DUMMYFUNCTION("""COMPUTED_VALUE"""),35726.666666666664)</f>
        <v>35726.66667</v>
      </c>
      <c r="B3008" s="1">
        <f>IFERROR(__xludf.DUMMYFUNCTION("""COMPUTED_VALUE"""),966.05)</f>
        <v>966.05</v>
      </c>
      <c r="C3008" s="1">
        <f>IFERROR(__xludf.DUMMYFUNCTION("""COMPUTED_VALUE"""),966.05)</f>
        <v>966.05</v>
      </c>
      <c r="D3008" s="1">
        <f>IFERROR(__xludf.DUMMYFUNCTION("""COMPUTED_VALUE"""),944.16)</f>
        <v>944.16</v>
      </c>
      <c r="E3008" s="1">
        <f>IFERROR(__xludf.DUMMYFUNCTION("""COMPUTED_VALUE"""),950.69)</f>
        <v>950.69</v>
      </c>
      <c r="F3008" s="1">
        <f>IFERROR(__xludf.DUMMYFUNCTION("""COMPUTED_VALUE"""),1.0519844E8)</f>
        <v>105198440</v>
      </c>
    </row>
    <row r="3009">
      <c r="A3009" s="2">
        <f>IFERROR(__xludf.DUMMYFUNCTION("""COMPUTED_VALUE"""),35727.666666666664)</f>
        <v>35727.66667</v>
      </c>
      <c r="B3009" s="1">
        <f>IFERROR(__xludf.DUMMYFUNCTION("""COMPUTED_VALUE"""),950.69)</f>
        <v>950.69</v>
      </c>
      <c r="C3009" s="1">
        <f>IFERROR(__xludf.DUMMYFUNCTION("""COMPUTED_VALUE"""),960.04)</f>
        <v>960.04</v>
      </c>
      <c r="D3009" s="1">
        <f>IFERROR(__xludf.DUMMYFUNCTION("""COMPUTED_VALUE"""),937.55)</f>
        <v>937.55</v>
      </c>
      <c r="E3009" s="1">
        <f>IFERROR(__xludf.DUMMYFUNCTION("""COMPUTED_VALUE"""),941.64)</f>
        <v>941.64</v>
      </c>
      <c r="F3009" s="1">
        <f>IFERROR(__xludf.DUMMYFUNCTION("""COMPUTED_VALUE"""),1.05879688E8)</f>
        <v>105879688</v>
      </c>
    </row>
    <row r="3010">
      <c r="A3010" s="2">
        <f>IFERROR(__xludf.DUMMYFUNCTION("""COMPUTED_VALUE"""),35730.666666666664)</f>
        <v>35730.66667</v>
      </c>
      <c r="B3010" s="1">
        <f>IFERROR(__xludf.DUMMYFUNCTION("""COMPUTED_VALUE"""),941.64)</f>
        <v>941.64</v>
      </c>
      <c r="C3010" s="1">
        <f>IFERROR(__xludf.DUMMYFUNCTION("""COMPUTED_VALUE"""),941.64)</f>
        <v>941.64</v>
      </c>
      <c r="D3010" s="1">
        <f>IFERROR(__xludf.DUMMYFUNCTION("""COMPUTED_VALUE"""),876.73)</f>
        <v>876.73</v>
      </c>
      <c r="E3010" s="1">
        <f>IFERROR(__xludf.DUMMYFUNCTION("""COMPUTED_VALUE"""),876.97)</f>
        <v>876.97</v>
      </c>
      <c r="F3010" s="1">
        <f>IFERROR(__xludf.DUMMYFUNCTION("""COMPUTED_VALUE"""),1.08395312E8)</f>
        <v>108395312</v>
      </c>
    </row>
    <row r="3011">
      <c r="A3011" s="2">
        <f>IFERROR(__xludf.DUMMYFUNCTION("""COMPUTED_VALUE"""),35731.666666666664)</f>
        <v>35731.66667</v>
      </c>
      <c r="B3011" s="1">
        <f>IFERROR(__xludf.DUMMYFUNCTION("""COMPUTED_VALUE"""),876.99)</f>
        <v>876.99</v>
      </c>
      <c r="C3011" s="1">
        <f>IFERROR(__xludf.DUMMYFUNCTION("""COMPUTED_VALUE"""),923.07)</f>
        <v>923.07</v>
      </c>
      <c r="D3011" s="1">
        <f>IFERROR(__xludf.DUMMYFUNCTION("""COMPUTED_VALUE"""),855.27)</f>
        <v>855.27</v>
      </c>
      <c r="E3011" s="1">
        <f>IFERROR(__xludf.DUMMYFUNCTION("""COMPUTED_VALUE"""),921.85)</f>
        <v>921.85</v>
      </c>
      <c r="F3011" s="1">
        <f>IFERROR(__xludf.DUMMYFUNCTION("""COMPUTED_VALUE"""),1.87898432E8)</f>
        <v>187898432</v>
      </c>
    </row>
    <row r="3012">
      <c r="A3012" s="2">
        <f>IFERROR(__xludf.DUMMYFUNCTION("""COMPUTED_VALUE"""),35732.666666666664)</f>
        <v>35732.66667</v>
      </c>
      <c r="B3012" s="1">
        <f>IFERROR(__xludf.DUMMYFUNCTION("""COMPUTED_VALUE"""),921.85)</f>
        <v>921.85</v>
      </c>
      <c r="C3012" s="1">
        <f>IFERROR(__xludf.DUMMYFUNCTION("""COMPUTED_VALUE"""),935.24)</f>
        <v>935.24</v>
      </c>
      <c r="D3012" s="1">
        <f>IFERROR(__xludf.DUMMYFUNCTION("""COMPUTED_VALUE"""),913.92)</f>
        <v>913.92</v>
      </c>
      <c r="E3012" s="1">
        <f>IFERROR(__xludf.DUMMYFUNCTION("""COMPUTED_VALUE"""),919.16)</f>
        <v>919.16</v>
      </c>
      <c r="F3012" s="1">
        <f>IFERROR(__xludf.DUMMYFUNCTION("""COMPUTED_VALUE"""),1.21509376E8)</f>
        <v>121509376</v>
      </c>
    </row>
    <row r="3013">
      <c r="A3013" s="2">
        <f>IFERROR(__xludf.DUMMYFUNCTION("""COMPUTED_VALUE"""),35733.666666666664)</f>
        <v>35733.66667</v>
      </c>
      <c r="B3013" s="1">
        <f>IFERROR(__xludf.DUMMYFUNCTION("""COMPUTED_VALUE"""),916.02)</f>
        <v>916.02</v>
      </c>
      <c r="C3013" s="1">
        <f>IFERROR(__xludf.DUMMYFUNCTION("""COMPUTED_VALUE"""),923.28)</f>
        <v>923.28</v>
      </c>
      <c r="D3013" s="1">
        <f>IFERROR(__xludf.DUMMYFUNCTION("""COMPUTED_VALUE"""),903.68)</f>
        <v>903.68</v>
      </c>
      <c r="E3013" s="1">
        <f>IFERROR(__xludf.DUMMYFUNCTION("""COMPUTED_VALUE"""),903.68)</f>
        <v>903.68</v>
      </c>
      <c r="F3013" s="1">
        <f>IFERROR(__xludf.DUMMYFUNCTION("""COMPUTED_VALUE"""),1.11285936E8)</f>
        <v>111285936</v>
      </c>
    </row>
    <row r="3014">
      <c r="A3014" s="2">
        <f>IFERROR(__xludf.DUMMYFUNCTION("""COMPUTED_VALUE"""),35734.666666666664)</f>
        <v>35734.66667</v>
      </c>
      <c r="B3014" s="1">
        <f>IFERROR(__xludf.DUMMYFUNCTION("""COMPUTED_VALUE"""),903.68)</f>
        <v>903.68</v>
      </c>
      <c r="C3014" s="1">
        <f>IFERROR(__xludf.DUMMYFUNCTION("""COMPUTED_VALUE"""),919.93)</f>
        <v>919.93</v>
      </c>
      <c r="D3014" s="1">
        <f>IFERROR(__xludf.DUMMYFUNCTION("""COMPUTED_VALUE"""),903.68)</f>
        <v>903.68</v>
      </c>
      <c r="E3014" s="1">
        <f>IFERROR(__xludf.DUMMYFUNCTION("""COMPUTED_VALUE"""),914.62)</f>
        <v>914.62</v>
      </c>
      <c r="F3014" s="1">
        <f>IFERROR(__xludf.DUMMYFUNCTION("""COMPUTED_VALUE"""),9.969844E7)</f>
        <v>99698440</v>
      </c>
    </row>
    <row r="3015">
      <c r="A3015" s="2">
        <f>IFERROR(__xludf.DUMMYFUNCTION("""COMPUTED_VALUE"""),35737.666666666664)</f>
        <v>35737.66667</v>
      </c>
      <c r="B3015" s="1">
        <f>IFERROR(__xludf.DUMMYFUNCTION("""COMPUTED_VALUE"""),914.62)</f>
        <v>914.62</v>
      </c>
      <c r="C3015" s="1">
        <f>IFERROR(__xludf.DUMMYFUNCTION("""COMPUTED_VALUE"""),939.02)</f>
        <v>939.02</v>
      </c>
      <c r="D3015" s="1">
        <f>IFERROR(__xludf.DUMMYFUNCTION("""COMPUTED_VALUE"""),914.62)</f>
        <v>914.62</v>
      </c>
      <c r="E3015" s="1">
        <f>IFERROR(__xludf.DUMMYFUNCTION("""COMPUTED_VALUE"""),938.99)</f>
        <v>938.99</v>
      </c>
      <c r="F3015" s="1">
        <f>IFERROR(__xludf.DUMMYFUNCTION("""COMPUTED_VALUE"""),8.8240624E7)</f>
        <v>88240624</v>
      </c>
    </row>
    <row r="3016">
      <c r="A3016" s="2">
        <f>IFERROR(__xludf.DUMMYFUNCTION("""COMPUTED_VALUE"""),35738.666666666664)</f>
        <v>35738.66667</v>
      </c>
      <c r="B3016" s="1">
        <f>IFERROR(__xludf.DUMMYFUNCTION("""COMPUTED_VALUE"""),938.99)</f>
        <v>938.99</v>
      </c>
      <c r="C3016" s="1">
        <f>IFERROR(__xludf.DUMMYFUNCTION("""COMPUTED_VALUE"""),941.4)</f>
        <v>941.4</v>
      </c>
      <c r="D3016" s="1">
        <f>IFERROR(__xludf.DUMMYFUNCTION("""COMPUTED_VALUE"""),932.66)</f>
        <v>932.66</v>
      </c>
      <c r="E3016" s="1">
        <f>IFERROR(__xludf.DUMMYFUNCTION("""COMPUTED_VALUE"""),940.76)</f>
        <v>940.76</v>
      </c>
      <c r="F3016" s="1">
        <f>IFERROR(__xludf.DUMMYFUNCTION("""COMPUTED_VALUE"""),8.462344E7)</f>
        <v>84623440</v>
      </c>
    </row>
    <row r="3017">
      <c r="A3017" s="2">
        <f>IFERROR(__xludf.DUMMYFUNCTION("""COMPUTED_VALUE"""),35739.666666666664)</f>
        <v>35739.66667</v>
      </c>
      <c r="B3017" s="1">
        <f>IFERROR(__xludf.DUMMYFUNCTION("""COMPUTED_VALUE"""),940.76)</f>
        <v>940.76</v>
      </c>
      <c r="C3017" s="1">
        <f>IFERROR(__xludf.DUMMYFUNCTION("""COMPUTED_VALUE"""),949.62)</f>
        <v>949.62</v>
      </c>
      <c r="D3017" s="1">
        <f>IFERROR(__xludf.DUMMYFUNCTION("""COMPUTED_VALUE"""),938.16)</f>
        <v>938.16</v>
      </c>
      <c r="E3017" s="1">
        <f>IFERROR(__xludf.DUMMYFUNCTION("""COMPUTED_VALUE"""),942.76)</f>
        <v>942.76</v>
      </c>
      <c r="F3017" s="1">
        <f>IFERROR(__xludf.DUMMYFUNCTION("""COMPUTED_VALUE"""),8.8387504E7)</f>
        <v>88387504</v>
      </c>
    </row>
    <row r="3018">
      <c r="A3018" s="2">
        <f>IFERROR(__xludf.DUMMYFUNCTION("""COMPUTED_VALUE"""),35740.666666666664)</f>
        <v>35740.66667</v>
      </c>
      <c r="B3018" s="1">
        <f>IFERROR(__xludf.DUMMYFUNCTION("""COMPUTED_VALUE"""),942.76)</f>
        <v>942.76</v>
      </c>
      <c r="C3018" s="1">
        <f>IFERROR(__xludf.DUMMYFUNCTION("""COMPUTED_VALUE"""),942.85)</f>
        <v>942.85</v>
      </c>
      <c r="D3018" s="1">
        <f>IFERROR(__xludf.DUMMYFUNCTION("""COMPUTED_VALUE"""),934.16)</f>
        <v>934.16</v>
      </c>
      <c r="E3018" s="1">
        <f>IFERROR(__xludf.DUMMYFUNCTION("""COMPUTED_VALUE"""),938.03)</f>
        <v>938.03</v>
      </c>
      <c r="F3018" s="1">
        <f>IFERROR(__xludf.DUMMYFUNCTION("""COMPUTED_VALUE"""),8.170156E7)</f>
        <v>81701560</v>
      </c>
    </row>
    <row r="3019">
      <c r="A3019" s="2">
        <f>IFERROR(__xludf.DUMMYFUNCTION("""COMPUTED_VALUE"""),35741.666666666664)</f>
        <v>35741.66667</v>
      </c>
      <c r="B3019" s="1">
        <f>IFERROR(__xludf.DUMMYFUNCTION("""COMPUTED_VALUE"""),938.03)</f>
        <v>938.03</v>
      </c>
      <c r="C3019" s="1">
        <f>IFERROR(__xludf.DUMMYFUNCTION("""COMPUTED_VALUE"""),938.03)</f>
        <v>938.03</v>
      </c>
      <c r="D3019" s="1">
        <f>IFERROR(__xludf.DUMMYFUNCTION("""COMPUTED_VALUE"""),915.39)</f>
        <v>915.39</v>
      </c>
      <c r="E3019" s="1">
        <f>IFERROR(__xludf.DUMMYFUNCTION("""COMPUTED_VALUE"""),927.51)</f>
        <v>927.51</v>
      </c>
      <c r="F3019" s="1">
        <f>IFERROR(__xludf.DUMMYFUNCTION("""COMPUTED_VALUE"""),8.9059376E7)</f>
        <v>89059376</v>
      </c>
    </row>
    <row r="3020">
      <c r="A3020" s="2">
        <f>IFERROR(__xludf.DUMMYFUNCTION("""COMPUTED_VALUE"""),35744.666666666664)</f>
        <v>35744.66667</v>
      </c>
      <c r="B3020" s="1">
        <f>IFERROR(__xludf.DUMMYFUNCTION("""COMPUTED_VALUE"""),927.51)</f>
        <v>927.51</v>
      </c>
      <c r="C3020" s="1">
        <f>IFERROR(__xludf.DUMMYFUNCTION("""COMPUTED_VALUE"""),935.9)</f>
        <v>935.9</v>
      </c>
      <c r="D3020" s="1">
        <f>IFERROR(__xludf.DUMMYFUNCTION("""COMPUTED_VALUE"""),920.26)</f>
        <v>920.26</v>
      </c>
      <c r="E3020" s="1">
        <f>IFERROR(__xludf.DUMMYFUNCTION("""COMPUTED_VALUE"""),921.13)</f>
        <v>921.13</v>
      </c>
      <c r="F3020" s="1">
        <f>IFERROR(__xludf.DUMMYFUNCTION("""COMPUTED_VALUE"""),7.2521872E7)</f>
        <v>72521872</v>
      </c>
    </row>
    <row r="3021">
      <c r="A3021" s="2">
        <f>IFERROR(__xludf.DUMMYFUNCTION("""COMPUTED_VALUE"""),35745.666666666664)</f>
        <v>35745.66667</v>
      </c>
      <c r="B3021" s="1">
        <f>IFERROR(__xludf.DUMMYFUNCTION("""COMPUTED_VALUE"""),921.13)</f>
        <v>921.13</v>
      </c>
      <c r="C3021" s="1">
        <f>IFERROR(__xludf.DUMMYFUNCTION("""COMPUTED_VALUE"""),928.29)</f>
        <v>928.29</v>
      </c>
      <c r="D3021" s="1">
        <f>IFERROR(__xludf.DUMMYFUNCTION("""COMPUTED_VALUE"""),919.63)</f>
        <v>919.63</v>
      </c>
      <c r="E3021" s="1">
        <f>IFERROR(__xludf.DUMMYFUNCTION("""COMPUTED_VALUE"""),923.78)</f>
        <v>923.78</v>
      </c>
      <c r="F3021" s="1">
        <f>IFERROR(__xludf.DUMMYFUNCTION("""COMPUTED_VALUE"""),6.8071872E7)</f>
        <v>68071872</v>
      </c>
    </row>
    <row r="3022">
      <c r="A3022" s="2">
        <f>IFERROR(__xludf.DUMMYFUNCTION("""COMPUTED_VALUE"""),35746.666666666664)</f>
        <v>35746.66667</v>
      </c>
      <c r="B3022" s="1">
        <f>IFERROR(__xludf.DUMMYFUNCTION("""COMPUTED_VALUE"""),923.78)</f>
        <v>923.78</v>
      </c>
      <c r="C3022" s="1">
        <f>IFERROR(__xludf.DUMMYFUNCTION("""COMPUTED_VALUE"""),923.88)</f>
        <v>923.88</v>
      </c>
      <c r="D3022" s="1">
        <f>IFERROR(__xludf.DUMMYFUNCTION("""COMPUTED_VALUE"""),905.34)</f>
        <v>905.34</v>
      </c>
      <c r="E3022" s="1">
        <f>IFERROR(__xludf.DUMMYFUNCTION("""COMPUTED_VALUE"""),905.96)</f>
        <v>905.96</v>
      </c>
      <c r="F3022" s="1">
        <f>IFERROR(__xludf.DUMMYFUNCTION("""COMPUTED_VALUE"""),9.1459376E7)</f>
        <v>91459376</v>
      </c>
    </row>
    <row r="3023">
      <c r="A3023" s="2">
        <f>IFERROR(__xludf.DUMMYFUNCTION("""COMPUTED_VALUE"""),35747.666666666664)</f>
        <v>35747.66667</v>
      </c>
      <c r="B3023" s="1">
        <f>IFERROR(__xludf.DUMMYFUNCTION("""COMPUTED_VALUE"""),905.96)</f>
        <v>905.96</v>
      </c>
      <c r="C3023" s="1">
        <f>IFERROR(__xludf.DUMMYFUNCTION("""COMPUTED_VALUE"""),917.79)</f>
        <v>917.79</v>
      </c>
      <c r="D3023" s="1">
        <f>IFERROR(__xludf.DUMMYFUNCTION("""COMPUTED_VALUE"""),900.61)</f>
        <v>900.61</v>
      </c>
      <c r="E3023" s="1">
        <f>IFERROR(__xludf.DUMMYFUNCTION("""COMPUTED_VALUE"""),916.66)</f>
        <v>916.66</v>
      </c>
      <c r="F3023" s="1">
        <f>IFERROR(__xludf.DUMMYFUNCTION("""COMPUTED_VALUE"""),1.02181248E8)</f>
        <v>102181248</v>
      </c>
    </row>
    <row r="3024">
      <c r="A3024" s="2">
        <f>IFERROR(__xludf.DUMMYFUNCTION("""COMPUTED_VALUE"""),35748.666666666664)</f>
        <v>35748.66667</v>
      </c>
      <c r="B3024" s="1">
        <f>IFERROR(__xludf.DUMMYFUNCTION("""COMPUTED_VALUE"""),916.66)</f>
        <v>916.66</v>
      </c>
      <c r="C3024" s="1">
        <f>IFERROR(__xludf.DUMMYFUNCTION("""COMPUTED_VALUE"""),930.44)</f>
        <v>930.44</v>
      </c>
      <c r="D3024" s="1">
        <f>IFERROR(__xludf.DUMMYFUNCTION("""COMPUTED_VALUE"""),915.34)</f>
        <v>915.34</v>
      </c>
      <c r="E3024" s="1">
        <f>IFERROR(__xludf.DUMMYFUNCTION("""COMPUTED_VALUE"""),928.35)</f>
        <v>928.35</v>
      </c>
      <c r="F3024" s="1">
        <f>IFERROR(__xludf.DUMMYFUNCTION("""COMPUTED_VALUE"""),9.9337504E7)</f>
        <v>99337504</v>
      </c>
    </row>
    <row r="3025">
      <c r="A3025" s="2">
        <f>IFERROR(__xludf.DUMMYFUNCTION("""COMPUTED_VALUE"""),35751.666666666664)</f>
        <v>35751.66667</v>
      </c>
      <c r="B3025" s="1">
        <f>IFERROR(__xludf.DUMMYFUNCTION("""COMPUTED_VALUE"""),928.35)</f>
        <v>928.35</v>
      </c>
      <c r="C3025" s="1">
        <f>IFERROR(__xludf.DUMMYFUNCTION("""COMPUTED_VALUE"""),949.66)</f>
        <v>949.66</v>
      </c>
      <c r="D3025" s="1">
        <f>IFERROR(__xludf.DUMMYFUNCTION("""COMPUTED_VALUE"""),928.35)</f>
        <v>928.35</v>
      </c>
      <c r="E3025" s="1">
        <f>IFERROR(__xludf.DUMMYFUNCTION("""COMPUTED_VALUE"""),946.2)</f>
        <v>946.2</v>
      </c>
      <c r="F3025" s="1">
        <f>IFERROR(__xludf.DUMMYFUNCTION("""COMPUTED_VALUE"""),9.0084376E7)</f>
        <v>90084376</v>
      </c>
    </row>
    <row r="3026">
      <c r="A3026" s="2">
        <f>IFERROR(__xludf.DUMMYFUNCTION("""COMPUTED_VALUE"""),35752.666666666664)</f>
        <v>35752.66667</v>
      </c>
      <c r="B3026" s="1">
        <f>IFERROR(__xludf.DUMMYFUNCTION("""COMPUTED_VALUE"""),946.2)</f>
        <v>946.2</v>
      </c>
      <c r="C3026" s="1">
        <f>IFERROR(__xludf.DUMMYFUNCTION("""COMPUTED_VALUE"""),947.65)</f>
        <v>947.65</v>
      </c>
      <c r="D3026" s="1">
        <f>IFERROR(__xludf.DUMMYFUNCTION("""COMPUTED_VALUE"""),937.43)</f>
        <v>937.43</v>
      </c>
      <c r="E3026" s="1">
        <f>IFERROR(__xludf.DUMMYFUNCTION("""COMPUTED_VALUE"""),938.23)</f>
        <v>938.23</v>
      </c>
      <c r="F3026" s="1">
        <f>IFERROR(__xludf.DUMMYFUNCTION("""COMPUTED_VALUE"""),8.1465624E7)</f>
        <v>81465624</v>
      </c>
    </row>
    <row r="3027">
      <c r="A3027" s="2">
        <f>IFERROR(__xludf.DUMMYFUNCTION("""COMPUTED_VALUE"""),35753.666666666664)</f>
        <v>35753.66667</v>
      </c>
      <c r="B3027" s="1">
        <f>IFERROR(__xludf.DUMMYFUNCTION("""COMPUTED_VALUE"""),938.23)</f>
        <v>938.23</v>
      </c>
      <c r="C3027" s="1">
        <f>IFERROR(__xludf.DUMMYFUNCTION("""COMPUTED_VALUE"""),947.28)</f>
        <v>947.28</v>
      </c>
      <c r="D3027" s="1">
        <f>IFERROR(__xludf.DUMMYFUNCTION("""COMPUTED_VALUE"""),934.83)</f>
        <v>934.83</v>
      </c>
      <c r="E3027" s="1">
        <f>IFERROR(__xludf.DUMMYFUNCTION("""COMPUTED_VALUE"""),944.59)</f>
        <v>944.59</v>
      </c>
      <c r="F3027" s="1">
        <f>IFERROR(__xludf.DUMMYFUNCTION("""COMPUTED_VALUE"""),8.48E7)</f>
        <v>84800000</v>
      </c>
    </row>
    <row r="3028">
      <c r="A3028" s="2">
        <f>IFERROR(__xludf.DUMMYFUNCTION("""COMPUTED_VALUE"""),35754.666666666664)</f>
        <v>35754.66667</v>
      </c>
      <c r="B3028" s="1">
        <f>IFERROR(__xludf.DUMMYFUNCTION("""COMPUTED_VALUE"""),944.59)</f>
        <v>944.59</v>
      </c>
      <c r="C3028" s="1">
        <f>IFERROR(__xludf.DUMMYFUNCTION("""COMPUTED_VALUE"""),961.83)</f>
        <v>961.83</v>
      </c>
      <c r="D3028" s="1">
        <f>IFERROR(__xludf.DUMMYFUNCTION("""COMPUTED_VALUE"""),944.59)</f>
        <v>944.59</v>
      </c>
      <c r="E3028" s="1">
        <f>IFERROR(__xludf.DUMMYFUNCTION("""COMPUTED_VALUE"""),958.98)</f>
        <v>958.98</v>
      </c>
      <c r="F3028" s="1">
        <f>IFERROR(__xludf.DUMMYFUNCTION("""COMPUTED_VALUE"""),9.4157816E7)</f>
        <v>94157816</v>
      </c>
    </row>
    <row r="3029">
      <c r="A3029" s="2">
        <f>IFERROR(__xludf.DUMMYFUNCTION("""COMPUTED_VALUE"""),35755.666666666664)</f>
        <v>35755.66667</v>
      </c>
      <c r="B3029" s="1">
        <f>IFERROR(__xludf.DUMMYFUNCTION("""COMPUTED_VALUE"""),958.98)</f>
        <v>958.98</v>
      </c>
      <c r="C3029" s="1">
        <f>IFERROR(__xludf.DUMMYFUNCTION("""COMPUTED_VALUE"""),964.55)</f>
        <v>964.55</v>
      </c>
      <c r="D3029" s="1">
        <f>IFERROR(__xludf.DUMMYFUNCTION("""COMPUTED_VALUE"""),954.6)</f>
        <v>954.6</v>
      </c>
      <c r="E3029" s="1">
        <f>IFERROR(__xludf.DUMMYFUNCTION("""COMPUTED_VALUE"""),963.09)</f>
        <v>963.09</v>
      </c>
      <c r="F3029" s="1">
        <f>IFERROR(__xludf.DUMMYFUNCTION("""COMPUTED_VALUE"""),9.5468752E7)</f>
        <v>95468752</v>
      </c>
    </row>
    <row r="3030">
      <c r="A3030" s="2">
        <f>IFERROR(__xludf.DUMMYFUNCTION("""COMPUTED_VALUE"""),35758.666666666664)</f>
        <v>35758.66667</v>
      </c>
      <c r="B3030" s="1">
        <f>IFERROR(__xludf.DUMMYFUNCTION("""COMPUTED_VALUE"""),963.09)</f>
        <v>963.09</v>
      </c>
      <c r="C3030" s="1">
        <f>IFERROR(__xludf.DUMMYFUNCTION("""COMPUTED_VALUE"""),963.09)</f>
        <v>963.09</v>
      </c>
      <c r="D3030" s="1">
        <f>IFERROR(__xludf.DUMMYFUNCTION("""COMPUTED_VALUE"""),945.22)</f>
        <v>945.22</v>
      </c>
      <c r="E3030" s="1">
        <f>IFERROR(__xludf.DUMMYFUNCTION("""COMPUTED_VALUE"""),946.67)</f>
        <v>946.67</v>
      </c>
      <c r="F3030" s="1">
        <f>IFERROR(__xludf.DUMMYFUNCTION("""COMPUTED_VALUE"""),8.0456248E7)</f>
        <v>80456248</v>
      </c>
    </row>
    <row r="3031">
      <c r="A3031" s="2">
        <f>IFERROR(__xludf.DUMMYFUNCTION("""COMPUTED_VALUE"""),35759.666666666664)</f>
        <v>35759.66667</v>
      </c>
      <c r="B3031" s="1">
        <f>IFERROR(__xludf.DUMMYFUNCTION("""COMPUTED_VALUE"""),951.23)</f>
        <v>951.23</v>
      </c>
      <c r="C3031" s="1">
        <f>IFERROR(__xludf.DUMMYFUNCTION("""COMPUTED_VALUE"""),954.47)</f>
        <v>954.47</v>
      </c>
      <c r="D3031" s="1">
        <f>IFERROR(__xludf.DUMMYFUNCTION("""COMPUTED_VALUE"""),944.71)</f>
        <v>944.71</v>
      </c>
      <c r="E3031" s="1">
        <f>IFERROR(__xludf.DUMMYFUNCTION("""COMPUTED_VALUE"""),950.82)</f>
        <v>950.82</v>
      </c>
      <c r="F3031" s="1">
        <f>IFERROR(__xludf.DUMMYFUNCTION("""COMPUTED_VALUE"""),9.1857816E7)</f>
        <v>91857816</v>
      </c>
    </row>
    <row r="3032">
      <c r="A3032" s="2">
        <f>IFERROR(__xludf.DUMMYFUNCTION("""COMPUTED_VALUE"""),35760.666666666664)</f>
        <v>35760.66667</v>
      </c>
      <c r="B3032" s="1">
        <f>IFERROR(__xludf.DUMMYFUNCTION("""COMPUTED_VALUE"""),950.82)</f>
        <v>950.82</v>
      </c>
      <c r="C3032" s="1">
        <f>IFERROR(__xludf.DUMMYFUNCTION("""COMPUTED_VALUE"""),956.47)</f>
        <v>956.47</v>
      </c>
      <c r="D3032" s="1">
        <f>IFERROR(__xludf.DUMMYFUNCTION("""COMPUTED_VALUE"""),950.82)</f>
        <v>950.82</v>
      </c>
      <c r="E3032" s="1">
        <f>IFERROR(__xludf.DUMMYFUNCTION("""COMPUTED_VALUE"""),951.64)</f>
        <v>951.64</v>
      </c>
      <c r="F3032" s="1">
        <f>IFERROR(__xludf.DUMMYFUNCTION("""COMPUTED_VALUE"""),7.6210936E7)</f>
        <v>76210936</v>
      </c>
    </row>
    <row r="3033">
      <c r="A3033" s="2">
        <f>IFERROR(__xludf.DUMMYFUNCTION("""COMPUTED_VALUE"""),35762.666666666664)</f>
        <v>35762.66667</v>
      </c>
      <c r="B3033" s="1">
        <f>IFERROR(__xludf.DUMMYFUNCTION("""COMPUTED_VALUE"""),951.64)</f>
        <v>951.64</v>
      </c>
      <c r="C3033" s="1">
        <f>IFERROR(__xludf.DUMMYFUNCTION("""COMPUTED_VALUE"""),959.13)</f>
        <v>959.13</v>
      </c>
      <c r="D3033" s="1">
        <f>IFERROR(__xludf.DUMMYFUNCTION("""COMPUTED_VALUE"""),951.64)</f>
        <v>951.64</v>
      </c>
      <c r="E3033" s="1">
        <f>IFERROR(__xludf.DUMMYFUNCTION("""COMPUTED_VALUE"""),955.4)</f>
        <v>955.4</v>
      </c>
      <c r="F3033" s="1">
        <f>IFERROR(__xludf.DUMMYFUNCTION("""COMPUTED_VALUE"""),2.9542188E7)</f>
        <v>29542188</v>
      </c>
    </row>
    <row r="3034">
      <c r="A3034" s="2">
        <f>IFERROR(__xludf.DUMMYFUNCTION("""COMPUTED_VALUE"""),35765.666666666664)</f>
        <v>35765.66667</v>
      </c>
      <c r="B3034" s="1">
        <f>IFERROR(__xludf.DUMMYFUNCTION("""COMPUTED_VALUE"""),955.4)</f>
        <v>955.4</v>
      </c>
      <c r="C3034" s="1">
        <f>IFERROR(__xludf.DUMMYFUNCTION("""COMPUTED_VALUE"""),974.77)</f>
        <v>974.77</v>
      </c>
      <c r="D3034" s="1">
        <f>IFERROR(__xludf.DUMMYFUNCTION("""COMPUTED_VALUE"""),955.4)</f>
        <v>955.4</v>
      </c>
      <c r="E3034" s="1">
        <f>IFERROR(__xludf.DUMMYFUNCTION("""COMPUTED_VALUE"""),974.77)</f>
        <v>974.77</v>
      </c>
      <c r="F3034" s="1">
        <f>IFERROR(__xludf.DUMMYFUNCTION("""COMPUTED_VALUE"""),9.2234376E7)</f>
        <v>92234376</v>
      </c>
    </row>
    <row r="3035">
      <c r="A3035" s="2">
        <f>IFERROR(__xludf.DUMMYFUNCTION("""COMPUTED_VALUE"""),35766.666666666664)</f>
        <v>35766.66667</v>
      </c>
      <c r="B3035" s="1">
        <f>IFERROR(__xludf.DUMMYFUNCTION("""COMPUTED_VALUE"""),974.78)</f>
        <v>974.78</v>
      </c>
      <c r="C3035" s="1">
        <f>IFERROR(__xludf.DUMMYFUNCTION("""COMPUTED_VALUE"""),976.2)</f>
        <v>976.2</v>
      </c>
      <c r="D3035" s="1">
        <f>IFERROR(__xludf.DUMMYFUNCTION("""COMPUTED_VALUE"""),969.83)</f>
        <v>969.83</v>
      </c>
      <c r="E3035" s="1">
        <f>IFERROR(__xludf.DUMMYFUNCTION("""COMPUTED_VALUE"""),971.68)</f>
        <v>971.68</v>
      </c>
      <c r="F3035" s="1">
        <f>IFERROR(__xludf.DUMMYFUNCTION("""COMPUTED_VALUE"""),9.0018752E7)</f>
        <v>90018752</v>
      </c>
    </row>
    <row r="3036">
      <c r="A3036" s="2">
        <f>IFERROR(__xludf.DUMMYFUNCTION("""COMPUTED_VALUE"""),35767.666666666664)</f>
        <v>35767.66667</v>
      </c>
      <c r="B3036" s="1">
        <f>IFERROR(__xludf.DUMMYFUNCTION("""COMPUTED_VALUE"""),971.68)</f>
        <v>971.68</v>
      </c>
      <c r="C3036" s="1">
        <f>IFERROR(__xludf.DUMMYFUNCTION("""COMPUTED_VALUE"""),980.81)</f>
        <v>980.81</v>
      </c>
      <c r="D3036" s="1">
        <f>IFERROR(__xludf.DUMMYFUNCTION("""COMPUTED_VALUE"""),966.16)</f>
        <v>966.16</v>
      </c>
      <c r="E3036" s="1">
        <f>IFERROR(__xludf.DUMMYFUNCTION("""COMPUTED_VALUE"""),976.77)</f>
        <v>976.77</v>
      </c>
      <c r="F3036" s="1">
        <f>IFERROR(__xludf.DUMMYFUNCTION("""COMPUTED_VALUE"""),9.7595312E7)</f>
        <v>97595312</v>
      </c>
    </row>
    <row r="3037">
      <c r="A3037" s="2">
        <f>IFERROR(__xludf.DUMMYFUNCTION("""COMPUTED_VALUE"""),35768.666666666664)</f>
        <v>35768.66667</v>
      </c>
      <c r="B3037" s="1">
        <f>IFERROR(__xludf.DUMMYFUNCTION("""COMPUTED_VALUE"""),976.77)</f>
        <v>976.77</v>
      </c>
      <c r="C3037" s="1">
        <f>IFERROR(__xludf.DUMMYFUNCTION("""COMPUTED_VALUE"""),983.36)</f>
        <v>983.36</v>
      </c>
      <c r="D3037" s="1">
        <f>IFERROR(__xludf.DUMMYFUNCTION("""COMPUTED_VALUE"""),971.37)</f>
        <v>971.37</v>
      </c>
      <c r="E3037" s="1">
        <f>IFERROR(__xludf.DUMMYFUNCTION("""COMPUTED_VALUE"""),973.1)</f>
        <v>973.1</v>
      </c>
      <c r="F3037" s="1">
        <f>IFERROR(__xludf.DUMMYFUNCTION("""COMPUTED_VALUE"""),9.8979688E7)</f>
        <v>98979688</v>
      </c>
    </row>
    <row r="3038">
      <c r="A3038" s="2">
        <f>IFERROR(__xludf.DUMMYFUNCTION("""COMPUTED_VALUE"""),35769.666666666664)</f>
        <v>35769.66667</v>
      </c>
      <c r="B3038" s="1">
        <f>IFERROR(__xludf.DUMMYFUNCTION("""COMPUTED_VALUE"""),973.1)</f>
        <v>973.1</v>
      </c>
      <c r="C3038" s="1">
        <f>IFERROR(__xludf.DUMMYFUNCTION("""COMPUTED_VALUE"""),986.25)</f>
        <v>986.25</v>
      </c>
      <c r="D3038" s="1">
        <f>IFERROR(__xludf.DUMMYFUNCTION("""COMPUTED_VALUE"""),969.1)</f>
        <v>969.1</v>
      </c>
      <c r="E3038" s="1">
        <f>IFERROR(__xludf.DUMMYFUNCTION("""COMPUTED_VALUE"""),983.79)</f>
        <v>983.79</v>
      </c>
      <c r="F3038" s="1">
        <f>IFERROR(__xludf.DUMMYFUNCTION("""COMPUTED_VALUE"""),8.8060936E7)</f>
        <v>88060936</v>
      </c>
    </row>
    <row r="3039">
      <c r="A3039" s="2">
        <f>IFERROR(__xludf.DUMMYFUNCTION("""COMPUTED_VALUE"""),35772.666666666664)</f>
        <v>35772.66667</v>
      </c>
      <c r="B3039" s="1">
        <f>IFERROR(__xludf.DUMMYFUNCTION("""COMPUTED_VALUE"""),983.79)</f>
        <v>983.79</v>
      </c>
      <c r="C3039" s="1">
        <f>IFERROR(__xludf.DUMMYFUNCTION("""COMPUTED_VALUE"""),985.67)</f>
        <v>985.67</v>
      </c>
      <c r="D3039" s="1">
        <f>IFERROR(__xludf.DUMMYFUNCTION("""COMPUTED_VALUE"""),979.57)</f>
        <v>979.57</v>
      </c>
      <c r="E3039" s="1">
        <f>IFERROR(__xludf.DUMMYFUNCTION("""COMPUTED_VALUE"""),982.37)</f>
        <v>982.37</v>
      </c>
      <c r="F3039" s="1">
        <f>IFERROR(__xludf.DUMMYFUNCTION("""COMPUTED_VALUE"""),7.6612496E7)</f>
        <v>76612496</v>
      </c>
    </row>
    <row r="3040">
      <c r="A3040" s="2">
        <f>IFERROR(__xludf.DUMMYFUNCTION("""COMPUTED_VALUE"""),35773.666666666664)</f>
        <v>35773.66667</v>
      </c>
      <c r="B3040" s="1">
        <f>IFERROR(__xludf.DUMMYFUNCTION("""COMPUTED_VALUE"""),982.37)</f>
        <v>982.37</v>
      </c>
      <c r="C3040" s="1">
        <f>IFERROR(__xludf.DUMMYFUNCTION("""COMPUTED_VALUE"""),982.37)</f>
        <v>982.37</v>
      </c>
      <c r="D3040" s="1">
        <f>IFERROR(__xludf.DUMMYFUNCTION("""COMPUTED_VALUE"""),973.81)</f>
        <v>973.81</v>
      </c>
      <c r="E3040" s="1">
        <f>IFERROR(__xludf.DUMMYFUNCTION("""COMPUTED_VALUE"""),975.78)</f>
        <v>975.78</v>
      </c>
      <c r="F3040" s="1">
        <f>IFERROR(__xludf.DUMMYFUNCTION("""COMPUTED_VALUE"""),8.4239064E7)</f>
        <v>84239064</v>
      </c>
    </row>
    <row r="3041">
      <c r="A3041" s="2">
        <f>IFERROR(__xludf.DUMMYFUNCTION("""COMPUTED_VALUE"""),35774.666666666664)</f>
        <v>35774.66667</v>
      </c>
      <c r="B3041" s="1">
        <f>IFERROR(__xludf.DUMMYFUNCTION("""COMPUTED_VALUE"""),975.78)</f>
        <v>975.78</v>
      </c>
      <c r="C3041" s="1">
        <f>IFERROR(__xludf.DUMMYFUNCTION("""COMPUTED_VALUE"""),975.78)</f>
        <v>975.78</v>
      </c>
      <c r="D3041" s="1">
        <f>IFERROR(__xludf.DUMMYFUNCTION("""COMPUTED_VALUE"""),962.68)</f>
        <v>962.68</v>
      </c>
      <c r="E3041" s="1">
        <f>IFERROR(__xludf.DUMMYFUNCTION("""COMPUTED_VALUE"""),969.79)</f>
        <v>969.79</v>
      </c>
      <c r="F3041" s="1">
        <f>IFERROR(__xludf.DUMMYFUNCTION("""COMPUTED_VALUE"""),9.4107816E7)</f>
        <v>94107816</v>
      </c>
    </row>
    <row r="3042">
      <c r="A3042" s="2">
        <f>IFERROR(__xludf.DUMMYFUNCTION("""COMPUTED_VALUE"""),35775.666666666664)</f>
        <v>35775.66667</v>
      </c>
      <c r="B3042" s="1">
        <f>IFERROR(__xludf.DUMMYFUNCTION("""COMPUTED_VALUE"""),969.79)</f>
        <v>969.79</v>
      </c>
      <c r="C3042" s="1">
        <f>IFERROR(__xludf.DUMMYFUNCTION("""COMPUTED_VALUE"""),969.79)</f>
        <v>969.79</v>
      </c>
      <c r="D3042" s="1">
        <f>IFERROR(__xludf.DUMMYFUNCTION("""COMPUTED_VALUE"""),951.89)</f>
        <v>951.89</v>
      </c>
      <c r="E3042" s="1">
        <f>IFERROR(__xludf.DUMMYFUNCTION("""COMPUTED_VALUE"""),954.94)</f>
        <v>954.94</v>
      </c>
      <c r="F3042" s="1">
        <f>IFERROR(__xludf.DUMMYFUNCTION("""COMPUTED_VALUE"""),9.8714064E7)</f>
        <v>98714064</v>
      </c>
    </row>
    <row r="3043">
      <c r="A3043" s="2">
        <f>IFERROR(__xludf.DUMMYFUNCTION("""COMPUTED_VALUE"""),35776.666666666664)</f>
        <v>35776.66667</v>
      </c>
      <c r="B3043" s="1">
        <f>IFERROR(__xludf.DUMMYFUNCTION("""COMPUTED_VALUE"""),954.94)</f>
        <v>954.94</v>
      </c>
      <c r="C3043" s="1">
        <f>IFERROR(__xludf.DUMMYFUNCTION("""COMPUTED_VALUE"""),961.32)</f>
        <v>961.32</v>
      </c>
      <c r="D3043" s="1">
        <f>IFERROR(__xludf.DUMMYFUNCTION("""COMPUTED_VALUE"""),947.0)</f>
        <v>947</v>
      </c>
      <c r="E3043" s="1">
        <f>IFERROR(__xludf.DUMMYFUNCTION("""COMPUTED_VALUE"""),953.39)</f>
        <v>953.39</v>
      </c>
      <c r="F3043" s="1">
        <f>IFERROR(__xludf.DUMMYFUNCTION("""COMPUTED_VALUE"""),9.0512496E7)</f>
        <v>90512496</v>
      </c>
    </row>
    <row r="3044">
      <c r="A3044" s="2">
        <f>IFERROR(__xludf.DUMMYFUNCTION("""COMPUTED_VALUE"""),35779.666666666664)</f>
        <v>35779.66667</v>
      </c>
      <c r="B3044" s="1">
        <f>IFERROR(__xludf.DUMMYFUNCTION("""COMPUTED_VALUE"""),953.39)</f>
        <v>953.39</v>
      </c>
      <c r="C3044" s="1">
        <f>IFERROR(__xludf.DUMMYFUNCTION("""COMPUTED_VALUE"""),965.96)</f>
        <v>965.96</v>
      </c>
      <c r="D3044" s="1">
        <f>IFERROR(__xludf.DUMMYFUNCTION("""COMPUTED_VALUE"""),953.39)</f>
        <v>953.39</v>
      </c>
      <c r="E3044" s="1">
        <f>IFERROR(__xludf.DUMMYFUNCTION("""COMPUTED_VALUE"""),963.39)</f>
        <v>963.39</v>
      </c>
      <c r="F3044" s="1">
        <f>IFERROR(__xludf.DUMMYFUNCTION("""COMPUTED_VALUE"""),9.3304688E7)</f>
        <v>93304688</v>
      </c>
    </row>
    <row r="3045">
      <c r="A3045" s="2">
        <f>IFERROR(__xludf.DUMMYFUNCTION("""COMPUTED_VALUE"""),35780.666666666664)</f>
        <v>35780.66667</v>
      </c>
      <c r="B3045" s="1">
        <f>IFERROR(__xludf.DUMMYFUNCTION("""COMPUTED_VALUE"""),963.39)</f>
        <v>963.39</v>
      </c>
      <c r="C3045" s="1">
        <f>IFERROR(__xludf.DUMMYFUNCTION("""COMPUTED_VALUE"""),973.0)</f>
        <v>973</v>
      </c>
      <c r="D3045" s="1">
        <f>IFERROR(__xludf.DUMMYFUNCTION("""COMPUTED_VALUE"""),963.39)</f>
        <v>963.39</v>
      </c>
      <c r="E3045" s="1">
        <f>IFERROR(__xludf.DUMMYFUNCTION("""COMPUTED_VALUE"""),968.04)</f>
        <v>968.04</v>
      </c>
      <c r="F3045" s="1">
        <f>IFERROR(__xludf.DUMMYFUNCTION("""COMPUTED_VALUE"""),9.7393752E7)</f>
        <v>97393752</v>
      </c>
    </row>
    <row r="3046">
      <c r="A3046" s="2">
        <f>IFERROR(__xludf.DUMMYFUNCTION("""COMPUTED_VALUE"""),35781.666666666664)</f>
        <v>35781.66667</v>
      </c>
      <c r="B3046" s="1">
        <f>IFERROR(__xludf.DUMMYFUNCTION("""COMPUTED_VALUE"""),968.04)</f>
        <v>968.04</v>
      </c>
      <c r="C3046" s="1">
        <f>IFERROR(__xludf.DUMMYFUNCTION("""COMPUTED_VALUE"""),974.3)</f>
        <v>974.3</v>
      </c>
      <c r="D3046" s="1">
        <f>IFERROR(__xludf.DUMMYFUNCTION("""COMPUTED_VALUE"""),964.25)</f>
        <v>964.25</v>
      </c>
      <c r="E3046" s="1">
        <f>IFERROR(__xludf.DUMMYFUNCTION("""COMPUTED_VALUE"""),965.54)</f>
        <v>965.54</v>
      </c>
      <c r="F3046" s="1">
        <f>IFERROR(__xludf.DUMMYFUNCTION("""COMPUTED_VALUE"""),9.6703128E7)</f>
        <v>96703128</v>
      </c>
    </row>
    <row r="3047">
      <c r="A3047" s="2">
        <f>IFERROR(__xludf.DUMMYFUNCTION("""COMPUTED_VALUE"""),35782.666666666664)</f>
        <v>35782.66667</v>
      </c>
      <c r="B3047" s="1">
        <f>IFERROR(__xludf.DUMMYFUNCTION("""COMPUTED_VALUE"""),965.54)</f>
        <v>965.54</v>
      </c>
      <c r="C3047" s="1">
        <f>IFERROR(__xludf.DUMMYFUNCTION("""COMPUTED_VALUE"""),965.54)</f>
        <v>965.54</v>
      </c>
      <c r="D3047" s="1">
        <f>IFERROR(__xludf.DUMMYFUNCTION("""COMPUTED_VALUE"""),950.55)</f>
        <v>950.55</v>
      </c>
      <c r="E3047" s="1">
        <f>IFERROR(__xludf.DUMMYFUNCTION("""COMPUTED_VALUE"""),955.3)</f>
        <v>955.3</v>
      </c>
      <c r="F3047" s="1">
        <f>IFERROR(__xludf.DUMMYFUNCTION("""COMPUTED_VALUE"""),9.669844E7)</f>
        <v>96698440</v>
      </c>
    </row>
    <row r="3048">
      <c r="A3048" s="2">
        <f>IFERROR(__xludf.DUMMYFUNCTION("""COMPUTED_VALUE"""),35783.666666666664)</f>
        <v>35783.66667</v>
      </c>
      <c r="B3048" s="1">
        <f>IFERROR(__xludf.DUMMYFUNCTION("""COMPUTED_VALUE"""),955.3)</f>
        <v>955.3</v>
      </c>
      <c r="C3048" s="1">
        <f>IFERROR(__xludf.DUMMYFUNCTION("""COMPUTED_VALUE"""),955.3)</f>
        <v>955.3</v>
      </c>
      <c r="D3048" s="1">
        <f>IFERROR(__xludf.DUMMYFUNCTION("""COMPUTED_VALUE"""),924.92)</f>
        <v>924.92</v>
      </c>
      <c r="E3048" s="1">
        <f>IFERROR(__xludf.DUMMYFUNCTION("""COMPUTED_VALUE"""),946.78)</f>
        <v>946.78</v>
      </c>
      <c r="F3048" s="1">
        <f>IFERROR(__xludf.DUMMYFUNCTION("""COMPUTED_VALUE"""),1.23937504E8)</f>
        <v>123937504</v>
      </c>
    </row>
    <row r="3049">
      <c r="A3049" s="2">
        <f>IFERROR(__xludf.DUMMYFUNCTION("""COMPUTED_VALUE"""),35786.666666666664)</f>
        <v>35786.66667</v>
      </c>
      <c r="B3049" s="1">
        <f>IFERROR(__xludf.DUMMYFUNCTION("""COMPUTED_VALUE"""),946.78)</f>
        <v>946.78</v>
      </c>
      <c r="C3049" s="1">
        <f>IFERROR(__xludf.DUMMYFUNCTION("""COMPUTED_VALUE"""),956.73)</f>
        <v>956.73</v>
      </c>
      <c r="D3049" s="1">
        <f>IFERROR(__xludf.DUMMYFUNCTION("""COMPUTED_VALUE"""),946.25)</f>
        <v>946.25</v>
      </c>
      <c r="E3049" s="1">
        <f>IFERROR(__xludf.DUMMYFUNCTION("""COMPUTED_VALUE"""),953.7)</f>
        <v>953.7</v>
      </c>
      <c r="F3049" s="1">
        <f>IFERROR(__xludf.DUMMYFUNCTION("""COMPUTED_VALUE"""),8.2917184E7)</f>
        <v>82917184</v>
      </c>
    </row>
    <row r="3050">
      <c r="A3050" s="2">
        <f>IFERROR(__xludf.DUMMYFUNCTION("""COMPUTED_VALUE"""),35787.666666666664)</f>
        <v>35787.66667</v>
      </c>
      <c r="B3050" s="1">
        <f>IFERROR(__xludf.DUMMYFUNCTION("""COMPUTED_VALUE"""),953.7)</f>
        <v>953.7</v>
      </c>
      <c r="C3050" s="1">
        <f>IFERROR(__xludf.DUMMYFUNCTION("""COMPUTED_VALUE"""),954.51)</f>
        <v>954.51</v>
      </c>
      <c r="D3050" s="1">
        <f>IFERROR(__xludf.DUMMYFUNCTION("""COMPUTED_VALUE"""),938.91)</f>
        <v>938.91</v>
      </c>
      <c r="E3050" s="1">
        <f>IFERROR(__xludf.DUMMYFUNCTION("""COMPUTED_VALUE"""),939.12)</f>
        <v>939.12</v>
      </c>
      <c r="F3050" s="1">
        <f>IFERROR(__xludf.DUMMYFUNCTION("""COMPUTED_VALUE"""),8.0479688E7)</f>
        <v>80479688</v>
      </c>
    </row>
    <row r="3051">
      <c r="A3051" s="2">
        <f>IFERROR(__xludf.DUMMYFUNCTION("""COMPUTED_VALUE"""),35788.666666666664)</f>
        <v>35788.66667</v>
      </c>
      <c r="B3051" s="1">
        <f>IFERROR(__xludf.DUMMYFUNCTION("""COMPUTED_VALUE"""),953.7)</f>
        <v>953.7</v>
      </c>
      <c r="C3051" s="1">
        <f>IFERROR(__xludf.DUMMYFUNCTION("""COMPUTED_VALUE"""),954.51)</f>
        <v>954.51</v>
      </c>
      <c r="D3051" s="1">
        <f>IFERROR(__xludf.DUMMYFUNCTION("""COMPUTED_VALUE"""),932.7)</f>
        <v>932.7</v>
      </c>
      <c r="E3051" s="1">
        <f>IFERROR(__xludf.DUMMYFUNCTION("""COMPUTED_VALUE"""),932.7)</f>
        <v>932.7</v>
      </c>
      <c r="F3051" s="1">
        <f>IFERROR(__xludf.DUMMYFUNCTION("""COMPUTED_VALUE"""),4.1559376E7)</f>
        <v>41559376</v>
      </c>
    </row>
    <row r="3052">
      <c r="A3052" s="2">
        <f>IFERROR(__xludf.DUMMYFUNCTION("""COMPUTED_VALUE"""),35790.666666666664)</f>
        <v>35790.66667</v>
      </c>
      <c r="B3052" s="1">
        <f>IFERROR(__xludf.DUMMYFUNCTION("""COMPUTED_VALUE"""),932.7)</f>
        <v>932.7</v>
      </c>
      <c r="C3052" s="1">
        <f>IFERROR(__xludf.DUMMYFUNCTION("""COMPUTED_VALUE"""),939.99)</f>
        <v>939.99</v>
      </c>
      <c r="D3052" s="1">
        <f>IFERROR(__xludf.DUMMYFUNCTION("""COMPUTED_VALUE"""),932.7)</f>
        <v>932.7</v>
      </c>
      <c r="E3052" s="1">
        <f>IFERROR(__xludf.DUMMYFUNCTION("""COMPUTED_VALUE"""),936.46)</f>
        <v>936.46</v>
      </c>
      <c r="F3052" s="1">
        <f>IFERROR(__xludf.DUMMYFUNCTION("""COMPUTED_VALUE"""),2.4203124E7)</f>
        <v>24203124</v>
      </c>
    </row>
    <row r="3053">
      <c r="A3053" s="2">
        <f>IFERROR(__xludf.DUMMYFUNCTION("""COMPUTED_VALUE"""),35793.666666666664)</f>
        <v>35793.66667</v>
      </c>
      <c r="B3053" s="1">
        <f>IFERROR(__xludf.DUMMYFUNCTION("""COMPUTED_VALUE"""),936.46)</f>
        <v>936.46</v>
      </c>
      <c r="C3053" s="1">
        <f>IFERROR(__xludf.DUMMYFUNCTION("""COMPUTED_VALUE"""),953.95)</f>
        <v>953.95</v>
      </c>
      <c r="D3053" s="1">
        <f>IFERROR(__xludf.DUMMYFUNCTION("""COMPUTED_VALUE"""),936.46)</f>
        <v>936.46</v>
      </c>
      <c r="E3053" s="1">
        <f>IFERROR(__xludf.DUMMYFUNCTION("""COMPUTED_VALUE"""),953.35)</f>
        <v>953.35</v>
      </c>
      <c r="F3053" s="1">
        <f>IFERROR(__xludf.DUMMYFUNCTION("""COMPUTED_VALUE"""),6.9243752E7)</f>
        <v>69243752</v>
      </c>
    </row>
    <row r="3054">
      <c r="A3054" s="2">
        <f>IFERROR(__xludf.DUMMYFUNCTION("""COMPUTED_VALUE"""),35794.666666666664)</f>
        <v>35794.66667</v>
      </c>
      <c r="B3054" s="1">
        <f>IFERROR(__xludf.DUMMYFUNCTION("""COMPUTED_VALUE"""),953.35)</f>
        <v>953.35</v>
      </c>
      <c r="C3054" s="1">
        <f>IFERROR(__xludf.DUMMYFUNCTION("""COMPUTED_VALUE"""),970.84)</f>
        <v>970.84</v>
      </c>
      <c r="D3054" s="1">
        <f>IFERROR(__xludf.DUMMYFUNCTION("""COMPUTED_VALUE"""),953.35)</f>
        <v>953.35</v>
      </c>
      <c r="E3054" s="1">
        <f>IFERROR(__xludf.DUMMYFUNCTION("""COMPUTED_VALUE"""),970.84)</f>
        <v>970.84</v>
      </c>
      <c r="F3054" s="1">
        <f>IFERROR(__xludf.DUMMYFUNCTION("""COMPUTED_VALUE"""),7.8046872E7)</f>
        <v>78046872</v>
      </c>
    </row>
    <row r="3055">
      <c r="A3055" s="2">
        <f>IFERROR(__xludf.DUMMYFUNCTION("""COMPUTED_VALUE"""),35795.666666666664)</f>
        <v>35795.66667</v>
      </c>
      <c r="B3055" s="1">
        <f>IFERROR(__xludf.DUMMYFUNCTION("""COMPUTED_VALUE"""),970.84)</f>
        <v>970.84</v>
      </c>
      <c r="C3055" s="1">
        <f>IFERROR(__xludf.DUMMYFUNCTION("""COMPUTED_VALUE"""),975.02)</f>
        <v>975.02</v>
      </c>
      <c r="D3055" s="1">
        <f>IFERROR(__xludf.DUMMYFUNCTION("""COMPUTED_VALUE"""),967.41)</f>
        <v>967.41</v>
      </c>
      <c r="E3055" s="1">
        <f>IFERROR(__xludf.DUMMYFUNCTION("""COMPUTED_VALUE"""),970.43)</f>
        <v>970.43</v>
      </c>
      <c r="F3055" s="1">
        <f>IFERROR(__xludf.DUMMYFUNCTION("""COMPUTED_VALUE"""),7.3012496E7)</f>
        <v>73012496</v>
      </c>
    </row>
    <row r="3056">
      <c r="A3056" s="2">
        <f>IFERROR(__xludf.DUMMYFUNCTION("""COMPUTED_VALUE"""),35797.666666666664)</f>
        <v>35797.66667</v>
      </c>
      <c r="B3056" s="1">
        <f>IFERROR(__xludf.DUMMYFUNCTION("""COMPUTED_VALUE"""),970.43)</f>
        <v>970.43</v>
      </c>
      <c r="C3056" s="1">
        <f>IFERROR(__xludf.DUMMYFUNCTION("""COMPUTED_VALUE"""),975.04)</f>
        <v>975.04</v>
      </c>
      <c r="D3056" s="1">
        <f>IFERROR(__xludf.DUMMYFUNCTION("""COMPUTED_VALUE"""),965.73)</f>
        <v>965.73</v>
      </c>
      <c r="E3056" s="1">
        <f>IFERROR(__xludf.DUMMYFUNCTION("""COMPUTED_VALUE"""),975.0)</f>
        <v>975</v>
      </c>
      <c r="F3056" s="1">
        <f>IFERROR(__xludf.DUMMYFUNCTION("""COMPUTED_VALUE"""),5.7301564E7)</f>
        <v>57301564</v>
      </c>
    </row>
    <row r="3057">
      <c r="A3057" s="2">
        <f>IFERROR(__xludf.DUMMYFUNCTION("""COMPUTED_VALUE"""),35800.666666666664)</f>
        <v>35800.66667</v>
      </c>
      <c r="B3057" s="1">
        <f>IFERROR(__xludf.DUMMYFUNCTION("""COMPUTED_VALUE"""),975.04)</f>
        <v>975.04</v>
      </c>
      <c r="C3057" s="1">
        <f>IFERROR(__xludf.DUMMYFUNCTION("""COMPUTED_VALUE"""),982.63)</f>
        <v>982.63</v>
      </c>
      <c r="D3057" s="1">
        <f>IFERROR(__xludf.DUMMYFUNCTION("""COMPUTED_VALUE"""),969.0)</f>
        <v>969</v>
      </c>
      <c r="E3057" s="1">
        <f>IFERROR(__xludf.DUMMYFUNCTION("""COMPUTED_VALUE"""),977.07)</f>
        <v>977.07</v>
      </c>
      <c r="F3057" s="1">
        <f>IFERROR(__xludf.DUMMYFUNCTION("""COMPUTED_VALUE"""),9.8135936E7)</f>
        <v>98135936</v>
      </c>
    </row>
    <row r="3058">
      <c r="A3058" s="2">
        <f>IFERROR(__xludf.DUMMYFUNCTION("""COMPUTED_VALUE"""),35801.666666666664)</f>
        <v>35801.66667</v>
      </c>
      <c r="B3058" s="1">
        <f>IFERROR(__xludf.DUMMYFUNCTION("""COMPUTED_VALUE"""),977.07)</f>
        <v>977.07</v>
      </c>
      <c r="C3058" s="1">
        <f>IFERROR(__xludf.DUMMYFUNCTION("""COMPUTED_VALUE"""),977.07)</f>
        <v>977.07</v>
      </c>
      <c r="D3058" s="1">
        <f>IFERROR(__xludf.DUMMYFUNCTION("""COMPUTED_VALUE"""),962.68)</f>
        <v>962.68</v>
      </c>
      <c r="E3058" s="1">
        <f>IFERROR(__xludf.DUMMYFUNCTION("""COMPUTED_VALUE"""),966.58)</f>
        <v>966.58</v>
      </c>
      <c r="F3058" s="1">
        <f>IFERROR(__xludf.DUMMYFUNCTION("""COMPUTED_VALUE"""),9.6618752E7)</f>
        <v>96618752</v>
      </c>
    </row>
    <row r="3059">
      <c r="A3059" s="2">
        <f>IFERROR(__xludf.DUMMYFUNCTION("""COMPUTED_VALUE"""),35802.666666666664)</f>
        <v>35802.66667</v>
      </c>
      <c r="B3059" s="1">
        <f>IFERROR(__xludf.DUMMYFUNCTION("""COMPUTED_VALUE"""),966.58)</f>
        <v>966.58</v>
      </c>
      <c r="C3059" s="1">
        <f>IFERROR(__xludf.DUMMYFUNCTION("""COMPUTED_VALUE"""),966.58)</f>
        <v>966.58</v>
      </c>
      <c r="D3059" s="1">
        <f>IFERROR(__xludf.DUMMYFUNCTION("""COMPUTED_VALUE"""),952.67)</f>
        <v>952.67</v>
      </c>
      <c r="E3059" s="1">
        <f>IFERROR(__xludf.DUMMYFUNCTION("""COMPUTED_VALUE"""),964.0)</f>
        <v>964</v>
      </c>
      <c r="F3059" s="1">
        <f>IFERROR(__xludf.DUMMYFUNCTION("""COMPUTED_VALUE"""),1.04279688E8)</f>
        <v>104279688</v>
      </c>
    </row>
    <row r="3060">
      <c r="A3060" s="2">
        <f>IFERROR(__xludf.DUMMYFUNCTION("""COMPUTED_VALUE"""),35803.666666666664)</f>
        <v>35803.66667</v>
      </c>
      <c r="B3060" s="1">
        <f>IFERROR(__xludf.DUMMYFUNCTION("""COMPUTED_VALUE"""),964.0)</f>
        <v>964</v>
      </c>
      <c r="C3060" s="1">
        <f>IFERROR(__xludf.DUMMYFUNCTION("""COMPUTED_VALUE"""),964.0)</f>
        <v>964</v>
      </c>
      <c r="D3060" s="1">
        <f>IFERROR(__xludf.DUMMYFUNCTION("""COMPUTED_VALUE"""),955.04)</f>
        <v>955.04</v>
      </c>
      <c r="E3060" s="1">
        <f>IFERROR(__xludf.DUMMYFUNCTION("""COMPUTED_VALUE"""),956.04)</f>
        <v>956.04</v>
      </c>
      <c r="F3060" s="1">
        <f>IFERROR(__xludf.DUMMYFUNCTION("""COMPUTED_VALUE"""),1.01896872E8)</f>
        <v>101896872</v>
      </c>
    </row>
    <row r="3061">
      <c r="A3061" s="2">
        <f>IFERROR(__xludf.DUMMYFUNCTION("""COMPUTED_VALUE"""),35804.666666666664)</f>
        <v>35804.66667</v>
      </c>
      <c r="B3061" s="1">
        <f>IFERROR(__xludf.DUMMYFUNCTION("""COMPUTED_VALUE"""),964.0)</f>
        <v>964</v>
      </c>
      <c r="C3061" s="1">
        <f>IFERROR(__xludf.DUMMYFUNCTION("""COMPUTED_VALUE"""),964.0)</f>
        <v>964</v>
      </c>
      <c r="D3061" s="1">
        <f>IFERROR(__xludf.DUMMYFUNCTION("""COMPUTED_VALUE"""),921.72)</f>
        <v>921.72</v>
      </c>
      <c r="E3061" s="1">
        <f>IFERROR(__xludf.DUMMYFUNCTION("""COMPUTED_VALUE"""),927.69)</f>
        <v>927.69</v>
      </c>
      <c r="F3061" s="1">
        <f>IFERROR(__xludf.DUMMYFUNCTION("""COMPUTED_VALUE"""),1.16628128E8)</f>
        <v>116628128</v>
      </c>
    </row>
    <row r="3062">
      <c r="A3062" s="2">
        <f>IFERROR(__xludf.DUMMYFUNCTION("""COMPUTED_VALUE"""),35807.666666666664)</f>
        <v>35807.66667</v>
      </c>
      <c r="B3062" s="1">
        <f>IFERROR(__xludf.DUMMYFUNCTION("""COMPUTED_VALUE"""),927.69)</f>
        <v>927.69</v>
      </c>
      <c r="C3062" s="1">
        <f>IFERROR(__xludf.DUMMYFUNCTION("""COMPUTED_VALUE"""),939.25)</f>
        <v>939.25</v>
      </c>
      <c r="D3062" s="1">
        <f>IFERROR(__xludf.DUMMYFUNCTION("""COMPUTED_VALUE"""),912.83)</f>
        <v>912.83</v>
      </c>
      <c r="E3062" s="1">
        <f>IFERROR(__xludf.DUMMYFUNCTION("""COMPUTED_VALUE"""),939.21)</f>
        <v>939.21</v>
      </c>
      <c r="F3062" s="1">
        <f>IFERROR(__xludf.DUMMYFUNCTION("""COMPUTED_VALUE"""),1.1022656E8)</f>
        <v>110226560</v>
      </c>
    </row>
    <row r="3063">
      <c r="A3063" s="2">
        <f>IFERROR(__xludf.DUMMYFUNCTION("""COMPUTED_VALUE"""),35808.666666666664)</f>
        <v>35808.66667</v>
      </c>
      <c r="B3063" s="1">
        <f>IFERROR(__xludf.DUMMYFUNCTION("""COMPUTED_VALUE"""),939.21)</f>
        <v>939.21</v>
      </c>
      <c r="C3063" s="1">
        <f>IFERROR(__xludf.DUMMYFUNCTION("""COMPUTED_VALUE"""),952.14)</f>
        <v>952.14</v>
      </c>
      <c r="D3063" s="1">
        <f>IFERROR(__xludf.DUMMYFUNCTION("""COMPUTED_VALUE"""),939.21)</f>
        <v>939.21</v>
      </c>
      <c r="E3063" s="1">
        <f>IFERROR(__xludf.DUMMYFUNCTION("""COMPUTED_VALUE"""),952.13)</f>
        <v>952.13</v>
      </c>
      <c r="F3063" s="1">
        <f>IFERROR(__xludf.DUMMYFUNCTION("""COMPUTED_VALUE"""),1.01053128E8)</f>
        <v>101053128</v>
      </c>
    </row>
    <row r="3064">
      <c r="A3064" s="2">
        <f>IFERROR(__xludf.DUMMYFUNCTION("""COMPUTED_VALUE"""),35809.666666666664)</f>
        <v>35809.66667</v>
      </c>
      <c r="B3064" s="1">
        <f>IFERROR(__xludf.DUMMYFUNCTION("""COMPUTED_VALUE"""),952.12)</f>
        <v>952.12</v>
      </c>
      <c r="C3064" s="1">
        <f>IFERROR(__xludf.DUMMYFUNCTION("""COMPUTED_VALUE"""),958.12)</f>
        <v>958.12</v>
      </c>
      <c r="D3064" s="1">
        <f>IFERROR(__xludf.DUMMYFUNCTION("""COMPUTED_VALUE"""),948.0)</f>
        <v>948</v>
      </c>
      <c r="E3064" s="1">
        <f>IFERROR(__xludf.DUMMYFUNCTION("""COMPUTED_VALUE"""),957.94)</f>
        <v>957.94</v>
      </c>
      <c r="F3064" s="1">
        <f>IFERROR(__xludf.DUMMYFUNCTION("""COMPUTED_VALUE"""),9.4262496E7)</f>
        <v>94262496</v>
      </c>
    </row>
    <row r="3065">
      <c r="A3065" s="2">
        <f>IFERROR(__xludf.DUMMYFUNCTION("""COMPUTED_VALUE"""),35810.666666666664)</f>
        <v>35810.66667</v>
      </c>
      <c r="B3065" s="1">
        <f>IFERROR(__xludf.DUMMYFUNCTION("""COMPUTED_VALUE"""),957.94)</f>
        <v>957.94</v>
      </c>
      <c r="C3065" s="1">
        <f>IFERROR(__xludf.DUMMYFUNCTION("""COMPUTED_VALUE"""),957.94)</f>
        <v>957.94</v>
      </c>
      <c r="D3065" s="1">
        <f>IFERROR(__xludf.DUMMYFUNCTION("""COMPUTED_VALUE"""),950.27)</f>
        <v>950.27</v>
      </c>
      <c r="E3065" s="1">
        <f>IFERROR(__xludf.DUMMYFUNCTION("""COMPUTED_VALUE"""),950.74)</f>
        <v>950.74</v>
      </c>
      <c r="F3065" s="1">
        <f>IFERROR(__xludf.DUMMYFUNCTION("""COMPUTED_VALUE"""),8.8914064E7)</f>
        <v>88914064</v>
      </c>
    </row>
    <row r="3066">
      <c r="A3066" s="2">
        <f>IFERROR(__xludf.DUMMYFUNCTION("""COMPUTED_VALUE"""),35811.666666666664)</f>
        <v>35811.66667</v>
      </c>
      <c r="B3066" s="1">
        <f>IFERROR(__xludf.DUMMYFUNCTION("""COMPUTED_VALUE"""),950.73)</f>
        <v>950.73</v>
      </c>
      <c r="C3066" s="1">
        <f>IFERROR(__xludf.DUMMYFUNCTION("""COMPUTED_VALUE"""),965.12)</f>
        <v>965.12</v>
      </c>
      <c r="D3066" s="1">
        <f>IFERROR(__xludf.DUMMYFUNCTION("""COMPUTED_VALUE"""),950.73)</f>
        <v>950.73</v>
      </c>
      <c r="E3066" s="1">
        <f>IFERROR(__xludf.DUMMYFUNCTION("""COMPUTED_VALUE"""),961.51)</f>
        <v>961.51</v>
      </c>
      <c r="F3066" s="1">
        <f>IFERROR(__xludf.DUMMYFUNCTION("""COMPUTED_VALUE"""),1.047E8)</f>
        <v>104700000</v>
      </c>
    </row>
    <row r="3067">
      <c r="A3067" s="2">
        <f>IFERROR(__xludf.DUMMYFUNCTION("""COMPUTED_VALUE"""),35815.666666666664)</f>
        <v>35815.66667</v>
      </c>
      <c r="B3067" s="1">
        <f>IFERROR(__xludf.DUMMYFUNCTION("""COMPUTED_VALUE"""),961.51)</f>
        <v>961.51</v>
      </c>
      <c r="C3067" s="1">
        <f>IFERROR(__xludf.DUMMYFUNCTION("""COMPUTED_VALUE"""),978.6)</f>
        <v>978.6</v>
      </c>
      <c r="D3067" s="1">
        <f>IFERROR(__xludf.DUMMYFUNCTION("""COMPUTED_VALUE"""),961.48)</f>
        <v>961.48</v>
      </c>
      <c r="E3067" s="1">
        <f>IFERROR(__xludf.DUMMYFUNCTION("""COMPUTED_VALUE"""),978.6)</f>
        <v>978.6</v>
      </c>
      <c r="F3067" s="1">
        <f>IFERROR(__xludf.DUMMYFUNCTION("""COMPUTED_VALUE"""),1.0074844E8)</f>
        <v>100748440</v>
      </c>
    </row>
    <row r="3068">
      <c r="A3068" s="2">
        <f>IFERROR(__xludf.DUMMYFUNCTION("""COMPUTED_VALUE"""),35816.666666666664)</f>
        <v>35816.66667</v>
      </c>
      <c r="B3068" s="1">
        <f>IFERROR(__xludf.DUMMYFUNCTION("""COMPUTED_VALUE"""),978.6)</f>
        <v>978.6</v>
      </c>
      <c r="C3068" s="1">
        <f>IFERROR(__xludf.DUMMYFUNCTION("""COMPUTED_VALUE"""),978.6)</f>
        <v>978.6</v>
      </c>
      <c r="D3068" s="1">
        <f>IFERROR(__xludf.DUMMYFUNCTION("""COMPUTED_VALUE"""),963.29)</f>
        <v>963.29</v>
      </c>
      <c r="E3068" s="1">
        <f>IFERROR(__xludf.DUMMYFUNCTION("""COMPUTED_VALUE"""),970.78)</f>
        <v>970.78</v>
      </c>
      <c r="F3068" s="1">
        <f>IFERROR(__xludf.DUMMYFUNCTION("""COMPUTED_VALUE"""),9.7837504E7)</f>
        <v>97837504</v>
      </c>
    </row>
    <row r="3069">
      <c r="A3069" s="2">
        <f>IFERROR(__xludf.DUMMYFUNCTION("""COMPUTED_VALUE"""),35817.666666666664)</f>
        <v>35817.66667</v>
      </c>
      <c r="B3069" s="1">
        <f>IFERROR(__xludf.DUMMYFUNCTION("""COMPUTED_VALUE"""),970.81)</f>
        <v>970.81</v>
      </c>
      <c r="C3069" s="1">
        <f>IFERROR(__xludf.DUMMYFUNCTION("""COMPUTED_VALUE"""),970.81)</f>
        <v>970.81</v>
      </c>
      <c r="D3069" s="1">
        <f>IFERROR(__xludf.DUMMYFUNCTION("""COMPUTED_VALUE"""),959.49)</f>
        <v>959.49</v>
      </c>
      <c r="E3069" s="1">
        <f>IFERROR(__xludf.DUMMYFUNCTION("""COMPUTED_VALUE"""),963.04)</f>
        <v>963.04</v>
      </c>
      <c r="F3069" s="1">
        <f>IFERROR(__xludf.DUMMYFUNCTION("""COMPUTED_VALUE"""),1.0102656E8)</f>
        <v>101026560</v>
      </c>
    </row>
    <row r="3070">
      <c r="A3070" s="2">
        <f>IFERROR(__xludf.DUMMYFUNCTION("""COMPUTED_VALUE"""),35818.666666666664)</f>
        <v>35818.66667</v>
      </c>
      <c r="B3070" s="1">
        <f>IFERROR(__xludf.DUMMYFUNCTION("""COMPUTED_VALUE"""),963.04)</f>
        <v>963.04</v>
      </c>
      <c r="C3070" s="1">
        <f>IFERROR(__xludf.DUMMYFUNCTION("""COMPUTED_VALUE"""),966.44)</f>
        <v>966.44</v>
      </c>
      <c r="D3070" s="1">
        <f>IFERROR(__xludf.DUMMYFUNCTION("""COMPUTED_VALUE"""),950.86)</f>
        <v>950.86</v>
      </c>
      <c r="E3070" s="1">
        <f>IFERROR(__xludf.DUMMYFUNCTION("""COMPUTED_VALUE"""),957.59)</f>
        <v>957.59</v>
      </c>
      <c r="F3070" s="1">
        <f>IFERROR(__xludf.DUMMYFUNCTION("""COMPUTED_VALUE"""),9.9339064E7)</f>
        <v>99339064</v>
      </c>
    </row>
    <row r="3071">
      <c r="A3071" s="2">
        <f>IFERROR(__xludf.DUMMYFUNCTION("""COMPUTED_VALUE"""),35821.666666666664)</f>
        <v>35821.66667</v>
      </c>
      <c r="B3071" s="1">
        <f>IFERROR(__xludf.DUMMYFUNCTION("""COMPUTED_VALUE"""),957.59)</f>
        <v>957.59</v>
      </c>
      <c r="C3071" s="1">
        <f>IFERROR(__xludf.DUMMYFUNCTION("""COMPUTED_VALUE"""),963.04)</f>
        <v>963.04</v>
      </c>
      <c r="D3071" s="1">
        <f>IFERROR(__xludf.DUMMYFUNCTION("""COMPUTED_VALUE"""),954.24)</f>
        <v>954.24</v>
      </c>
      <c r="E3071" s="1">
        <f>IFERROR(__xludf.DUMMYFUNCTION("""COMPUTED_VALUE"""),956.95)</f>
        <v>956.95</v>
      </c>
      <c r="F3071" s="1">
        <f>IFERROR(__xludf.DUMMYFUNCTION("""COMPUTED_VALUE"""),8.6731248E7)</f>
        <v>86731248</v>
      </c>
    </row>
    <row r="3072">
      <c r="A3072" s="2">
        <f>IFERROR(__xludf.DUMMYFUNCTION("""COMPUTED_VALUE"""),35822.666666666664)</f>
        <v>35822.66667</v>
      </c>
      <c r="B3072" s="1">
        <f>IFERROR(__xludf.DUMMYFUNCTION("""COMPUTED_VALUE"""),956.95)</f>
        <v>956.95</v>
      </c>
      <c r="C3072" s="1">
        <f>IFERROR(__xludf.DUMMYFUNCTION("""COMPUTED_VALUE"""),973.22)</f>
        <v>973.22</v>
      </c>
      <c r="D3072" s="1">
        <f>IFERROR(__xludf.DUMMYFUNCTION("""COMPUTED_VALUE"""),956.26)</f>
        <v>956.26</v>
      </c>
      <c r="E3072" s="1">
        <f>IFERROR(__xludf.DUMMYFUNCTION("""COMPUTED_VALUE"""),969.02)</f>
        <v>969.02</v>
      </c>
      <c r="F3072" s="1">
        <f>IFERROR(__xludf.DUMMYFUNCTION("""COMPUTED_VALUE"""),1.06115624E8)</f>
        <v>106115624</v>
      </c>
    </row>
    <row r="3073">
      <c r="A3073" s="2">
        <f>IFERROR(__xludf.DUMMYFUNCTION("""COMPUTED_VALUE"""),35823.666666666664)</f>
        <v>35823.66667</v>
      </c>
      <c r="B3073" s="1">
        <f>IFERROR(__xludf.DUMMYFUNCTION("""COMPUTED_VALUE"""),969.02)</f>
        <v>969.02</v>
      </c>
      <c r="C3073" s="1">
        <f>IFERROR(__xludf.DUMMYFUNCTION("""COMPUTED_VALUE"""),978.63)</f>
        <v>978.63</v>
      </c>
      <c r="D3073" s="1">
        <f>IFERROR(__xludf.DUMMYFUNCTION("""COMPUTED_VALUE"""),969.02)</f>
        <v>969.02</v>
      </c>
      <c r="E3073" s="1">
        <f>IFERROR(__xludf.DUMMYFUNCTION("""COMPUTED_VALUE"""),977.46)</f>
        <v>977.46</v>
      </c>
      <c r="F3073" s="1">
        <f>IFERROR(__xludf.DUMMYFUNCTION("""COMPUTED_VALUE"""),1.1069844E8)</f>
        <v>110698440</v>
      </c>
    </row>
    <row r="3074">
      <c r="A3074" s="2">
        <f>IFERROR(__xludf.DUMMYFUNCTION("""COMPUTED_VALUE"""),35824.666666666664)</f>
        <v>35824.66667</v>
      </c>
      <c r="B3074" s="1">
        <f>IFERROR(__xludf.DUMMYFUNCTION("""COMPUTED_VALUE"""),977.46)</f>
        <v>977.46</v>
      </c>
      <c r="C3074" s="1">
        <f>IFERROR(__xludf.DUMMYFUNCTION("""COMPUTED_VALUE"""),992.65)</f>
        <v>992.65</v>
      </c>
      <c r="D3074" s="1">
        <f>IFERROR(__xludf.DUMMYFUNCTION("""COMPUTED_VALUE"""),975.21)</f>
        <v>975.21</v>
      </c>
      <c r="E3074" s="1">
        <f>IFERROR(__xludf.DUMMYFUNCTION("""COMPUTED_VALUE"""),985.49)</f>
        <v>985.49</v>
      </c>
      <c r="F3074" s="1">
        <f>IFERROR(__xludf.DUMMYFUNCTION("""COMPUTED_VALUE"""),1.17306248E8)</f>
        <v>117306248</v>
      </c>
    </row>
    <row r="3075">
      <c r="A3075" s="2">
        <f>IFERROR(__xludf.DUMMYFUNCTION("""COMPUTED_VALUE"""),35825.666666666664)</f>
        <v>35825.66667</v>
      </c>
      <c r="B3075" s="1">
        <f>IFERROR(__xludf.DUMMYFUNCTION("""COMPUTED_VALUE"""),985.49)</f>
        <v>985.49</v>
      </c>
      <c r="C3075" s="1">
        <f>IFERROR(__xludf.DUMMYFUNCTION("""COMPUTED_VALUE"""),987.41)</f>
        <v>987.41</v>
      </c>
      <c r="D3075" s="1">
        <f>IFERROR(__xludf.DUMMYFUNCTION("""COMPUTED_VALUE"""),979.63)</f>
        <v>979.63</v>
      </c>
      <c r="E3075" s="1">
        <f>IFERROR(__xludf.DUMMYFUNCTION("""COMPUTED_VALUE"""),980.28)</f>
        <v>980.28</v>
      </c>
      <c r="F3075" s="1">
        <f>IFERROR(__xludf.DUMMYFUNCTION("""COMPUTED_VALUE"""),9.5840624E7)</f>
        <v>95840624</v>
      </c>
    </row>
    <row r="3076">
      <c r="A3076" s="2">
        <f>IFERROR(__xludf.DUMMYFUNCTION("""COMPUTED_VALUE"""),35828.666666666664)</f>
        <v>35828.66667</v>
      </c>
      <c r="B3076" s="1">
        <f>IFERROR(__xludf.DUMMYFUNCTION("""COMPUTED_VALUE"""),980.28)</f>
        <v>980.28</v>
      </c>
      <c r="C3076" s="1">
        <f>IFERROR(__xludf.DUMMYFUNCTION("""COMPUTED_VALUE"""),1002.48)</f>
        <v>1002.48</v>
      </c>
      <c r="D3076" s="1">
        <f>IFERROR(__xludf.DUMMYFUNCTION("""COMPUTED_VALUE"""),980.28)</f>
        <v>980.28</v>
      </c>
      <c r="E3076" s="1">
        <f>IFERROR(__xludf.DUMMYFUNCTION("""COMPUTED_VALUE"""),1001.27)</f>
        <v>1001.27</v>
      </c>
      <c r="F3076" s="1">
        <f>IFERROR(__xludf.DUMMYFUNCTION("""COMPUTED_VALUE"""),1.13175E8)</f>
        <v>113175000</v>
      </c>
    </row>
    <row r="3077">
      <c r="A3077" s="2">
        <f>IFERROR(__xludf.DUMMYFUNCTION("""COMPUTED_VALUE"""),35829.666666666664)</f>
        <v>35829.66667</v>
      </c>
      <c r="B3077" s="1">
        <f>IFERROR(__xludf.DUMMYFUNCTION("""COMPUTED_VALUE"""),1001.27)</f>
        <v>1001.27</v>
      </c>
      <c r="C3077" s="1">
        <f>IFERROR(__xludf.DUMMYFUNCTION("""COMPUTED_VALUE"""),1006.13)</f>
        <v>1006.13</v>
      </c>
      <c r="D3077" s="1">
        <f>IFERROR(__xludf.DUMMYFUNCTION("""COMPUTED_VALUE"""),996.9)</f>
        <v>996.9</v>
      </c>
      <c r="E3077" s="1">
        <f>IFERROR(__xludf.DUMMYFUNCTION("""COMPUTED_VALUE"""),1006.0)</f>
        <v>1006</v>
      </c>
      <c r="F3077" s="1">
        <f>IFERROR(__xludf.DUMMYFUNCTION("""COMPUTED_VALUE"""),1.08143752E8)</f>
        <v>108143752</v>
      </c>
    </row>
    <row r="3078">
      <c r="A3078" s="2">
        <f>IFERROR(__xludf.DUMMYFUNCTION("""COMPUTED_VALUE"""),35830.666666666664)</f>
        <v>35830.66667</v>
      </c>
      <c r="B3078" s="1">
        <f>IFERROR(__xludf.DUMMYFUNCTION("""COMPUTED_VALUE"""),1006.0)</f>
        <v>1006</v>
      </c>
      <c r="C3078" s="1">
        <f>IFERROR(__xludf.DUMMYFUNCTION("""COMPUTED_VALUE"""),1009.52)</f>
        <v>1009.52</v>
      </c>
      <c r="D3078" s="1">
        <f>IFERROR(__xludf.DUMMYFUNCTION("""COMPUTED_VALUE"""),999.43)</f>
        <v>999.43</v>
      </c>
      <c r="E3078" s="1">
        <f>IFERROR(__xludf.DUMMYFUNCTION("""COMPUTED_VALUE"""),1006.9)</f>
        <v>1006.9</v>
      </c>
      <c r="F3078" s="1">
        <f>IFERROR(__xludf.DUMMYFUNCTION("""COMPUTED_VALUE"""),1.08659376E8)</f>
        <v>108659376</v>
      </c>
    </row>
    <row r="3079">
      <c r="A3079" s="2">
        <f>IFERROR(__xludf.DUMMYFUNCTION("""COMPUTED_VALUE"""),35831.666666666664)</f>
        <v>35831.66667</v>
      </c>
      <c r="B3079" s="1">
        <f>IFERROR(__xludf.DUMMYFUNCTION("""COMPUTED_VALUE"""),1006.9)</f>
        <v>1006.9</v>
      </c>
      <c r="C3079" s="1">
        <f>IFERROR(__xludf.DUMMYFUNCTION("""COMPUTED_VALUE"""),1013.51)</f>
        <v>1013.51</v>
      </c>
      <c r="D3079" s="1">
        <f>IFERROR(__xludf.DUMMYFUNCTION("""COMPUTED_VALUE"""),1000.27)</f>
        <v>1000.27</v>
      </c>
      <c r="E3079" s="1">
        <f>IFERROR(__xludf.DUMMYFUNCTION("""COMPUTED_VALUE"""),1003.54)</f>
        <v>1003.54</v>
      </c>
      <c r="F3079" s="1">
        <f>IFERROR(__xludf.DUMMYFUNCTION("""COMPUTED_VALUE"""),1.09996872E8)</f>
        <v>109996872</v>
      </c>
    </row>
    <row r="3080">
      <c r="A3080" s="2">
        <f>IFERROR(__xludf.DUMMYFUNCTION("""COMPUTED_VALUE"""),35832.666666666664)</f>
        <v>35832.66667</v>
      </c>
      <c r="B3080" s="1">
        <f>IFERROR(__xludf.DUMMYFUNCTION("""COMPUTED_VALUE"""),1003.54)</f>
        <v>1003.54</v>
      </c>
      <c r="C3080" s="1">
        <f>IFERROR(__xludf.DUMMYFUNCTION("""COMPUTED_VALUE"""),1013.07)</f>
        <v>1013.07</v>
      </c>
      <c r="D3080" s="1">
        <f>IFERROR(__xludf.DUMMYFUNCTION("""COMPUTED_VALUE"""),1003.36)</f>
        <v>1003.36</v>
      </c>
      <c r="E3080" s="1">
        <f>IFERROR(__xludf.DUMMYFUNCTION("""COMPUTED_VALUE"""),1012.45)</f>
        <v>1012.45</v>
      </c>
      <c r="F3080" s="1">
        <f>IFERROR(__xludf.DUMMYFUNCTION("""COMPUTED_VALUE"""),8.9007816E7)</f>
        <v>89007816</v>
      </c>
    </row>
    <row r="3081">
      <c r="A3081" s="2">
        <f>IFERROR(__xludf.DUMMYFUNCTION("""COMPUTED_VALUE"""),35835.666666666664)</f>
        <v>35835.66667</v>
      </c>
      <c r="B3081" s="1">
        <f>IFERROR(__xludf.DUMMYFUNCTION("""COMPUTED_VALUE"""),1012.46)</f>
        <v>1012.46</v>
      </c>
      <c r="C3081" s="1">
        <f>IFERROR(__xludf.DUMMYFUNCTION("""COMPUTED_VALUE"""),1015.33)</f>
        <v>1015.33</v>
      </c>
      <c r="D3081" s="1">
        <f>IFERROR(__xludf.DUMMYFUNCTION("""COMPUTED_VALUE"""),1006.28)</f>
        <v>1006.28</v>
      </c>
      <c r="E3081" s="1">
        <f>IFERROR(__xludf.DUMMYFUNCTION("""COMPUTED_VALUE"""),1010.74)</f>
        <v>1010.74</v>
      </c>
      <c r="F3081" s="1">
        <f>IFERROR(__xludf.DUMMYFUNCTION("""COMPUTED_VALUE"""),8.200156E7)</f>
        <v>82001560</v>
      </c>
    </row>
    <row r="3082">
      <c r="A3082" s="2">
        <f>IFERROR(__xludf.DUMMYFUNCTION("""COMPUTED_VALUE"""),35836.666666666664)</f>
        <v>35836.66667</v>
      </c>
      <c r="B3082" s="1">
        <f>IFERROR(__xludf.DUMMYFUNCTION("""COMPUTED_VALUE"""),1010.74)</f>
        <v>1010.74</v>
      </c>
      <c r="C3082" s="1">
        <f>IFERROR(__xludf.DUMMYFUNCTION("""COMPUTED_VALUE"""),1022.15)</f>
        <v>1022.15</v>
      </c>
      <c r="D3082" s="1">
        <f>IFERROR(__xludf.DUMMYFUNCTION("""COMPUTED_VALUE"""),1010.71)</f>
        <v>1010.71</v>
      </c>
      <c r="E3082" s="1">
        <f>IFERROR(__xludf.DUMMYFUNCTION("""COMPUTED_VALUE"""),1019.01)</f>
        <v>1019.01</v>
      </c>
      <c r="F3082" s="1">
        <f>IFERROR(__xludf.DUMMYFUNCTION("""COMPUTED_VALUE"""),1.00437504E8)</f>
        <v>100437504</v>
      </c>
    </row>
    <row r="3083">
      <c r="A3083" s="2">
        <f>IFERROR(__xludf.DUMMYFUNCTION("""COMPUTED_VALUE"""),35837.666666666664)</f>
        <v>35837.66667</v>
      </c>
      <c r="B3083" s="1">
        <f>IFERROR(__xludf.DUMMYFUNCTION("""COMPUTED_VALUE"""),1019.01)</f>
        <v>1019.01</v>
      </c>
      <c r="C3083" s="1">
        <f>IFERROR(__xludf.DUMMYFUNCTION("""COMPUTED_VALUE"""),1020.71)</f>
        <v>1020.71</v>
      </c>
      <c r="D3083" s="1">
        <f>IFERROR(__xludf.DUMMYFUNCTION("""COMPUTED_VALUE"""),1016.38)</f>
        <v>1016.38</v>
      </c>
      <c r="E3083" s="1">
        <f>IFERROR(__xludf.DUMMYFUNCTION("""COMPUTED_VALUE"""),1020.01)</f>
        <v>1020.01</v>
      </c>
      <c r="F3083" s="1">
        <f>IFERROR(__xludf.DUMMYFUNCTION("""COMPUTED_VALUE"""),9.3640624E7)</f>
        <v>93640624</v>
      </c>
    </row>
    <row r="3084">
      <c r="A3084" s="2">
        <f>IFERROR(__xludf.DUMMYFUNCTION("""COMPUTED_VALUE"""),35838.666666666664)</f>
        <v>35838.66667</v>
      </c>
      <c r="B3084" s="1">
        <f>IFERROR(__xludf.DUMMYFUNCTION("""COMPUTED_VALUE"""),1020.01)</f>
        <v>1020.01</v>
      </c>
      <c r="C3084" s="1">
        <f>IFERROR(__xludf.DUMMYFUNCTION("""COMPUTED_VALUE"""),1026.3)</f>
        <v>1026.3</v>
      </c>
      <c r="D3084" s="1">
        <f>IFERROR(__xludf.DUMMYFUNCTION("""COMPUTED_VALUE"""),1008.55)</f>
        <v>1008.55</v>
      </c>
      <c r="E3084" s="1">
        <f>IFERROR(__xludf.DUMMYFUNCTION("""COMPUTED_VALUE"""),1024.14)</f>
        <v>1024.14</v>
      </c>
      <c r="F3084" s="1">
        <f>IFERROR(__xludf.DUMMYFUNCTION("""COMPUTED_VALUE"""),9.5543752E7)</f>
        <v>95543752</v>
      </c>
    </row>
    <row r="3085">
      <c r="A3085" s="2">
        <f>IFERROR(__xludf.DUMMYFUNCTION("""COMPUTED_VALUE"""),35839.666666666664)</f>
        <v>35839.66667</v>
      </c>
      <c r="B3085" s="1">
        <f>IFERROR(__xludf.DUMMYFUNCTION("""COMPUTED_VALUE"""),1024.14)</f>
        <v>1024.14</v>
      </c>
      <c r="C3085" s="1">
        <f>IFERROR(__xludf.DUMMYFUNCTION("""COMPUTED_VALUE"""),1024.14)</f>
        <v>1024.14</v>
      </c>
      <c r="D3085" s="1">
        <f>IFERROR(__xludf.DUMMYFUNCTION("""COMPUTED_VALUE"""),1017.71)</f>
        <v>1017.71</v>
      </c>
      <c r="E3085" s="1">
        <f>IFERROR(__xludf.DUMMYFUNCTION("""COMPUTED_VALUE"""),1020.09)</f>
        <v>1020.09</v>
      </c>
      <c r="F3085" s="1">
        <f>IFERROR(__xludf.DUMMYFUNCTION("""COMPUTED_VALUE"""),8.3115624E7)</f>
        <v>83115624</v>
      </c>
    </row>
    <row r="3086">
      <c r="A3086" s="2">
        <f>IFERROR(__xludf.DUMMYFUNCTION("""COMPUTED_VALUE"""),35843.666666666664)</f>
        <v>35843.66667</v>
      </c>
      <c r="B3086" s="1">
        <f>IFERROR(__xludf.DUMMYFUNCTION("""COMPUTED_VALUE"""),1020.09)</f>
        <v>1020.09</v>
      </c>
      <c r="C3086" s="1">
        <f>IFERROR(__xludf.DUMMYFUNCTION("""COMPUTED_VALUE"""),1028.02)</f>
        <v>1028.02</v>
      </c>
      <c r="D3086" s="1">
        <f>IFERROR(__xludf.DUMMYFUNCTION("""COMPUTED_VALUE"""),1020.09)</f>
        <v>1020.09</v>
      </c>
      <c r="E3086" s="1">
        <f>IFERROR(__xludf.DUMMYFUNCTION("""COMPUTED_VALUE"""),1022.76)</f>
        <v>1022.76</v>
      </c>
      <c r="F3086" s="1">
        <f>IFERROR(__xludf.DUMMYFUNCTION("""COMPUTED_VALUE"""),9.4670312E7)</f>
        <v>94670312</v>
      </c>
    </row>
    <row r="3087">
      <c r="A3087" s="2">
        <f>IFERROR(__xludf.DUMMYFUNCTION("""COMPUTED_VALUE"""),35844.666666666664)</f>
        <v>35844.66667</v>
      </c>
      <c r="B3087" s="1">
        <f>IFERROR(__xludf.DUMMYFUNCTION("""COMPUTED_VALUE"""),1022.76)</f>
        <v>1022.76</v>
      </c>
      <c r="C3087" s="1">
        <f>IFERROR(__xludf.DUMMYFUNCTION("""COMPUTED_VALUE"""),1032.06)</f>
        <v>1032.06</v>
      </c>
      <c r="D3087" s="1">
        <f>IFERROR(__xludf.DUMMYFUNCTION("""COMPUTED_VALUE"""),1021.7)</f>
        <v>1021.7</v>
      </c>
      <c r="E3087" s="1">
        <f>IFERROR(__xludf.DUMMYFUNCTION("""COMPUTED_VALUE"""),1032.06)</f>
        <v>1032.06</v>
      </c>
      <c r="F3087" s="1">
        <f>IFERROR(__xludf.DUMMYFUNCTION("""COMPUTED_VALUE"""),9.4687504E7)</f>
        <v>94687504</v>
      </c>
    </row>
    <row r="3088">
      <c r="A3088" s="2">
        <f>IFERROR(__xludf.DUMMYFUNCTION("""COMPUTED_VALUE"""),35845.666666666664)</f>
        <v>35845.66667</v>
      </c>
      <c r="B3088" s="1">
        <f>IFERROR(__xludf.DUMMYFUNCTION("""COMPUTED_VALUE"""),1032.08)</f>
        <v>1032.08</v>
      </c>
      <c r="C3088" s="1">
        <f>IFERROR(__xludf.DUMMYFUNCTION("""COMPUTED_VALUE"""),1032.93)</f>
        <v>1032.93</v>
      </c>
      <c r="D3088" s="1">
        <f>IFERROR(__xludf.DUMMYFUNCTION("""COMPUTED_VALUE"""),1026.62)</f>
        <v>1026.62</v>
      </c>
      <c r="E3088" s="1">
        <f>IFERROR(__xludf.DUMMYFUNCTION("""COMPUTED_VALUE"""),1028.28)</f>
        <v>1028.28</v>
      </c>
      <c r="F3088" s="1">
        <f>IFERROR(__xludf.DUMMYFUNCTION("""COMPUTED_VALUE"""),9.0909376E7)</f>
        <v>90909376</v>
      </c>
    </row>
    <row r="3089">
      <c r="A3089" s="2">
        <f>IFERROR(__xludf.DUMMYFUNCTION("""COMPUTED_VALUE"""),35846.666666666664)</f>
        <v>35846.66667</v>
      </c>
      <c r="B3089" s="1">
        <f>IFERROR(__xludf.DUMMYFUNCTION("""COMPUTED_VALUE"""),1028.28)</f>
        <v>1028.28</v>
      </c>
      <c r="C3089" s="1">
        <f>IFERROR(__xludf.DUMMYFUNCTION("""COMPUTED_VALUE"""),1034.21)</f>
        <v>1034.21</v>
      </c>
      <c r="D3089" s="1">
        <f>IFERROR(__xludf.DUMMYFUNCTION("""COMPUTED_VALUE"""),1022.69)</f>
        <v>1022.69</v>
      </c>
      <c r="E3089" s="1">
        <f>IFERROR(__xludf.DUMMYFUNCTION("""COMPUTED_VALUE"""),1034.21)</f>
        <v>1034.21</v>
      </c>
      <c r="F3089" s="1">
        <f>IFERROR(__xludf.DUMMYFUNCTION("""COMPUTED_VALUE"""),9.2859376E7)</f>
        <v>92859376</v>
      </c>
    </row>
    <row r="3090">
      <c r="A3090" s="2">
        <f>IFERROR(__xludf.DUMMYFUNCTION("""COMPUTED_VALUE"""),35849.666666666664)</f>
        <v>35849.66667</v>
      </c>
      <c r="B3090" s="1">
        <f>IFERROR(__xludf.DUMMYFUNCTION("""COMPUTED_VALUE"""),1034.21)</f>
        <v>1034.21</v>
      </c>
      <c r="C3090" s="1">
        <f>IFERROR(__xludf.DUMMYFUNCTION("""COMPUTED_VALUE"""),1038.68)</f>
        <v>1038.68</v>
      </c>
      <c r="D3090" s="1">
        <f>IFERROR(__xludf.DUMMYFUNCTION("""COMPUTED_VALUE"""),1031.76)</f>
        <v>1031.76</v>
      </c>
      <c r="E3090" s="1">
        <f>IFERROR(__xludf.DUMMYFUNCTION("""COMPUTED_VALUE"""),1038.14)</f>
        <v>1038.14</v>
      </c>
      <c r="F3090" s="1">
        <f>IFERROR(__xludf.DUMMYFUNCTION("""COMPUTED_VALUE"""),8.605156E7)</f>
        <v>86051560</v>
      </c>
    </row>
    <row r="3091">
      <c r="A3091" s="2">
        <f>IFERROR(__xludf.DUMMYFUNCTION("""COMPUTED_VALUE"""),35850.666666666664)</f>
        <v>35850.66667</v>
      </c>
      <c r="B3091" s="1">
        <f>IFERROR(__xludf.DUMMYFUNCTION("""COMPUTED_VALUE"""),1038.14)</f>
        <v>1038.14</v>
      </c>
      <c r="C3091" s="1">
        <f>IFERROR(__xludf.DUMMYFUNCTION("""COMPUTED_VALUE"""),1038.73)</f>
        <v>1038.73</v>
      </c>
      <c r="D3091" s="1">
        <f>IFERROR(__xludf.DUMMYFUNCTION("""COMPUTED_VALUE"""),1028.89)</f>
        <v>1028.89</v>
      </c>
      <c r="E3091" s="1">
        <f>IFERROR(__xludf.DUMMYFUNCTION("""COMPUTED_VALUE"""),1030.56)</f>
        <v>1030.56</v>
      </c>
      <c r="F3091" s="1">
        <f>IFERROR(__xludf.DUMMYFUNCTION("""COMPUTED_VALUE"""),9.2168752E7)</f>
        <v>92168752</v>
      </c>
    </row>
    <row r="3092">
      <c r="A3092" s="2">
        <f>IFERROR(__xludf.DUMMYFUNCTION("""COMPUTED_VALUE"""),35851.666666666664)</f>
        <v>35851.66667</v>
      </c>
      <c r="B3092" s="1">
        <f>IFERROR(__xludf.DUMMYFUNCTION("""COMPUTED_VALUE"""),1030.56)</f>
        <v>1030.56</v>
      </c>
      <c r="C3092" s="1">
        <f>IFERROR(__xludf.DUMMYFUNCTION("""COMPUTED_VALUE"""),1045.79)</f>
        <v>1045.79</v>
      </c>
      <c r="D3092" s="1">
        <f>IFERROR(__xludf.DUMMYFUNCTION("""COMPUTED_VALUE"""),1030.56)</f>
        <v>1030.56</v>
      </c>
      <c r="E3092" s="1">
        <f>IFERROR(__xludf.DUMMYFUNCTION("""COMPUTED_VALUE"""),1042.9)</f>
        <v>1042.9</v>
      </c>
      <c r="F3092" s="1">
        <f>IFERROR(__xludf.DUMMYFUNCTION("""COMPUTED_VALUE"""),9.552344E7)</f>
        <v>95523440</v>
      </c>
    </row>
    <row r="3093">
      <c r="A3093" s="2">
        <f>IFERROR(__xludf.DUMMYFUNCTION("""COMPUTED_VALUE"""),35852.666666666664)</f>
        <v>35852.66667</v>
      </c>
      <c r="B3093" s="1">
        <f>IFERROR(__xludf.DUMMYFUNCTION("""COMPUTED_VALUE"""),1042.9)</f>
        <v>1042.9</v>
      </c>
      <c r="C3093" s="1">
        <f>IFERROR(__xludf.DUMMYFUNCTION("""COMPUTED_VALUE"""),1048.68)</f>
        <v>1048.68</v>
      </c>
      <c r="D3093" s="1">
        <f>IFERROR(__xludf.DUMMYFUNCTION("""COMPUTED_VALUE"""),1039.85)</f>
        <v>1039.85</v>
      </c>
      <c r="E3093" s="1">
        <f>IFERROR(__xludf.DUMMYFUNCTION("""COMPUTED_VALUE"""),1048.66)</f>
        <v>1048.66</v>
      </c>
      <c r="F3093" s="1">
        <f>IFERROR(__xludf.DUMMYFUNCTION("""COMPUTED_VALUE"""),1.00981248E8)</f>
        <v>100981248</v>
      </c>
    </row>
    <row r="3094">
      <c r="A3094" s="2">
        <f>IFERROR(__xludf.DUMMYFUNCTION("""COMPUTED_VALUE"""),35853.666666666664)</f>
        <v>35853.66667</v>
      </c>
      <c r="B3094" s="1">
        <f>IFERROR(__xludf.DUMMYFUNCTION("""COMPUTED_VALUE"""),1047.11)</f>
        <v>1047.11</v>
      </c>
      <c r="C3094" s="1">
        <f>IFERROR(__xludf.DUMMYFUNCTION("""COMPUTED_VALUE"""),1051.66)</f>
        <v>1051.66</v>
      </c>
      <c r="D3094" s="1">
        <f>IFERROR(__xludf.DUMMYFUNCTION("""COMPUTED_VALUE"""),1044.4)</f>
        <v>1044.4</v>
      </c>
      <c r="E3094" s="1">
        <f>IFERROR(__xludf.DUMMYFUNCTION("""COMPUTED_VALUE"""),1049.34)</f>
        <v>1049.34</v>
      </c>
      <c r="F3094" s="1">
        <f>IFERROR(__xludf.DUMMYFUNCTION("""COMPUTED_VALUE"""),8.9762496E7)</f>
        <v>89762496</v>
      </c>
    </row>
    <row r="3095">
      <c r="A3095" s="2">
        <f>IFERROR(__xludf.DUMMYFUNCTION("""COMPUTED_VALUE"""),35856.666666666664)</f>
        <v>35856.66667</v>
      </c>
      <c r="B3095" s="1">
        <f>IFERROR(__xludf.DUMMYFUNCTION("""COMPUTED_VALUE"""),1049.34)</f>
        <v>1049.34</v>
      </c>
      <c r="C3095" s="1">
        <f>IFERROR(__xludf.DUMMYFUNCTION("""COMPUTED_VALUE"""),1053.98)</f>
        <v>1053.98</v>
      </c>
      <c r="D3095" s="1">
        <f>IFERROR(__xludf.DUMMYFUNCTION("""COMPUTED_VALUE"""),1044.7)</f>
        <v>1044.7</v>
      </c>
      <c r="E3095" s="1">
        <f>IFERROR(__xludf.DUMMYFUNCTION("""COMPUTED_VALUE"""),1047.7)</f>
        <v>1047.7</v>
      </c>
      <c r="F3095" s="1">
        <f>IFERROR(__xludf.DUMMYFUNCTION("""COMPUTED_VALUE"""),9.2417184E7)</f>
        <v>92417184</v>
      </c>
    </row>
    <row r="3096">
      <c r="A3096" s="2">
        <f>IFERROR(__xludf.DUMMYFUNCTION("""COMPUTED_VALUE"""),35857.666666666664)</f>
        <v>35857.66667</v>
      </c>
      <c r="B3096" s="1">
        <f>IFERROR(__xludf.DUMMYFUNCTION("""COMPUTED_VALUE"""),1047.7)</f>
        <v>1047.7</v>
      </c>
      <c r="C3096" s="1">
        <f>IFERROR(__xludf.DUMMYFUNCTION("""COMPUTED_VALUE"""),1052.02)</f>
        <v>1052.02</v>
      </c>
      <c r="D3096" s="1">
        <f>IFERROR(__xludf.DUMMYFUNCTION("""COMPUTED_VALUE"""),1043.41)</f>
        <v>1043.41</v>
      </c>
      <c r="E3096" s="1">
        <f>IFERROR(__xludf.DUMMYFUNCTION("""COMPUTED_VALUE"""),1052.02)</f>
        <v>1052.02</v>
      </c>
      <c r="F3096" s="1">
        <f>IFERROR(__xludf.DUMMYFUNCTION("""COMPUTED_VALUE"""),9.5681248E7)</f>
        <v>95681248</v>
      </c>
    </row>
    <row r="3097">
      <c r="A3097" s="2">
        <f>IFERROR(__xludf.DUMMYFUNCTION("""COMPUTED_VALUE"""),35858.666666666664)</f>
        <v>35858.66667</v>
      </c>
      <c r="B3097" s="1">
        <f>IFERROR(__xludf.DUMMYFUNCTION("""COMPUTED_VALUE"""),1052.02)</f>
        <v>1052.02</v>
      </c>
      <c r="C3097" s="1">
        <f>IFERROR(__xludf.DUMMYFUNCTION("""COMPUTED_VALUE"""),1052.02)</f>
        <v>1052.02</v>
      </c>
      <c r="D3097" s="1">
        <f>IFERROR(__xludf.DUMMYFUNCTION("""COMPUTED_VALUE"""),1042.74)</f>
        <v>1042.74</v>
      </c>
      <c r="E3097" s="1">
        <f>IFERROR(__xludf.DUMMYFUNCTION("""COMPUTED_VALUE"""),1047.33)</f>
        <v>1047.33</v>
      </c>
      <c r="F3097" s="1">
        <f>IFERROR(__xludf.DUMMYFUNCTION("""COMPUTED_VALUE"""),1.00668752E8)</f>
        <v>100668752</v>
      </c>
    </row>
    <row r="3098">
      <c r="A3098" s="2">
        <f>IFERROR(__xludf.DUMMYFUNCTION("""COMPUTED_VALUE"""),35859.666666666664)</f>
        <v>35859.66667</v>
      </c>
      <c r="B3098" s="1">
        <f>IFERROR(__xludf.DUMMYFUNCTION("""COMPUTED_VALUE"""),1047.33)</f>
        <v>1047.33</v>
      </c>
      <c r="C3098" s="1">
        <f>IFERROR(__xludf.DUMMYFUNCTION("""COMPUTED_VALUE"""),1047.33)</f>
        <v>1047.33</v>
      </c>
      <c r="D3098" s="1">
        <f>IFERROR(__xludf.DUMMYFUNCTION("""COMPUTED_VALUE"""),1030.87)</f>
        <v>1030.87</v>
      </c>
      <c r="E3098" s="1">
        <f>IFERROR(__xludf.DUMMYFUNCTION("""COMPUTED_VALUE"""),1035.05)</f>
        <v>1035.05</v>
      </c>
      <c r="F3098" s="1">
        <f>IFERROR(__xludf.DUMMYFUNCTION("""COMPUTED_VALUE"""),1.01292184E8)</f>
        <v>101292184</v>
      </c>
    </row>
    <row r="3099">
      <c r="A3099" s="2">
        <f>IFERROR(__xludf.DUMMYFUNCTION("""COMPUTED_VALUE"""),35860.666666666664)</f>
        <v>35860.66667</v>
      </c>
      <c r="B3099" s="1">
        <f>IFERROR(__xludf.DUMMYFUNCTION("""COMPUTED_VALUE"""),1035.05)</f>
        <v>1035.05</v>
      </c>
      <c r="C3099" s="1">
        <f>IFERROR(__xludf.DUMMYFUNCTION("""COMPUTED_VALUE"""),1055.69)</f>
        <v>1055.69</v>
      </c>
      <c r="D3099" s="1">
        <f>IFERROR(__xludf.DUMMYFUNCTION("""COMPUTED_VALUE"""),1035.05)</f>
        <v>1035.05</v>
      </c>
      <c r="E3099" s="1">
        <f>IFERROR(__xludf.DUMMYFUNCTION("""COMPUTED_VALUE"""),1055.69)</f>
        <v>1055.69</v>
      </c>
      <c r="F3099" s="1">
        <f>IFERROR(__xludf.DUMMYFUNCTION("""COMPUTED_VALUE"""),1.03984376E8)</f>
        <v>103984376</v>
      </c>
    </row>
    <row r="3100">
      <c r="A3100" s="2">
        <f>IFERROR(__xludf.DUMMYFUNCTION("""COMPUTED_VALUE"""),35863.666666666664)</f>
        <v>35863.66667</v>
      </c>
      <c r="B3100" s="1">
        <f>IFERROR(__xludf.DUMMYFUNCTION("""COMPUTED_VALUE"""),1055.69)</f>
        <v>1055.69</v>
      </c>
      <c r="C3100" s="1">
        <f>IFERROR(__xludf.DUMMYFUNCTION("""COMPUTED_VALUE"""),1058.55)</f>
        <v>1058.55</v>
      </c>
      <c r="D3100" s="1">
        <f>IFERROR(__xludf.DUMMYFUNCTION("""COMPUTED_VALUE"""),1050.02)</f>
        <v>1050.02</v>
      </c>
      <c r="E3100" s="1">
        <f>IFERROR(__xludf.DUMMYFUNCTION("""COMPUTED_VALUE"""),1052.31)</f>
        <v>1052.31</v>
      </c>
      <c r="F3100" s="1">
        <f>IFERROR(__xludf.DUMMYFUNCTION("""COMPUTED_VALUE"""),9.7609376E7)</f>
        <v>97609376</v>
      </c>
    </row>
    <row r="3101">
      <c r="A3101" s="2">
        <f>IFERROR(__xludf.DUMMYFUNCTION("""COMPUTED_VALUE"""),35864.666666666664)</f>
        <v>35864.66667</v>
      </c>
      <c r="B3101" s="1">
        <f>IFERROR(__xludf.DUMMYFUNCTION("""COMPUTED_VALUE"""),1052.31)</f>
        <v>1052.31</v>
      </c>
      <c r="C3101" s="1">
        <f>IFERROR(__xludf.DUMMYFUNCTION("""COMPUTED_VALUE"""),1064.59)</f>
        <v>1064.59</v>
      </c>
      <c r="D3101" s="1">
        <f>IFERROR(__xludf.DUMMYFUNCTION("""COMPUTED_VALUE"""),1052.31)</f>
        <v>1052.31</v>
      </c>
      <c r="E3101" s="1">
        <f>IFERROR(__xludf.DUMMYFUNCTION("""COMPUTED_VALUE"""),1064.25)</f>
        <v>1064.25</v>
      </c>
      <c r="F3101" s="1">
        <f>IFERROR(__xludf.DUMMYFUNCTION("""COMPUTED_VALUE"""),9.8737504E7)</f>
        <v>98737504</v>
      </c>
    </row>
    <row r="3102">
      <c r="A3102" s="2">
        <f>IFERROR(__xludf.DUMMYFUNCTION("""COMPUTED_VALUE"""),35865.666666666664)</f>
        <v>35865.66667</v>
      </c>
      <c r="B3102" s="1">
        <f>IFERROR(__xludf.DUMMYFUNCTION("""COMPUTED_VALUE"""),1064.25)</f>
        <v>1064.25</v>
      </c>
      <c r="C3102" s="1">
        <f>IFERROR(__xludf.DUMMYFUNCTION("""COMPUTED_VALUE"""),1069.18)</f>
        <v>1069.18</v>
      </c>
      <c r="D3102" s="1">
        <f>IFERROR(__xludf.DUMMYFUNCTION("""COMPUTED_VALUE"""),1064.22)</f>
        <v>1064.22</v>
      </c>
      <c r="E3102" s="1">
        <f>IFERROR(__xludf.DUMMYFUNCTION("""COMPUTED_VALUE"""),1068.47)</f>
        <v>1068.47</v>
      </c>
      <c r="F3102" s="1">
        <f>IFERROR(__xludf.DUMMYFUNCTION("""COMPUTED_VALUE"""),1.02384376E8)</f>
        <v>102384376</v>
      </c>
    </row>
    <row r="3103">
      <c r="A3103" s="2">
        <f>IFERROR(__xludf.DUMMYFUNCTION("""COMPUTED_VALUE"""),35866.666666666664)</f>
        <v>35866.66667</v>
      </c>
      <c r="B3103" s="1">
        <f>IFERROR(__xludf.DUMMYFUNCTION("""COMPUTED_VALUE"""),1068.47)</f>
        <v>1068.47</v>
      </c>
      <c r="C3103" s="1">
        <f>IFERROR(__xludf.DUMMYFUNCTION("""COMPUTED_VALUE"""),1071.87)</f>
        <v>1071.87</v>
      </c>
      <c r="D3103" s="1">
        <f>IFERROR(__xludf.DUMMYFUNCTION("""COMPUTED_VALUE"""),1063.54)</f>
        <v>1063.54</v>
      </c>
      <c r="E3103" s="1">
        <f>IFERROR(__xludf.DUMMYFUNCTION("""COMPUTED_VALUE"""),1069.93)</f>
        <v>1069.93</v>
      </c>
      <c r="F3103" s="1">
        <f>IFERROR(__xludf.DUMMYFUNCTION("""COMPUTED_VALUE"""),9.2959376E7)</f>
        <v>92959376</v>
      </c>
    </row>
    <row r="3104">
      <c r="A3104" s="2">
        <f>IFERROR(__xludf.DUMMYFUNCTION("""COMPUTED_VALUE"""),35867.666666666664)</f>
        <v>35867.66667</v>
      </c>
      <c r="B3104" s="1">
        <f>IFERROR(__xludf.DUMMYFUNCTION("""COMPUTED_VALUE"""),1069.92)</f>
        <v>1069.92</v>
      </c>
      <c r="C3104" s="1">
        <f>IFERROR(__xludf.DUMMYFUNCTION("""COMPUTED_VALUE"""),1075.86)</f>
        <v>1075.86</v>
      </c>
      <c r="D3104" s="1">
        <f>IFERROR(__xludf.DUMMYFUNCTION("""COMPUTED_VALUE"""),1066.57)</f>
        <v>1066.57</v>
      </c>
      <c r="E3104" s="1">
        <f>IFERROR(__xludf.DUMMYFUNCTION("""COMPUTED_VALUE"""),1068.59)</f>
        <v>1068.59</v>
      </c>
      <c r="F3104" s="1">
        <f>IFERROR(__xludf.DUMMYFUNCTION("""COMPUTED_VALUE"""),9.3406248E7)</f>
        <v>93406248</v>
      </c>
    </row>
    <row r="3105">
      <c r="A3105" s="2">
        <f>IFERROR(__xludf.DUMMYFUNCTION("""COMPUTED_VALUE"""),35870.666666666664)</f>
        <v>35870.66667</v>
      </c>
      <c r="B3105" s="1">
        <f>IFERROR(__xludf.DUMMYFUNCTION("""COMPUTED_VALUE"""),1068.47)</f>
        <v>1068.47</v>
      </c>
      <c r="C3105" s="1">
        <f>IFERROR(__xludf.DUMMYFUNCTION("""COMPUTED_VALUE"""),1079.46)</f>
        <v>1079.46</v>
      </c>
      <c r="D3105" s="1">
        <f>IFERROR(__xludf.DUMMYFUNCTION("""COMPUTED_VALUE"""),1063.54)</f>
        <v>1063.54</v>
      </c>
      <c r="E3105" s="1">
        <f>IFERROR(__xludf.DUMMYFUNCTION("""COMPUTED_VALUE"""),1079.27)</f>
        <v>1079.27</v>
      </c>
      <c r="F3105" s="1">
        <f>IFERROR(__xludf.DUMMYFUNCTION("""COMPUTED_VALUE"""),8.5778128E7)</f>
        <v>85778128</v>
      </c>
    </row>
    <row r="3106">
      <c r="A3106" s="2">
        <f>IFERROR(__xludf.DUMMYFUNCTION("""COMPUTED_VALUE"""),35871.666666666664)</f>
        <v>35871.66667</v>
      </c>
      <c r="B3106" s="1">
        <f>IFERROR(__xludf.DUMMYFUNCTION("""COMPUTED_VALUE"""),1079.27)</f>
        <v>1079.27</v>
      </c>
      <c r="C3106" s="1">
        <f>IFERROR(__xludf.DUMMYFUNCTION("""COMPUTED_VALUE"""),1080.52)</f>
        <v>1080.52</v>
      </c>
      <c r="D3106" s="1">
        <f>IFERROR(__xludf.DUMMYFUNCTION("""COMPUTED_VALUE"""),1073.29)</f>
        <v>1073.29</v>
      </c>
      <c r="E3106" s="1">
        <f>IFERROR(__xludf.DUMMYFUNCTION("""COMPUTED_VALUE"""),1080.45)</f>
        <v>1080.45</v>
      </c>
      <c r="F3106" s="1">
        <f>IFERROR(__xludf.DUMMYFUNCTION("""COMPUTED_VALUE"""),1.064E8)</f>
        <v>106400000</v>
      </c>
    </row>
    <row r="3107">
      <c r="A3107" s="2">
        <f>IFERROR(__xludf.DUMMYFUNCTION("""COMPUTED_VALUE"""),35872.666666666664)</f>
        <v>35872.66667</v>
      </c>
      <c r="B3107" s="1">
        <f>IFERROR(__xludf.DUMMYFUNCTION("""COMPUTED_VALUE"""),1080.45)</f>
        <v>1080.45</v>
      </c>
      <c r="C3107" s="1">
        <f>IFERROR(__xludf.DUMMYFUNCTION("""COMPUTED_VALUE"""),1085.52)</f>
        <v>1085.52</v>
      </c>
      <c r="D3107" s="1">
        <f>IFERROR(__xludf.DUMMYFUNCTION("""COMPUTED_VALUE"""),1077.77)</f>
        <v>1077.77</v>
      </c>
      <c r="E3107" s="1">
        <f>IFERROR(__xludf.DUMMYFUNCTION("""COMPUTED_VALUE"""),1085.52)</f>
        <v>1085.52</v>
      </c>
      <c r="F3107" s="1">
        <f>IFERROR(__xludf.DUMMYFUNCTION("""COMPUTED_VALUE"""),9.8857816E7)</f>
        <v>98857816</v>
      </c>
    </row>
    <row r="3108">
      <c r="A3108" s="2">
        <f>IFERROR(__xludf.DUMMYFUNCTION("""COMPUTED_VALUE"""),35873.666666666664)</f>
        <v>35873.66667</v>
      </c>
      <c r="B3108" s="1">
        <f>IFERROR(__xludf.DUMMYFUNCTION("""COMPUTED_VALUE"""),1085.52)</f>
        <v>1085.52</v>
      </c>
      <c r="C3108" s="1">
        <f>IFERROR(__xludf.DUMMYFUNCTION("""COMPUTED_VALUE"""),1089.74)</f>
        <v>1089.74</v>
      </c>
      <c r="D3108" s="1">
        <f>IFERROR(__xludf.DUMMYFUNCTION("""COMPUTED_VALUE"""),1084.3)</f>
        <v>1084.3</v>
      </c>
      <c r="E3108" s="1">
        <f>IFERROR(__xludf.DUMMYFUNCTION("""COMPUTED_VALUE"""),1089.74)</f>
        <v>1089.74</v>
      </c>
      <c r="F3108" s="1">
        <f>IFERROR(__xludf.DUMMYFUNCTION("""COMPUTED_VALUE"""),9.3475E7)</f>
        <v>93475000</v>
      </c>
    </row>
    <row r="3109">
      <c r="A3109" s="2">
        <f>IFERROR(__xludf.DUMMYFUNCTION("""COMPUTED_VALUE"""),35874.666666666664)</f>
        <v>35874.66667</v>
      </c>
      <c r="B3109" s="1">
        <f>IFERROR(__xludf.DUMMYFUNCTION("""COMPUTED_VALUE"""),1089.74)</f>
        <v>1089.74</v>
      </c>
      <c r="C3109" s="1">
        <f>IFERROR(__xludf.DUMMYFUNCTION("""COMPUTED_VALUE"""),1101.04)</f>
        <v>1101.04</v>
      </c>
      <c r="D3109" s="1">
        <f>IFERROR(__xludf.DUMMYFUNCTION("""COMPUTED_VALUE"""),1089.39)</f>
        <v>1089.39</v>
      </c>
      <c r="E3109" s="1">
        <f>IFERROR(__xludf.DUMMYFUNCTION("""COMPUTED_VALUE"""),1099.16)</f>
        <v>1099.16</v>
      </c>
      <c r="F3109" s="1">
        <f>IFERROR(__xludf.DUMMYFUNCTION("""COMPUTED_VALUE"""),1.12079688E8)</f>
        <v>112079688</v>
      </c>
    </row>
    <row r="3110">
      <c r="A3110" s="2">
        <f>IFERROR(__xludf.DUMMYFUNCTION("""COMPUTED_VALUE"""),35877.666666666664)</f>
        <v>35877.66667</v>
      </c>
      <c r="B3110" s="1">
        <f>IFERROR(__xludf.DUMMYFUNCTION("""COMPUTED_VALUE"""),1099.16)</f>
        <v>1099.16</v>
      </c>
      <c r="C3110" s="1">
        <f>IFERROR(__xludf.DUMMYFUNCTION("""COMPUTED_VALUE"""),1101.16)</f>
        <v>1101.16</v>
      </c>
      <c r="D3110" s="1">
        <f>IFERROR(__xludf.DUMMYFUNCTION("""COMPUTED_VALUE"""),1094.25)</f>
        <v>1094.25</v>
      </c>
      <c r="E3110" s="1">
        <f>IFERROR(__xludf.DUMMYFUNCTION("""COMPUTED_VALUE"""),1095.55)</f>
        <v>1095.55</v>
      </c>
      <c r="F3110" s="1">
        <f>IFERROR(__xludf.DUMMYFUNCTION("""COMPUTED_VALUE"""),9.864844E7)</f>
        <v>98648440</v>
      </c>
    </row>
    <row r="3111">
      <c r="A3111" s="2">
        <f>IFERROR(__xludf.DUMMYFUNCTION("""COMPUTED_VALUE"""),35878.666666666664)</f>
        <v>35878.66667</v>
      </c>
      <c r="B3111" s="1">
        <f>IFERROR(__xludf.DUMMYFUNCTION("""COMPUTED_VALUE"""),1095.55)</f>
        <v>1095.55</v>
      </c>
      <c r="C3111" s="1">
        <f>IFERROR(__xludf.DUMMYFUNCTION("""COMPUTED_VALUE"""),1106.75)</f>
        <v>1106.75</v>
      </c>
      <c r="D3111" s="1">
        <f>IFERROR(__xludf.DUMMYFUNCTION("""COMPUTED_VALUE"""),1095.55)</f>
        <v>1095.55</v>
      </c>
      <c r="E3111" s="1">
        <f>IFERROR(__xludf.DUMMYFUNCTION("""COMPUTED_VALUE"""),1105.65)</f>
        <v>1105.65</v>
      </c>
      <c r="F3111" s="1">
        <f>IFERROR(__xludf.DUMMYFUNCTION("""COMPUTED_VALUE"""),9.4643752E7)</f>
        <v>94643752</v>
      </c>
    </row>
    <row r="3112">
      <c r="A3112" s="2">
        <f>IFERROR(__xludf.DUMMYFUNCTION("""COMPUTED_VALUE"""),35879.666666666664)</f>
        <v>35879.66667</v>
      </c>
      <c r="B3112" s="1">
        <f>IFERROR(__xludf.DUMMYFUNCTION("""COMPUTED_VALUE"""),1105.65)</f>
        <v>1105.65</v>
      </c>
      <c r="C3112" s="1">
        <f>IFERROR(__xludf.DUMMYFUNCTION("""COMPUTED_VALUE"""),1113.07)</f>
        <v>1113.07</v>
      </c>
      <c r="D3112" s="1">
        <f>IFERROR(__xludf.DUMMYFUNCTION("""COMPUTED_VALUE"""),1092.84)</f>
        <v>1092.84</v>
      </c>
      <c r="E3112" s="1">
        <f>IFERROR(__xludf.DUMMYFUNCTION("""COMPUTED_VALUE"""),1101.93)</f>
        <v>1101.93</v>
      </c>
      <c r="F3112" s="1">
        <f>IFERROR(__xludf.DUMMYFUNCTION("""COMPUTED_VALUE"""),1.05710936E8)</f>
        <v>105710936</v>
      </c>
    </row>
    <row r="3113">
      <c r="A3113" s="2">
        <f>IFERROR(__xludf.DUMMYFUNCTION("""COMPUTED_VALUE"""),35880.666666666664)</f>
        <v>35880.66667</v>
      </c>
      <c r="B3113" s="1">
        <f>IFERROR(__xludf.DUMMYFUNCTION("""COMPUTED_VALUE"""),1101.93)</f>
        <v>1101.93</v>
      </c>
      <c r="C3113" s="1">
        <f>IFERROR(__xludf.DUMMYFUNCTION("""COMPUTED_VALUE"""),1106.28)</f>
        <v>1106.28</v>
      </c>
      <c r="D3113" s="1">
        <f>IFERROR(__xludf.DUMMYFUNCTION("""COMPUTED_VALUE"""),1097.0)</f>
        <v>1097</v>
      </c>
      <c r="E3113" s="1">
        <f>IFERROR(__xludf.DUMMYFUNCTION("""COMPUTED_VALUE"""),1100.8)</f>
        <v>1100.8</v>
      </c>
      <c r="F3113" s="1">
        <f>IFERROR(__xludf.DUMMYFUNCTION("""COMPUTED_VALUE"""),9.4807816E7)</f>
        <v>94807816</v>
      </c>
    </row>
    <row r="3114">
      <c r="A3114" s="2">
        <f>IFERROR(__xludf.DUMMYFUNCTION("""COMPUTED_VALUE"""),35881.666666666664)</f>
        <v>35881.66667</v>
      </c>
      <c r="B3114" s="1">
        <f>IFERROR(__xludf.DUMMYFUNCTION("""COMPUTED_VALUE"""),1100.8)</f>
        <v>1100.8</v>
      </c>
      <c r="C3114" s="1">
        <f>IFERROR(__xludf.DUMMYFUNCTION("""COMPUTED_VALUE"""),1107.18)</f>
        <v>1107.18</v>
      </c>
      <c r="D3114" s="1">
        <f>IFERROR(__xludf.DUMMYFUNCTION("""COMPUTED_VALUE"""),1091.14)</f>
        <v>1091.14</v>
      </c>
      <c r="E3114" s="1">
        <f>IFERROR(__xludf.DUMMYFUNCTION("""COMPUTED_VALUE"""),1095.44)</f>
        <v>1095.44</v>
      </c>
      <c r="F3114" s="1">
        <f>IFERROR(__xludf.DUMMYFUNCTION("""COMPUTED_VALUE"""),9.0967184E7)</f>
        <v>90967184</v>
      </c>
    </row>
    <row r="3115">
      <c r="A3115" s="2">
        <f>IFERROR(__xludf.DUMMYFUNCTION("""COMPUTED_VALUE"""),35884.666666666664)</f>
        <v>35884.66667</v>
      </c>
      <c r="B3115" s="1">
        <f>IFERROR(__xludf.DUMMYFUNCTION("""COMPUTED_VALUE"""),1095.44)</f>
        <v>1095.44</v>
      </c>
      <c r="C3115" s="1">
        <f>IFERROR(__xludf.DUMMYFUNCTION("""COMPUTED_VALUE"""),1099.16)</f>
        <v>1099.16</v>
      </c>
      <c r="D3115" s="1">
        <f>IFERROR(__xludf.DUMMYFUNCTION("""COMPUTED_VALUE"""),1090.02)</f>
        <v>1090.02</v>
      </c>
      <c r="E3115" s="1">
        <f>IFERROR(__xludf.DUMMYFUNCTION("""COMPUTED_VALUE"""),1093.55)</f>
        <v>1093.55</v>
      </c>
      <c r="F3115" s="1">
        <f>IFERROR(__xludf.DUMMYFUNCTION("""COMPUTED_VALUE"""),7.7718752E7)</f>
        <v>77718752</v>
      </c>
    </row>
    <row r="3116">
      <c r="A3116" s="2">
        <f>IFERROR(__xludf.DUMMYFUNCTION("""COMPUTED_VALUE"""),35885.666666666664)</f>
        <v>35885.66667</v>
      </c>
      <c r="B3116" s="1">
        <f>IFERROR(__xludf.DUMMYFUNCTION("""COMPUTED_VALUE"""),1095.44)</f>
        <v>1095.44</v>
      </c>
      <c r="C3116" s="1">
        <f>IFERROR(__xludf.DUMMYFUNCTION("""COMPUTED_VALUE"""),1110.13)</f>
        <v>1110.13</v>
      </c>
      <c r="D3116" s="1">
        <f>IFERROR(__xludf.DUMMYFUNCTION("""COMPUTED_VALUE"""),1090.02)</f>
        <v>1090.02</v>
      </c>
      <c r="E3116" s="1">
        <f>IFERROR(__xludf.DUMMYFUNCTION("""COMPUTED_VALUE"""),1101.75)</f>
        <v>1101.75</v>
      </c>
      <c r="F3116" s="1">
        <f>IFERROR(__xludf.DUMMYFUNCTION("""COMPUTED_VALUE"""),1.05457816E8)</f>
        <v>105457816</v>
      </c>
    </row>
    <row r="3117">
      <c r="A3117" s="2">
        <f>IFERROR(__xludf.DUMMYFUNCTION("""COMPUTED_VALUE"""),35886.666666666664)</f>
        <v>35886.66667</v>
      </c>
      <c r="B3117" s="1">
        <f>IFERROR(__xludf.DUMMYFUNCTION("""COMPUTED_VALUE"""),1101.75)</f>
        <v>1101.75</v>
      </c>
      <c r="C3117" s="1">
        <f>IFERROR(__xludf.DUMMYFUNCTION("""COMPUTED_VALUE"""),1109.19)</f>
        <v>1109.19</v>
      </c>
      <c r="D3117" s="1">
        <f>IFERROR(__xludf.DUMMYFUNCTION("""COMPUTED_VALUE"""),1095.29)</f>
        <v>1095.29</v>
      </c>
      <c r="E3117" s="1">
        <f>IFERROR(__xludf.DUMMYFUNCTION("""COMPUTED_VALUE"""),1108.15)</f>
        <v>1108.15</v>
      </c>
      <c r="F3117" s="1">
        <f>IFERROR(__xludf.DUMMYFUNCTION("""COMPUTED_VALUE"""),1.05829688E8)</f>
        <v>105829688</v>
      </c>
    </row>
    <row r="3118">
      <c r="A3118" s="2">
        <f>IFERROR(__xludf.DUMMYFUNCTION("""COMPUTED_VALUE"""),35887.666666666664)</f>
        <v>35887.66667</v>
      </c>
      <c r="B3118" s="1">
        <f>IFERROR(__xludf.DUMMYFUNCTION("""COMPUTED_VALUE"""),1108.15)</f>
        <v>1108.15</v>
      </c>
      <c r="C3118" s="1">
        <f>IFERROR(__xludf.DUMMYFUNCTION("""COMPUTED_VALUE"""),1121.01)</f>
        <v>1121.01</v>
      </c>
      <c r="D3118" s="1">
        <f>IFERROR(__xludf.DUMMYFUNCTION("""COMPUTED_VALUE"""),1107.89)</f>
        <v>1107.89</v>
      </c>
      <c r="E3118" s="1">
        <f>IFERROR(__xludf.DUMMYFUNCTION("""COMPUTED_VALUE"""),1120.01)</f>
        <v>1120.01</v>
      </c>
      <c r="F3118" s="1">
        <f>IFERROR(__xludf.DUMMYFUNCTION("""COMPUTED_VALUE"""),1.05365624E8)</f>
        <v>105365624</v>
      </c>
    </row>
    <row r="3119">
      <c r="A3119" s="2">
        <f>IFERROR(__xludf.DUMMYFUNCTION("""COMPUTED_VALUE"""),35888.666666666664)</f>
        <v>35888.66667</v>
      </c>
      <c r="B3119" s="1">
        <f>IFERROR(__xludf.DUMMYFUNCTION("""COMPUTED_VALUE"""),1120.01)</f>
        <v>1120.01</v>
      </c>
      <c r="C3119" s="1">
        <f>IFERROR(__xludf.DUMMYFUNCTION("""COMPUTED_VALUE"""),1126.36)</f>
        <v>1126.36</v>
      </c>
      <c r="D3119" s="1">
        <f>IFERROR(__xludf.DUMMYFUNCTION("""COMPUTED_VALUE"""),1118.12)</f>
        <v>1118.12</v>
      </c>
      <c r="E3119" s="1">
        <f>IFERROR(__xludf.DUMMYFUNCTION("""COMPUTED_VALUE"""),1122.7)</f>
        <v>1122.7</v>
      </c>
      <c r="F3119" s="1">
        <f>IFERROR(__xludf.DUMMYFUNCTION("""COMPUTED_VALUE"""),1.02168752E8)</f>
        <v>102168752</v>
      </c>
    </row>
    <row r="3120">
      <c r="A3120" s="2">
        <f>IFERROR(__xludf.DUMMYFUNCTION("""COMPUTED_VALUE"""),35891.666666666664)</f>
        <v>35891.66667</v>
      </c>
      <c r="B3120" s="1">
        <f>IFERROR(__xludf.DUMMYFUNCTION("""COMPUTED_VALUE"""),1108.15)</f>
        <v>1108.15</v>
      </c>
      <c r="C3120" s="1">
        <f>IFERROR(__xludf.DUMMYFUNCTION("""COMPUTED_VALUE"""),1131.99)</f>
        <v>1131.99</v>
      </c>
      <c r="D3120" s="1">
        <f>IFERROR(__xludf.DUMMYFUNCTION("""COMPUTED_VALUE"""),1107.89)</f>
        <v>1107.89</v>
      </c>
      <c r="E3120" s="1">
        <f>IFERROR(__xludf.DUMMYFUNCTION("""COMPUTED_VALUE"""),1121.39)</f>
        <v>1121.39</v>
      </c>
      <c r="F3120" s="1">
        <f>IFERROR(__xludf.DUMMYFUNCTION("""COMPUTED_VALUE"""),9.7782816E7)</f>
        <v>97782816</v>
      </c>
    </row>
    <row r="3121">
      <c r="A3121" s="2">
        <f>IFERROR(__xludf.DUMMYFUNCTION("""COMPUTED_VALUE"""),35892.666666666664)</f>
        <v>35892.66667</v>
      </c>
      <c r="B3121" s="1">
        <f>IFERROR(__xludf.DUMMYFUNCTION("""COMPUTED_VALUE"""),1121.38)</f>
        <v>1121.38</v>
      </c>
      <c r="C3121" s="1">
        <f>IFERROR(__xludf.DUMMYFUNCTION("""COMPUTED_VALUE"""),1121.38)</f>
        <v>1121.38</v>
      </c>
      <c r="D3121" s="1">
        <f>IFERROR(__xludf.DUMMYFUNCTION("""COMPUTED_VALUE"""),1102.44)</f>
        <v>1102.44</v>
      </c>
      <c r="E3121" s="1">
        <f>IFERROR(__xludf.DUMMYFUNCTION("""COMPUTED_VALUE"""),1109.55)</f>
        <v>1109.55</v>
      </c>
      <c r="F3121" s="1">
        <f>IFERROR(__xludf.DUMMYFUNCTION("""COMPUTED_VALUE"""),1.04806248E8)</f>
        <v>104806248</v>
      </c>
    </row>
    <row r="3122">
      <c r="A3122" s="2">
        <f>IFERROR(__xludf.DUMMYFUNCTION("""COMPUTED_VALUE"""),35893.666666666664)</f>
        <v>35893.66667</v>
      </c>
      <c r="B3122" s="1">
        <f>IFERROR(__xludf.DUMMYFUNCTION("""COMPUTED_VALUE"""),1109.55)</f>
        <v>1109.55</v>
      </c>
      <c r="C3122" s="1">
        <f>IFERROR(__xludf.DUMMYFUNCTION("""COMPUTED_VALUE"""),1111.6)</f>
        <v>1111.6</v>
      </c>
      <c r="D3122" s="1">
        <f>IFERROR(__xludf.DUMMYFUNCTION("""COMPUTED_VALUE"""),1098.21)</f>
        <v>1098.21</v>
      </c>
      <c r="E3122" s="1">
        <f>IFERROR(__xludf.DUMMYFUNCTION("""COMPUTED_VALUE"""),1101.65)</f>
        <v>1101.65</v>
      </c>
      <c r="F3122" s="1">
        <f>IFERROR(__xludf.DUMMYFUNCTION("""COMPUTED_VALUE"""),9.630156E7)</f>
        <v>96301560</v>
      </c>
    </row>
    <row r="3123">
      <c r="A3123" s="2">
        <f>IFERROR(__xludf.DUMMYFUNCTION("""COMPUTED_VALUE"""),35894.666666666664)</f>
        <v>35894.66667</v>
      </c>
      <c r="B3123" s="1">
        <f>IFERROR(__xludf.DUMMYFUNCTION("""COMPUTED_VALUE"""),1101.65)</f>
        <v>1101.65</v>
      </c>
      <c r="C3123" s="1">
        <f>IFERROR(__xludf.DUMMYFUNCTION("""COMPUTED_VALUE"""),1111.45)</f>
        <v>1111.45</v>
      </c>
      <c r="D3123" s="1">
        <f>IFERROR(__xludf.DUMMYFUNCTION("""COMPUTED_VALUE"""),1101.65)</f>
        <v>1101.65</v>
      </c>
      <c r="E3123" s="1">
        <f>IFERROR(__xludf.DUMMYFUNCTION("""COMPUTED_VALUE"""),1110.67)</f>
        <v>1110.67</v>
      </c>
      <c r="F3123" s="1">
        <f>IFERROR(__xludf.DUMMYFUNCTION("""COMPUTED_VALUE"""),8.5771872E7)</f>
        <v>85771872</v>
      </c>
    </row>
    <row r="3124">
      <c r="A3124" s="2">
        <f>IFERROR(__xludf.DUMMYFUNCTION("""COMPUTED_VALUE"""),35898.666666666664)</f>
        <v>35898.66667</v>
      </c>
      <c r="B3124" s="1">
        <f>IFERROR(__xludf.DUMMYFUNCTION("""COMPUTED_VALUE"""),1110.67)</f>
        <v>1110.67</v>
      </c>
      <c r="C3124" s="1">
        <f>IFERROR(__xludf.DUMMYFUNCTION("""COMPUTED_VALUE"""),1110.75)</f>
        <v>1110.75</v>
      </c>
      <c r="D3124" s="1">
        <f>IFERROR(__xludf.DUMMYFUNCTION("""COMPUTED_VALUE"""),1100.6)</f>
        <v>1100.6</v>
      </c>
      <c r="E3124" s="1">
        <f>IFERROR(__xludf.DUMMYFUNCTION("""COMPUTED_VALUE"""),1109.69)</f>
        <v>1109.69</v>
      </c>
      <c r="F3124" s="1">
        <f>IFERROR(__xludf.DUMMYFUNCTION("""COMPUTED_VALUE"""),8.82E7)</f>
        <v>88200000</v>
      </c>
    </row>
    <row r="3125">
      <c r="A3125" s="2">
        <f>IFERROR(__xludf.DUMMYFUNCTION("""COMPUTED_VALUE"""),35899.666666666664)</f>
        <v>35899.66667</v>
      </c>
      <c r="B3125" s="1">
        <f>IFERROR(__xludf.DUMMYFUNCTION("""COMPUTED_VALUE"""),1109.69)</f>
        <v>1109.69</v>
      </c>
      <c r="C3125" s="1">
        <f>IFERROR(__xludf.DUMMYFUNCTION("""COMPUTED_VALUE"""),1115.95)</f>
        <v>1115.95</v>
      </c>
      <c r="D3125" s="1">
        <f>IFERROR(__xludf.DUMMYFUNCTION("""COMPUTED_VALUE"""),1109.48)</f>
        <v>1109.48</v>
      </c>
      <c r="E3125" s="1">
        <f>IFERROR(__xludf.DUMMYFUNCTION("""COMPUTED_VALUE"""),1115.75)</f>
        <v>1115.75</v>
      </c>
      <c r="F3125" s="1">
        <f>IFERROR(__xludf.DUMMYFUNCTION("""COMPUTED_VALUE"""),9.5895312E7)</f>
        <v>95895312</v>
      </c>
    </row>
    <row r="3126">
      <c r="A3126" s="2">
        <f>IFERROR(__xludf.DUMMYFUNCTION("""COMPUTED_VALUE"""),35900.666666666664)</f>
        <v>35900.66667</v>
      </c>
      <c r="B3126" s="1">
        <f>IFERROR(__xludf.DUMMYFUNCTION("""COMPUTED_VALUE"""),1115.75)</f>
        <v>1115.75</v>
      </c>
      <c r="C3126" s="1">
        <f>IFERROR(__xludf.DUMMYFUNCTION("""COMPUTED_VALUE"""),1119.9)</f>
        <v>1119.9</v>
      </c>
      <c r="D3126" s="1">
        <f>IFERROR(__xludf.DUMMYFUNCTION("""COMPUTED_VALUE"""),1112.24)</f>
        <v>1112.24</v>
      </c>
      <c r="E3126" s="1">
        <f>IFERROR(__xludf.DUMMYFUNCTION("""COMPUTED_VALUE"""),1119.32)</f>
        <v>1119.32</v>
      </c>
      <c r="F3126" s="1">
        <f>IFERROR(__xludf.DUMMYFUNCTION("""COMPUTED_VALUE"""),1.07034376E8)</f>
        <v>107034376</v>
      </c>
    </row>
    <row r="3127">
      <c r="A3127" s="2">
        <f>IFERROR(__xludf.DUMMYFUNCTION("""COMPUTED_VALUE"""),35901.666666666664)</f>
        <v>35901.66667</v>
      </c>
      <c r="B3127" s="1">
        <f>IFERROR(__xludf.DUMMYFUNCTION("""COMPUTED_VALUE"""),1119.32)</f>
        <v>1119.32</v>
      </c>
      <c r="C3127" s="1">
        <f>IFERROR(__xludf.DUMMYFUNCTION("""COMPUTED_VALUE"""),1119.32)</f>
        <v>1119.32</v>
      </c>
      <c r="D3127" s="1">
        <f>IFERROR(__xludf.DUMMYFUNCTION("""COMPUTED_VALUE"""),1105.27)</f>
        <v>1105.27</v>
      </c>
      <c r="E3127" s="1">
        <f>IFERROR(__xludf.DUMMYFUNCTION("""COMPUTED_VALUE"""),1108.17)</f>
        <v>1108.17</v>
      </c>
      <c r="F3127" s="1">
        <f>IFERROR(__xludf.DUMMYFUNCTION("""COMPUTED_VALUE"""),1.09307816E8)</f>
        <v>109307816</v>
      </c>
    </row>
    <row r="3128">
      <c r="A3128" s="2">
        <f>IFERROR(__xludf.DUMMYFUNCTION("""COMPUTED_VALUE"""),35902.666666666664)</f>
        <v>35902.66667</v>
      </c>
      <c r="B3128" s="1">
        <f>IFERROR(__xludf.DUMMYFUNCTION("""COMPUTED_VALUE"""),1108.17)</f>
        <v>1108.17</v>
      </c>
      <c r="C3128" s="1">
        <f>IFERROR(__xludf.DUMMYFUNCTION("""COMPUTED_VALUE"""),1122.72)</f>
        <v>1122.72</v>
      </c>
      <c r="D3128" s="1">
        <f>IFERROR(__xludf.DUMMYFUNCTION("""COMPUTED_VALUE"""),1104.95)</f>
        <v>1104.95</v>
      </c>
      <c r="E3128" s="1">
        <f>IFERROR(__xludf.DUMMYFUNCTION("""COMPUTED_VALUE"""),1122.72)</f>
        <v>1122.72</v>
      </c>
      <c r="F3128" s="1">
        <f>IFERROR(__xludf.DUMMYFUNCTION("""COMPUTED_VALUE"""),1.05045312E8)</f>
        <v>105045312</v>
      </c>
    </row>
    <row r="3129">
      <c r="A3129" s="2">
        <f>IFERROR(__xludf.DUMMYFUNCTION("""COMPUTED_VALUE"""),35905.666666666664)</f>
        <v>35905.66667</v>
      </c>
      <c r="B3129" s="1">
        <f>IFERROR(__xludf.DUMMYFUNCTION("""COMPUTED_VALUE"""),1122.72)</f>
        <v>1122.72</v>
      </c>
      <c r="C3129" s="1">
        <f>IFERROR(__xludf.DUMMYFUNCTION("""COMPUTED_VALUE"""),1124.88)</f>
        <v>1124.88</v>
      </c>
      <c r="D3129" s="1">
        <f>IFERROR(__xludf.DUMMYFUNCTION("""COMPUTED_VALUE"""),1118.47)</f>
        <v>1118.47</v>
      </c>
      <c r="E3129" s="1">
        <f>IFERROR(__xludf.DUMMYFUNCTION("""COMPUTED_VALUE"""),1123.65)</f>
        <v>1123.65</v>
      </c>
      <c r="F3129" s="1">
        <f>IFERROR(__xludf.DUMMYFUNCTION("""COMPUTED_VALUE"""),9.299844E7)</f>
        <v>92998440</v>
      </c>
    </row>
    <row r="3130">
      <c r="A3130" s="2">
        <f>IFERROR(__xludf.DUMMYFUNCTION("""COMPUTED_VALUE"""),35906.666666666664)</f>
        <v>35906.66667</v>
      </c>
      <c r="B3130" s="1">
        <f>IFERROR(__xludf.DUMMYFUNCTION("""COMPUTED_VALUE"""),1123.65)</f>
        <v>1123.65</v>
      </c>
      <c r="C3130" s="1">
        <f>IFERROR(__xludf.DUMMYFUNCTION("""COMPUTED_VALUE"""),1129.65)</f>
        <v>1129.65</v>
      </c>
      <c r="D3130" s="1">
        <f>IFERROR(__xludf.DUMMYFUNCTION("""COMPUTED_VALUE"""),1119.54)</f>
        <v>1119.54</v>
      </c>
      <c r="E3130" s="1">
        <f>IFERROR(__xludf.DUMMYFUNCTION("""COMPUTED_VALUE"""),1126.67)</f>
        <v>1126.67</v>
      </c>
      <c r="F3130" s="1">
        <f>IFERROR(__xludf.DUMMYFUNCTION("""COMPUTED_VALUE"""),1.05568752E8)</f>
        <v>105568752</v>
      </c>
    </row>
    <row r="3131">
      <c r="A3131" s="2">
        <f>IFERROR(__xludf.DUMMYFUNCTION("""COMPUTED_VALUE"""),35907.666666666664)</f>
        <v>35907.66667</v>
      </c>
      <c r="B3131" s="1">
        <f>IFERROR(__xludf.DUMMYFUNCTION("""COMPUTED_VALUE"""),1126.67)</f>
        <v>1126.67</v>
      </c>
      <c r="C3131" s="1">
        <f>IFERROR(__xludf.DUMMYFUNCTION("""COMPUTED_VALUE"""),1132.98)</f>
        <v>1132.98</v>
      </c>
      <c r="D3131" s="1">
        <f>IFERROR(__xludf.DUMMYFUNCTION("""COMPUTED_VALUE"""),1126.29)</f>
        <v>1126.29</v>
      </c>
      <c r="E3131" s="1">
        <f>IFERROR(__xludf.DUMMYFUNCTION("""COMPUTED_VALUE"""),1130.54)</f>
        <v>1130.54</v>
      </c>
      <c r="F3131" s="1">
        <f>IFERROR(__xludf.DUMMYFUNCTION("""COMPUTED_VALUE"""),1.08865624E8)</f>
        <v>108865624</v>
      </c>
    </row>
    <row r="3132">
      <c r="A3132" s="2">
        <f>IFERROR(__xludf.DUMMYFUNCTION("""COMPUTED_VALUE"""),35908.666666666664)</f>
        <v>35908.66667</v>
      </c>
      <c r="B3132" s="1">
        <f>IFERROR(__xludf.DUMMYFUNCTION("""COMPUTED_VALUE"""),1130.54)</f>
        <v>1130.54</v>
      </c>
      <c r="C3132" s="1">
        <f>IFERROR(__xludf.DUMMYFUNCTION("""COMPUTED_VALUE"""),1130.54)</f>
        <v>1130.54</v>
      </c>
      <c r="D3132" s="1">
        <f>IFERROR(__xludf.DUMMYFUNCTION("""COMPUTED_VALUE"""),1117.49)</f>
        <v>1117.49</v>
      </c>
      <c r="E3132" s="1">
        <f>IFERROR(__xludf.DUMMYFUNCTION("""COMPUTED_VALUE"""),1119.58)</f>
        <v>1119.58</v>
      </c>
      <c r="F3132" s="1">
        <f>IFERROR(__xludf.DUMMYFUNCTION("""COMPUTED_VALUE"""),1.02060936E8)</f>
        <v>102060936</v>
      </c>
    </row>
    <row r="3133">
      <c r="A3133" s="2">
        <f>IFERROR(__xludf.DUMMYFUNCTION("""COMPUTED_VALUE"""),35909.666666666664)</f>
        <v>35909.66667</v>
      </c>
      <c r="B3133" s="1">
        <f>IFERROR(__xludf.DUMMYFUNCTION("""COMPUTED_VALUE"""),1119.58)</f>
        <v>1119.58</v>
      </c>
      <c r="C3133" s="1">
        <f>IFERROR(__xludf.DUMMYFUNCTION("""COMPUTED_VALUE"""),1122.81)</f>
        <v>1122.81</v>
      </c>
      <c r="D3133" s="1">
        <f>IFERROR(__xludf.DUMMYFUNCTION("""COMPUTED_VALUE"""),1104.77)</f>
        <v>1104.77</v>
      </c>
      <c r="E3133" s="1">
        <f>IFERROR(__xludf.DUMMYFUNCTION("""COMPUTED_VALUE"""),1107.9)</f>
        <v>1107.9</v>
      </c>
      <c r="F3133" s="1">
        <f>IFERROR(__xludf.DUMMYFUNCTION("""COMPUTED_VALUE"""),9.9045312E7)</f>
        <v>99045312</v>
      </c>
    </row>
    <row r="3134">
      <c r="A3134" s="2">
        <f>IFERROR(__xludf.DUMMYFUNCTION("""COMPUTED_VALUE"""),35912.666666666664)</f>
        <v>35912.66667</v>
      </c>
      <c r="B3134" s="1">
        <f>IFERROR(__xludf.DUMMYFUNCTION("""COMPUTED_VALUE"""),1107.9)</f>
        <v>1107.9</v>
      </c>
      <c r="C3134" s="1">
        <f>IFERROR(__xludf.DUMMYFUNCTION("""COMPUTED_VALUE"""),1107.9)</f>
        <v>1107.9</v>
      </c>
      <c r="D3134" s="1">
        <f>IFERROR(__xludf.DUMMYFUNCTION("""COMPUTED_VALUE"""),1076.7)</f>
        <v>1076.7</v>
      </c>
      <c r="E3134" s="1">
        <f>IFERROR(__xludf.DUMMYFUNCTION("""COMPUTED_VALUE"""),1086.54)</f>
        <v>1086.54</v>
      </c>
      <c r="F3134" s="1">
        <f>IFERROR(__xludf.DUMMYFUNCTION("""COMPUTED_VALUE"""),1.07181248E8)</f>
        <v>107181248</v>
      </c>
    </row>
    <row r="3135">
      <c r="A3135" s="2">
        <f>IFERROR(__xludf.DUMMYFUNCTION("""COMPUTED_VALUE"""),35913.666666666664)</f>
        <v>35913.66667</v>
      </c>
      <c r="B3135" s="1">
        <f>IFERROR(__xludf.DUMMYFUNCTION("""COMPUTED_VALUE"""),1086.54)</f>
        <v>1086.54</v>
      </c>
      <c r="C3135" s="1">
        <f>IFERROR(__xludf.DUMMYFUNCTION("""COMPUTED_VALUE"""),1095.94)</f>
        <v>1095.94</v>
      </c>
      <c r="D3135" s="1">
        <f>IFERROR(__xludf.DUMMYFUNCTION("""COMPUTED_VALUE"""),1081.49)</f>
        <v>1081.49</v>
      </c>
      <c r="E3135" s="1">
        <f>IFERROR(__xludf.DUMMYFUNCTION("""COMPUTED_VALUE"""),1085.11)</f>
        <v>1085.11</v>
      </c>
      <c r="F3135" s="1">
        <f>IFERROR(__xludf.DUMMYFUNCTION("""COMPUTED_VALUE"""),1.06031248E8)</f>
        <v>106031248</v>
      </c>
    </row>
    <row r="3136">
      <c r="A3136" s="2">
        <f>IFERROR(__xludf.DUMMYFUNCTION("""COMPUTED_VALUE"""),35914.666666666664)</f>
        <v>35914.66667</v>
      </c>
      <c r="B3136" s="1">
        <f>IFERROR(__xludf.DUMMYFUNCTION("""COMPUTED_VALUE"""),1085.11)</f>
        <v>1085.11</v>
      </c>
      <c r="C3136" s="1">
        <f>IFERROR(__xludf.DUMMYFUNCTION("""COMPUTED_VALUE"""),1098.24)</f>
        <v>1098.24</v>
      </c>
      <c r="D3136" s="1">
        <f>IFERROR(__xludf.DUMMYFUNCTION("""COMPUTED_VALUE"""),1084.65)</f>
        <v>1084.65</v>
      </c>
      <c r="E3136" s="1">
        <f>IFERROR(__xludf.DUMMYFUNCTION("""COMPUTED_VALUE"""),1094.62)</f>
        <v>1094.62</v>
      </c>
      <c r="F3136" s="1">
        <f>IFERROR(__xludf.DUMMYFUNCTION("""COMPUTED_VALUE"""),9.9810936E7)</f>
        <v>99810936</v>
      </c>
    </row>
    <row r="3137">
      <c r="A3137" s="2">
        <f>IFERROR(__xludf.DUMMYFUNCTION("""COMPUTED_VALUE"""),35915.666666666664)</f>
        <v>35915.66667</v>
      </c>
      <c r="B3137" s="1">
        <f>IFERROR(__xludf.DUMMYFUNCTION("""COMPUTED_VALUE"""),1094.63)</f>
        <v>1094.63</v>
      </c>
      <c r="C3137" s="1">
        <f>IFERROR(__xludf.DUMMYFUNCTION("""COMPUTED_VALUE"""),1116.97)</f>
        <v>1116.97</v>
      </c>
      <c r="D3137" s="1">
        <f>IFERROR(__xludf.DUMMYFUNCTION("""COMPUTED_VALUE"""),1094.63)</f>
        <v>1094.63</v>
      </c>
      <c r="E3137" s="1">
        <f>IFERROR(__xludf.DUMMYFUNCTION("""COMPUTED_VALUE"""),1111.75)</f>
        <v>1111.75</v>
      </c>
      <c r="F3137" s="1">
        <f>IFERROR(__xludf.DUMMYFUNCTION("""COMPUTED_VALUE"""),1.08687504E8)</f>
        <v>108687504</v>
      </c>
    </row>
    <row r="3138">
      <c r="A3138" s="2">
        <f>IFERROR(__xludf.DUMMYFUNCTION("""COMPUTED_VALUE"""),35916.666666666664)</f>
        <v>35916.66667</v>
      </c>
      <c r="B3138" s="1">
        <f>IFERROR(__xludf.DUMMYFUNCTION("""COMPUTED_VALUE"""),1111.75)</f>
        <v>1111.75</v>
      </c>
      <c r="C3138" s="1">
        <f>IFERROR(__xludf.DUMMYFUNCTION("""COMPUTED_VALUE"""),1121.02)</f>
        <v>1121.02</v>
      </c>
      <c r="D3138" s="1">
        <f>IFERROR(__xludf.DUMMYFUNCTION("""COMPUTED_VALUE"""),1111.75)</f>
        <v>1111.75</v>
      </c>
      <c r="E3138" s="1">
        <f>IFERROR(__xludf.DUMMYFUNCTION("""COMPUTED_VALUE"""),1121.0)</f>
        <v>1121</v>
      </c>
      <c r="F3138" s="1">
        <f>IFERROR(__xludf.DUMMYFUNCTION("""COMPUTED_VALUE"""),9.0932816E7)</f>
        <v>90932816</v>
      </c>
    </row>
    <row r="3139">
      <c r="A3139" s="2">
        <f>IFERROR(__xludf.DUMMYFUNCTION("""COMPUTED_VALUE"""),35919.666666666664)</f>
        <v>35919.66667</v>
      </c>
      <c r="B3139" s="1">
        <f>IFERROR(__xludf.DUMMYFUNCTION("""COMPUTED_VALUE"""),1121.0)</f>
        <v>1121</v>
      </c>
      <c r="C3139" s="1">
        <f>IFERROR(__xludf.DUMMYFUNCTION("""COMPUTED_VALUE"""),1130.52)</f>
        <v>1130.52</v>
      </c>
      <c r="D3139" s="1">
        <f>IFERROR(__xludf.DUMMYFUNCTION("""COMPUTED_VALUE"""),1121.0)</f>
        <v>1121</v>
      </c>
      <c r="E3139" s="1">
        <f>IFERROR(__xludf.DUMMYFUNCTION("""COMPUTED_VALUE"""),1122.07)</f>
        <v>1122.07</v>
      </c>
      <c r="F3139" s="1">
        <f>IFERROR(__xludf.DUMMYFUNCTION("""COMPUTED_VALUE"""),8.6203128E7)</f>
        <v>86203128</v>
      </c>
    </row>
    <row r="3140">
      <c r="A3140" s="2">
        <f>IFERROR(__xludf.DUMMYFUNCTION("""COMPUTED_VALUE"""),35920.666666666664)</f>
        <v>35920.66667</v>
      </c>
      <c r="B3140" s="1">
        <f>IFERROR(__xludf.DUMMYFUNCTION("""COMPUTED_VALUE"""),1122.07)</f>
        <v>1122.07</v>
      </c>
      <c r="C3140" s="1">
        <f>IFERROR(__xludf.DUMMYFUNCTION("""COMPUTED_VALUE"""),1122.07)</f>
        <v>1122.07</v>
      </c>
      <c r="D3140" s="1">
        <f>IFERROR(__xludf.DUMMYFUNCTION("""COMPUTED_VALUE"""),1111.16)</f>
        <v>1111.16</v>
      </c>
      <c r="E3140" s="1">
        <f>IFERROR(__xludf.DUMMYFUNCTION("""COMPUTED_VALUE"""),1115.5)</f>
        <v>1115.5</v>
      </c>
      <c r="F3140" s="1">
        <f>IFERROR(__xludf.DUMMYFUNCTION("""COMPUTED_VALUE"""),9.1192184E7)</f>
        <v>91192184</v>
      </c>
    </row>
    <row r="3141">
      <c r="A3141" s="2">
        <f>IFERROR(__xludf.DUMMYFUNCTION("""COMPUTED_VALUE"""),35921.666666666664)</f>
        <v>35921.66667</v>
      </c>
      <c r="B3141" s="1">
        <f>IFERROR(__xludf.DUMMYFUNCTION("""COMPUTED_VALUE"""),1115.5)</f>
        <v>1115.5</v>
      </c>
      <c r="C3141" s="1">
        <f>IFERROR(__xludf.DUMMYFUNCTION("""COMPUTED_VALUE"""),1118.39)</f>
        <v>1118.39</v>
      </c>
      <c r="D3141" s="1">
        <f>IFERROR(__xludf.DUMMYFUNCTION("""COMPUTED_VALUE"""),1104.64)</f>
        <v>1104.64</v>
      </c>
      <c r="E3141" s="1">
        <f>IFERROR(__xludf.DUMMYFUNCTION("""COMPUTED_VALUE"""),1104.92)</f>
        <v>1104.92</v>
      </c>
      <c r="F3141" s="1">
        <f>IFERROR(__xludf.DUMMYFUNCTION("""COMPUTED_VALUE"""),9.4771872E7)</f>
        <v>94771872</v>
      </c>
    </row>
    <row r="3142">
      <c r="A3142" s="2">
        <f>IFERROR(__xludf.DUMMYFUNCTION("""COMPUTED_VALUE"""),35922.666666666664)</f>
        <v>35922.66667</v>
      </c>
      <c r="B3142" s="1">
        <f>IFERROR(__xludf.DUMMYFUNCTION("""COMPUTED_VALUE"""),1104.92)</f>
        <v>1104.92</v>
      </c>
      <c r="C3142" s="1">
        <f>IFERROR(__xludf.DUMMYFUNCTION("""COMPUTED_VALUE"""),1105.58)</f>
        <v>1105.58</v>
      </c>
      <c r="D3142" s="1">
        <f>IFERROR(__xludf.DUMMYFUNCTION("""COMPUTED_VALUE"""),1094.59)</f>
        <v>1094.59</v>
      </c>
      <c r="E3142" s="1">
        <f>IFERROR(__xludf.DUMMYFUNCTION("""COMPUTED_VALUE"""),1095.14)</f>
        <v>1095.14</v>
      </c>
      <c r="F3142" s="1">
        <f>IFERROR(__xludf.DUMMYFUNCTION("""COMPUTED_VALUE"""),9.0975E7)</f>
        <v>90975000</v>
      </c>
    </row>
    <row r="3143">
      <c r="A3143" s="2">
        <f>IFERROR(__xludf.DUMMYFUNCTION("""COMPUTED_VALUE"""),35923.666666666664)</f>
        <v>35923.66667</v>
      </c>
      <c r="B3143" s="1">
        <f>IFERROR(__xludf.DUMMYFUNCTION("""COMPUTED_VALUE"""),1095.14)</f>
        <v>1095.14</v>
      </c>
      <c r="C3143" s="1">
        <f>IFERROR(__xludf.DUMMYFUNCTION("""COMPUTED_VALUE"""),1111.42)</f>
        <v>1111.42</v>
      </c>
      <c r="D3143" s="1">
        <f>IFERROR(__xludf.DUMMYFUNCTION("""COMPUTED_VALUE"""),1094.53)</f>
        <v>1094.53</v>
      </c>
      <c r="E3143" s="1">
        <f>IFERROR(__xludf.DUMMYFUNCTION("""COMPUTED_VALUE"""),1108.14)</f>
        <v>1108.14</v>
      </c>
      <c r="F3143" s="1">
        <f>IFERROR(__xludf.DUMMYFUNCTION("""COMPUTED_VALUE"""),8.8732816E7)</f>
        <v>88732816</v>
      </c>
    </row>
    <row r="3144">
      <c r="A3144" s="2">
        <f>IFERROR(__xludf.DUMMYFUNCTION("""COMPUTED_VALUE"""),35926.666666666664)</f>
        <v>35926.66667</v>
      </c>
      <c r="B3144" s="1">
        <f>IFERROR(__xludf.DUMMYFUNCTION("""COMPUTED_VALUE"""),1108.14)</f>
        <v>1108.14</v>
      </c>
      <c r="C3144" s="1">
        <f>IFERROR(__xludf.DUMMYFUNCTION("""COMPUTED_VALUE"""),1119.13)</f>
        <v>1119.13</v>
      </c>
      <c r="D3144" s="1">
        <f>IFERROR(__xludf.DUMMYFUNCTION("""COMPUTED_VALUE"""),1103.72)</f>
        <v>1103.72</v>
      </c>
      <c r="E3144" s="1">
        <f>IFERROR(__xludf.DUMMYFUNCTION("""COMPUTED_VALUE"""),1106.64)</f>
        <v>1106.64</v>
      </c>
      <c r="F3144" s="1">
        <f>IFERROR(__xludf.DUMMYFUNCTION("""COMPUTED_VALUE"""),8.7631248E7)</f>
        <v>87631248</v>
      </c>
    </row>
    <row r="3145">
      <c r="A3145" s="2">
        <f>IFERROR(__xludf.DUMMYFUNCTION("""COMPUTED_VALUE"""),35927.666666666664)</f>
        <v>35927.66667</v>
      </c>
      <c r="B3145" s="1">
        <f>IFERROR(__xludf.DUMMYFUNCTION("""COMPUTED_VALUE"""),1106.64)</f>
        <v>1106.64</v>
      </c>
      <c r="C3145" s="1">
        <f>IFERROR(__xludf.DUMMYFUNCTION("""COMPUTED_VALUE"""),1115.96)</f>
        <v>1115.96</v>
      </c>
      <c r="D3145" s="1">
        <f>IFERROR(__xludf.DUMMYFUNCTION("""COMPUTED_VALUE"""),1102.78)</f>
        <v>1102.78</v>
      </c>
      <c r="E3145" s="1">
        <f>IFERROR(__xludf.DUMMYFUNCTION("""COMPUTED_VALUE"""),1115.79)</f>
        <v>1115.79</v>
      </c>
      <c r="F3145" s="1">
        <f>IFERROR(__xludf.DUMMYFUNCTION("""COMPUTED_VALUE"""),9.4440624E7)</f>
        <v>94440624</v>
      </c>
    </row>
    <row r="3146">
      <c r="A3146" s="2">
        <f>IFERROR(__xludf.DUMMYFUNCTION("""COMPUTED_VALUE"""),35928.666666666664)</f>
        <v>35928.66667</v>
      </c>
      <c r="B3146" s="1">
        <f>IFERROR(__xludf.DUMMYFUNCTION("""COMPUTED_VALUE"""),1115.79)</f>
        <v>1115.79</v>
      </c>
      <c r="C3146" s="1">
        <f>IFERROR(__xludf.DUMMYFUNCTION("""COMPUTED_VALUE"""),1122.22)</f>
        <v>1122.22</v>
      </c>
      <c r="D3146" s="1">
        <f>IFERROR(__xludf.DUMMYFUNCTION("""COMPUTED_VALUE"""),1114.93)</f>
        <v>1114.93</v>
      </c>
      <c r="E3146" s="1">
        <f>IFERROR(__xludf.DUMMYFUNCTION("""COMPUTED_VALUE"""),1118.86)</f>
        <v>1118.86</v>
      </c>
      <c r="F3146" s="1">
        <f>IFERROR(__xludf.DUMMYFUNCTION("""COMPUTED_VALUE"""),9.375156E7)</f>
        <v>93751560</v>
      </c>
    </row>
    <row r="3147">
      <c r="A3147" s="2">
        <f>IFERROR(__xludf.DUMMYFUNCTION("""COMPUTED_VALUE"""),35929.666666666664)</f>
        <v>35929.66667</v>
      </c>
      <c r="B3147" s="1">
        <f>IFERROR(__xludf.DUMMYFUNCTION("""COMPUTED_VALUE"""),1118.86)</f>
        <v>1118.86</v>
      </c>
      <c r="C3147" s="1">
        <f>IFERROR(__xludf.DUMMYFUNCTION("""COMPUTED_VALUE"""),1124.03)</f>
        <v>1124.03</v>
      </c>
      <c r="D3147" s="1">
        <f>IFERROR(__xludf.DUMMYFUNCTION("""COMPUTED_VALUE"""),1112.43)</f>
        <v>1112.43</v>
      </c>
      <c r="E3147" s="1">
        <f>IFERROR(__xludf.DUMMYFUNCTION("""COMPUTED_VALUE"""),1117.37)</f>
        <v>1117.37</v>
      </c>
      <c r="F3147" s="1">
        <f>IFERROR(__xludf.DUMMYFUNCTION("""COMPUTED_VALUE"""),9.0371872E7)</f>
        <v>90371872</v>
      </c>
    </row>
    <row r="3148">
      <c r="A3148" s="2">
        <f>IFERROR(__xludf.DUMMYFUNCTION("""COMPUTED_VALUE"""),35930.666666666664)</f>
        <v>35930.66667</v>
      </c>
      <c r="B3148" s="1">
        <f>IFERROR(__xludf.DUMMYFUNCTION("""COMPUTED_VALUE"""),1117.37)</f>
        <v>1117.37</v>
      </c>
      <c r="C3148" s="1">
        <f>IFERROR(__xludf.DUMMYFUNCTION("""COMPUTED_VALUE"""),1118.66)</f>
        <v>1118.66</v>
      </c>
      <c r="D3148" s="1">
        <f>IFERROR(__xludf.DUMMYFUNCTION("""COMPUTED_VALUE"""),1107.11)</f>
        <v>1107.11</v>
      </c>
      <c r="E3148" s="1">
        <f>IFERROR(__xludf.DUMMYFUNCTION("""COMPUTED_VALUE"""),1108.73)</f>
        <v>1108.73</v>
      </c>
      <c r="F3148" s="1">
        <f>IFERROR(__xludf.DUMMYFUNCTION("""COMPUTED_VALUE"""),9.7185936E7)</f>
        <v>97185936</v>
      </c>
    </row>
    <row r="3149">
      <c r="A3149" s="2">
        <f>IFERROR(__xludf.DUMMYFUNCTION("""COMPUTED_VALUE"""),35933.666666666664)</f>
        <v>35933.66667</v>
      </c>
      <c r="B3149" s="1">
        <f>IFERROR(__xludf.DUMMYFUNCTION("""COMPUTED_VALUE"""),1108.73)</f>
        <v>1108.73</v>
      </c>
      <c r="C3149" s="1">
        <f>IFERROR(__xludf.DUMMYFUNCTION("""COMPUTED_VALUE"""),1112.44)</f>
        <v>1112.44</v>
      </c>
      <c r="D3149" s="1">
        <f>IFERROR(__xludf.DUMMYFUNCTION("""COMPUTED_VALUE"""),1097.99)</f>
        <v>1097.99</v>
      </c>
      <c r="E3149" s="1">
        <f>IFERROR(__xludf.DUMMYFUNCTION("""COMPUTED_VALUE"""),1105.82)</f>
        <v>1105.82</v>
      </c>
      <c r="F3149" s="1">
        <f>IFERROR(__xludf.DUMMYFUNCTION("""COMPUTED_VALUE"""),8.1109376E7)</f>
        <v>81109376</v>
      </c>
    </row>
    <row r="3150">
      <c r="A3150" s="2">
        <f>IFERROR(__xludf.DUMMYFUNCTION("""COMPUTED_VALUE"""),35934.666666666664)</f>
        <v>35934.66667</v>
      </c>
      <c r="B3150" s="1">
        <f>IFERROR(__xludf.DUMMYFUNCTION("""COMPUTED_VALUE"""),1105.82)</f>
        <v>1105.82</v>
      </c>
      <c r="C3150" s="1">
        <f>IFERROR(__xludf.DUMMYFUNCTION("""COMPUTED_VALUE"""),1113.5)</f>
        <v>1113.5</v>
      </c>
      <c r="D3150" s="1">
        <f>IFERROR(__xludf.DUMMYFUNCTION("""COMPUTED_VALUE"""),1105.82)</f>
        <v>1105.82</v>
      </c>
      <c r="E3150" s="1">
        <f>IFERROR(__xludf.DUMMYFUNCTION("""COMPUTED_VALUE"""),1109.52)</f>
        <v>1109.52</v>
      </c>
      <c r="F3150" s="1">
        <f>IFERROR(__xludf.DUMMYFUNCTION("""COMPUTED_VALUE"""),8.8440624E7)</f>
        <v>88440624</v>
      </c>
    </row>
    <row r="3151">
      <c r="A3151" s="2">
        <f>IFERROR(__xludf.DUMMYFUNCTION("""COMPUTED_VALUE"""),35935.666666666664)</f>
        <v>35935.66667</v>
      </c>
      <c r="B3151" s="1">
        <f>IFERROR(__xludf.DUMMYFUNCTION("""COMPUTED_VALUE"""),1109.52)</f>
        <v>1109.52</v>
      </c>
      <c r="C3151" s="1">
        <f>IFERROR(__xludf.DUMMYFUNCTION("""COMPUTED_VALUE"""),1119.08)</f>
        <v>1119.08</v>
      </c>
      <c r="D3151" s="1">
        <f>IFERROR(__xludf.DUMMYFUNCTION("""COMPUTED_VALUE"""),1107.51)</f>
        <v>1107.51</v>
      </c>
      <c r="E3151" s="1">
        <f>IFERROR(__xludf.DUMMYFUNCTION("""COMPUTED_VALUE"""),1119.06)</f>
        <v>1119.06</v>
      </c>
      <c r="F3151" s="1">
        <f>IFERROR(__xludf.DUMMYFUNCTION("""COMPUTED_VALUE"""),9.1756248E7)</f>
        <v>91756248</v>
      </c>
    </row>
    <row r="3152">
      <c r="A3152" s="2">
        <f>IFERROR(__xludf.DUMMYFUNCTION("""COMPUTED_VALUE"""),35936.666666666664)</f>
        <v>35936.66667</v>
      </c>
      <c r="B3152" s="1">
        <f>IFERROR(__xludf.DUMMYFUNCTION("""COMPUTED_VALUE"""),1119.06)</f>
        <v>1119.06</v>
      </c>
      <c r="C3152" s="1">
        <f>IFERROR(__xludf.DUMMYFUNCTION("""COMPUTED_VALUE"""),1124.45)</f>
        <v>1124.45</v>
      </c>
      <c r="D3152" s="1">
        <f>IFERROR(__xludf.DUMMYFUNCTION("""COMPUTED_VALUE"""),1111.94)</f>
        <v>1111.94</v>
      </c>
      <c r="E3152" s="1">
        <f>IFERROR(__xludf.DUMMYFUNCTION("""COMPUTED_VALUE"""),1114.64)</f>
        <v>1114.64</v>
      </c>
      <c r="F3152" s="1">
        <f>IFERROR(__xludf.DUMMYFUNCTION("""COMPUTED_VALUE"""),8.6245312E7)</f>
        <v>86245312</v>
      </c>
    </row>
    <row r="3153">
      <c r="A3153" s="2">
        <f>IFERROR(__xludf.DUMMYFUNCTION("""COMPUTED_VALUE"""),35937.666666666664)</f>
        <v>35937.66667</v>
      </c>
      <c r="B3153" s="1">
        <f>IFERROR(__xludf.DUMMYFUNCTION("""COMPUTED_VALUE"""),1114.64)</f>
        <v>1114.64</v>
      </c>
      <c r="C3153" s="1">
        <f>IFERROR(__xludf.DUMMYFUNCTION("""COMPUTED_VALUE"""),1116.89)</f>
        <v>1116.89</v>
      </c>
      <c r="D3153" s="1">
        <f>IFERROR(__xludf.DUMMYFUNCTION("""COMPUTED_VALUE"""),1107.99)</f>
        <v>1107.99</v>
      </c>
      <c r="E3153" s="1">
        <f>IFERROR(__xludf.DUMMYFUNCTION("""COMPUTED_VALUE"""),1110.47)</f>
        <v>1110.47</v>
      </c>
      <c r="F3153" s="1">
        <f>IFERROR(__xludf.DUMMYFUNCTION("""COMPUTED_VALUE"""),6.9385936E7)</f>
        <v>69385936</v>
      </c>
    </row>
    <row r="3154">
      <c r="A3154" s="2">
        <f>IFERROR(__xludf.DUMMYFUNCTION("""COMPUTED_VALUE"""),35941.666666666664)</f>
        <v>35941.66667</v>
      </c>
      <c r="B3154" s="1">
        <f>IFERROR(__xludf.DUMMYFUNCTION("""COMPUTED_VALUE"""),1110.47)</f>
        <v>1110.47</v>
      </c>
      <c r="C3154" s="1">
        <f>IFERROR(__xludf.DUMMYFUNCTION("""COMPUTED_VALUE"""),1116.79)</f>
        <v>1116.79</v>
      </c>
      <c r="D3154" s="1">
        <f>IFERROR(__xludf.DUMMYFUNCTION("""COMPUTED_VALUE"""),1094.01)</f>
        <v>1094.01</v>
      </c>
      <c r="E3154" s="1">
        <f>IFERROR(__xludf.DUMMYFUNCTION("""COMPUTED_VALUE"""),1094.02)</f>
        <v>1094.02</v>
      </c>
      <c r="F3154" s="1">
        <f>IFERROR(__xludf.DUMMYFUNCTION("""COMPUTED_VALUE"""),8.4595312E7)</f>
        <v>84595312</v>
      </c>
    </row>
    <row r="3155">
      <c r="A3155" s="2">
        <f>IFERROR(__xludf.DUMMYFUNCTION("""COMPUTED_VALUE"""),35942.666666666664)</f>
        <v>35942.66667</v>
      </c>
      <c r="B3155" s="1">
        <f>IFERROR(__xludf.DUMMYFUNCTION("""COMPUTED_VALUE"""),1094.02)</f>
        <v>1094.02</v>
      </c>
      <c r="C3155" s="1">
        <f>IFERROR(__xludf.DUMMYFUNCTION("""COMPUTED_VALUE"""),1094.44)</f>
        <v>1094.44</v>
      </c>
      <c r="D3155" s="1">
        <f>IFERROR(__xludf.DUMMYFUNCTION("""COMPUTED_VALUE"""),1074.39)</f>
        <v>1074.39</v>
      </c>
      <c r="E3155" s="1">
        <f>IFERROR(__xludf.DUMMYFUNCTION("""COMPUTED_VALUE"""),1092.23)</f>
        <v>1092.23</v>
      </c>
      <c r="F3155" s="1">
        <f>IFERROR(__xludf.DUMMYFUNCTION("""COMPUTED_VALUE"""),1.06568752E8)</f>
        <v>106568752</v>
      </c>
    </row>
    <row r="3156">
      <c r="A3156" s="2">
        <f>IFERROR(__xludf.DUMMYFUNCTION("""COMPUTED_VALUE"""),35943.666666666664)</f>
        <v>35943.66667</v>
      </c>
      <c r="B3156" s="1">
        <f>IFERROR(__xludf.DUMMYFUNCTION("""COMPUTED_VALUE"""),1092.23)</f>
        <v>1092.23</v>
      </c>
      <c r="C3156" s="1">
        <f>IFERROR(__xludf.DUMMYFUNCTION("""COMPUTED_VALUE"""),1099.73)</f>
        <v>1099.73</v>
      </c>
      <c r="D3156" s="1">
        <f>IFERROR(__xludf.DUMMYFUNCTION("""COMPUTED_VALUE"""),1089.06)</f>
        <v>1089.06</v>
      </c>
      <c r="E3156" s="1">
        <f>IFERROR(__xludf.DUMMYFUNCTION("""COMPUTED_VALUE"""),1097.6)</f>
        <v>1097.6</v>
      </c>
      <c r="F3156" s="1">
        <f>IFERROR(__xludf.DUMMYFUNCTION("""COMPUTED_VALUE"""),9.2015624E7)</f>
        <v>92015624</v>
      </c>
    </row>
    <row r="3157">
      <c r="A3157" s="2">
        <f>IFERROR(__xludf.DUMMYFUNCTION("""COMPUTED_VALUE"""),35944.666666666664)</f>
        <v>35944.66667</v>
      </c>
      <c r="B3157" s="1">
        <f>IFERROR(__xludf.DUMMYFUNCTION("""COMPUTED_VALUE"""),1097.6)</f>
        <v>1097.6</v>
      </c>
      <c r="C3157" s="1">
        <f>IFERROR(__xludf.DUMMYFUNCTION("""COMPUTED_VALUE"""),1104.16)</f>
        <v>1104.16</v>
      </c>
      <c r="D3157" s="1">
        <f>IFERROR(__xludf.DUMMYFUNCTION("""COMPUTED_VALUE"""),1090.82)</f>
        <v>1090.82</v>
      </c>
      <c r="E3157" s="1">
        <f>IFERROR(__xludf.DUMMYFUNCTION("""COMPUTED_VALUE"""),1090.82)</f>
        <v>1090.82</v>
      </c>
      <c r="F3157" s="1">
        <f>IFERROR(__xludf.DUMMYFUNCTION("""COMPUTED_VALUE"""),8.6996872E7)</f>
        <v>86996872</v>
      </c>
    </row>
    <row r="3158">
      <c r="A3158" s="2">
        <f>IFERROR(__xludf.DUMMYFUNCTION("""COMPUTED_VALUE"""),35947.666666666664)</f>
        <v>35947.66667</v>
      </c>
      <c r="B3158" s="1">
        <f>IFERROR(__xludf.DUMMYFUNCTION("""COMPUTED_VALUE"""),1090.82)</f>
        <v>1090.82</v>
      </c>
      <c r="C3158" s="1">
        <f>IFERROR(__xludf.DUMMYFUNCTION("""COMPUTED_VALUE"""),1097.85)</f>
        <v>1097.85</v>
      </c>
      <c r="D3158" s="1">
        <f>IFERROR(__xludf.DUMMYFUNCTION("""COMPUTED_VALUE"""),1084.22)</f>
        <v>1084.22</v>
      </c>
      <c r="E3158" s="1">
        <f>IFERROR(__xludf.DUMMYFUNCTION("""COMPUTED_VALUE"""),1090.98)</f>
        <v>1090.98</v>
      </c>
      <c r="F3158" s="1">
        <f>IFERROR(__xludf.DUMMYFUNCTION("""COMPUTED_VALUE"""),8.4009376E7)</f>
        <v>84009376</v>
      </c>
    </row>
    <row r="3159">
      <c r="A3159" s="2">
        <f>IFERROR(__xludf.DUMMYFUNCTION("""COMPUTED_VALUE"""),35948.666666666664)</f>
        <v>35948.66667</v>
      </c>
      <c r="B3159" s="1">
        <f>IFERROR(__xludf.DUMMYFUNCTION("""COMPUTED_VALUE"""),1090.98)</f>
        <v>1090.98</v>
      </c>
      <c r="C3159" s="1">
        <f>IFERROR(__xludf.DUMMYFUNCTION("""COMPUTED_VALUE"""),1098.71)</f>
        <v>1098.71</v>
      </c>
      <c r="D3159" s="1">
        <f>IFERROR(__xludf.DUMMYFUNCTION("""COMPUTED_VALUE"""),1089.67)</f>
        <v>1089.67</v>
      </c>
      <c r="E3159" s="1">
        <f>IFERROR(__xludf.DUMMYFUNCTION("""COMPUTED_VALUE"""),1093.22)</f>
        <v>1093.22</v>
      </c>
      <c r="F3159" s="1">
        <f>IFERROR(__xludf.DUMMYFUNCTION("""COMPUTED_VALUE"""),9.2332816E7)</f>
        <v>92332816</v>
      </c>
    </row>
    <row r="3160">
      <c r="A3160" s="2">
        <f>IFERROR(__xludf.DUMMYFUNCTION("""COMPUTED_VALUE"""),35949.666666666664)</f>
        <v>35949.66667</v>
      </c>
      <c r="B3160" s="1">
        <f>IFERROR(__xludf.DUMMYFUNCTION("""COMPUTED_VALUE"""),1093.22)</f>
        <v>1093.22</v>
      </c>
      <c r="C3160" s="1">
        <f>IFERROR(__xludf.DUMMYFUNCTION("""COMPUTED_VALUE"""),1097.43)</f>
        <v>1097.43</v>
      </c>
      <c r="D3160" s="1">
        <f>IFERROR(__xludf.DUMMYFUNCTION("""COMPUTED_VALUE"""),1081.09)</f>
        <v>1081.09</v>
      </c>
      <c r="E3160" s="1">
        <f>IFERROR(__xludf.DUMMYFUNCTION("""COMPUTED_VALUE"""),1082.73)</f>
        <v>1082.73</v>
      </c>
      <c r="F3160" s="1">
        <f>IFERROR(__xludf.DUMMYFUNCTION("""COMPUTED_VALUE"""),9.1325E7)</f>
        <v>91325000</v>
      </c>
    </row>
    <row r="3161">
      <c r="A3161" s="2">
        <f>IFERROR(__xludf.DUMMYFUNCTION("""COMPUTED_VALUE"""),35950.666666666664)</f>
        <v>35950.66667</v>
      </c>
      <c r="B3161" s="1">
        <f>IFERROR(__xludf.DUMMYFUNCTION("""COMPUTED_VALUE"""),1082.73)</f>
        <v>1082.73</v>
      </c>
      <c r="C3161" s="1">
        <f>IFERROR(__xludf.DUMMYFUNCTION("""COMPUTED_VALUE"""),1095.93)</f>
        <v>1095.93</v>
      </c>
      <c r="D3161" s="1">
        <f>IFERROR(__xludf.DUMMYFUNCTION("""COMPUTED_VALUE"""),1078.1)</f>
        <v>1078.1</v>
      </c>
      <c r="E3161" s="1">
        <f>IFERROR(__xludf.DUMMYFUNCTION("""COMPUTED_VALUE"""),1094.83)</f>
        <v>1094.83</v>
      </c>
      <c r="F3161" s="1">
        <f>IFERROR(__xludf.DUMMYFUNCTION("""COMPUTED_VALUE"""),9.0229688E7)</f>
        <v>90229688</v>
      </c>
    </row>
    <row r="3162">
      <c r="A3162" s="2">
        <f>IFERROR(__xludf.DUMMYFUNCTION("""COMPUTED_VALUE"""),35951.666666666664)</f>
        <v>35951.66667</v>
      </c>
      <c r="B3162" s="1">
        <f>IFERROR(__xludf.DUMMYFUNCTION("""COMPUTED_VALUE"""),1094.83)</f>
        <v>1094.83</v>
      </c>
      <c r="C3162" s="1">
        <f>IFERROR(__xludf.DUMMYFUNCTION("""COMPUTED_VALUE"""),1113.88)</f>
        <v>1113.88</v>
      </c>
      <c r="D3162" s="1">
        <f>IFERROR(__xludf.DUMMYFUNCTION("""COMPUTED_VALUE"""),1084.28)</f>
        <v>1084.28</v>
      </c>
      <c r="E3162" s="1">
        <f>IFERROR(__xludf.DUMMYFUNCTION("""COMPUTED_VALUE"""),1113.86)</f>
        <v>1113.86</v>
      </c>
      <c r="F3162" s="1">
        <f>IFERROR(__xludf.DUMMYFUNCTION("""COMPUTED_VALUE"""),8.7256248E7)</f>
        <v>87256248</v>
      </c>
    </row>
    <row r="3163">
      <c r="A3163" s="2">
        <f>IFERROR(__xludf.DUMMYFUNCTION("""COMPUTED_VALUE"""),35954.666666666664)</f>
        <v>35954.66667</v>
      </c>
      <c r="B3163" s="1">
        <f>IFERROR(__xludf.DUMMYFUNCTION("""COMPUTED_VALUE"""),1113.86)</f>
        <v>1113.86</v>
      </c>
      <c r="C3163" s="1">
        <f>IFERROR(__xludf.DUMMYFUNCTION("""COMPUTED_VALUE"""),1119.7)</f>
        <v>1119.7</v>
      </c>
      <c r="D3163" s="1">
        <f>IFERROR(__xludf.DUMMYFUNCTION("""COMPUTED_VALUE"""),1113.31)</f>
        <v>1113.31</v>
      </c>
      <c r="E3163" s="1">
        <f>IFERROR(__xludf.DUMMYFUNCTION("""COMPUTED_VALUE"""),1115.74)</f>
        <v>1115.74</v>
      </c>
      <c r="F3163" s="1">
        <f>IFERROR(__xludf.DUMMYFUNCTION("""COMPUTED_VALUE"""),8.4904688E7)</f>
        <v>84904688</v>
      </c>
    </row>
    <row r="3164">
      <c r="A3164" s="2">
        <f>IFERROR(__xludf.DUMMYFUNCTION("""COMPUTED_VALUE"""),35955.666666666664)</f>
        <v>35955.66667</v>
      </c>
      <c r="B3164" s="1">
        <f>IFERROR(__xludf.DUMMYFUNCTION("""COMPUTED_VALUE"""),1115.72)</f>
        <v>1115.72</v>
      </c>
      <c r="C3164" s="1">
        <f>IFERROR(__xludf.DUMMYFUNCTION("""COMPUTED_VALUE"""),1119.92)</f>
        <v>1119.92</v>
      </c>
      <c r="D3164" s="1">
        <f>IFERROR(__xludf.DUMMYFUNCTION("""COMPUTED_VALUE"""),1111.31)</f>
        <v>1111.31</v>
      </c>
      <c r="E3164" s="1">
        <f>IFERROR(__xludf.DUMMYFUNCTION("""COMPUTED_VALUE"""),1118.41)</f>
        <v>1118.41</v>
      </c>
      <c r="F3164" s="1">
        <f>IFERROR(__xludf.DUMMYFUNCTION("""COMPUTED_VALUE"""),8.8064064E7)</f>
        <v>88064064</v>
      </c>
    </row>
    <row r="3165">
      <c r="A3165" s="2">
        <f>IFERROR(__xludf.DUMMYFUNCTION("""COMPUTED_VALUE"""),35956.666666666664)</f>
        <v>35956.66667</v>
      </c>
      <c r="B3165" s="1">
        <f>IFERROR(__xludf.DUMMYFUNCTION("""COMPUTED_VALUE"""),1118.41)</f>
        <v>1118.41</v>
      </c>
      <c r="C3165" s="1">
        <f>IFERROR(__xludf.DUMMYFUNCTION("""COMPUTED_VALUE"""),1126.0)</f>
        <v>1126</v>
      </c>
      <c r="D3165" s="1">
        <f>IFERROR(__xludf.DUMMYFUNCTION("""COMPUTED_VALUE"""),1110.27)</f>
        <v>1110.27</v>
      </c>
      <c r="E3165" s="1">
        <f>IFERROR(__xludf.DUMMYFUNCTION("""COMPUTED_VALUE"""),1112.28)</f>
        <v>1112.28</v>
      </c>
      <c r="F3165" s="1">
        <f>IFERROR(__xludf.DUMMYFUNCTION("""COMPUTED_VALUE"""),9.5220312E7)</f>
        <v>95220312</v>
      </c>
    </row>
    <row r="3166">
      <c r="A3166" s="2">
        <f>IFERROR(__xludf.DUMMYFUNCTION("""COMPUTED_VALUE"""),35957.666666666664)</f>
        <v>35957.66667</v>
      </c>
      <c r="B3166" s="1">
        <f>IFERROR(__xludf.DUMMYFUNCTION("""COMPUTED_VALUE"""),1112.28)</f>
        <v>1112.28</v>
      </c>
      <c r="C3166" s="1">
        <f>IFERROR(__xludf.DUMMYFUNCTION("""COMPUTED_VALUE"""),1114.2)</f>
        <v>1114.2</v>
      </c>
      <c r="D3166" s="1">
        <f>IFERROR(__xludf.DUMMYFUNCTION("""COMPUTED_VALUE"""),1094.28)</f>
        <v>1094.28</v>
      </c>
      <c r="E3166" s="1">
        <f>IFERROR(__xludf.DUMMYFUNCTION("""COMPUTED_VALUE"""),1094.58)</f>
        <v>1094.58</v>
      </c>
      <c r="F3166" s="1">
        <f>IFERROR(__xludf.DUMMYFUNCTION("""COMPUTED_VALUE"""),9.8042184E7)</f>
        <v>98042184</v>
      </c>
    </row>
    <row r="3167">
      <c r="A3167" s="2">
        <f>IFERROR(__xludf.DUMMYFUNCTION("""COMPUTED_VALUE"""),35958.666666666664)</f>
        <v>35958.66667</v>
      </c>
      <c r="B3167" s="1">
        <f>IFERROR(__xludf.DUMMYFUNCTION("""COMPUTED_VALUE"""),1094.58)</f>
        <v>1094.58</v>
      </c>
      <c r="C3167" s="1">
        <f>IFERROR(__xludf.DUMMYFUNCTION("""COMPUTED_VALUE"""),1098.84)</f>
        <v>1098.84</v>
      </c>
      <c r="D3167" s="1">
        <f>IFERROR(__xludf.DUMMYFUNCTION("""COMPUTED_VALUE"""),1080.83)</f>
        <v>1080.83</v>
      </c>
      <c r="E3167" s="1">
        <f>IFERROR(__xludf.DUMMYFUNCTION("""COMPUTED_VALUE"""),1098.84)</f>
        <v>1098.84</v>
      </c>
      <c r="F3167" s="1">
        <f>IFERROR(__xludf.DUMMYFUNCTION("""COMPUTED_VALUE"""),9.8953128E7)</f>
        <v>98953128</v>
      </c>
    </row>
    <row r="3168">
      <c r="A3168" s="2">
        <f>IFERROR(__xludf.DUMMYFUNCTION("""COMPUTED_VALUE"""),35961.666666666664)</f>
        <v>35961.66667</v>
      </c>
      <c r="B3168" s="1">
        <f>IFERROR(__xludf.DUMMYFUNCTION("""COMPUTED_VALUE"""),1098.84)</f>
        <v>1098.84</v>
      </c>
      <c r="C3168" s="1">
        <f>IFERROR(__xludf.DUMMYFUNCTION("""COMPUTED_VALUE"""),1098.84)</f>
        <v>1098.84</v>
      </c>
      <c r="D3168" s="1">
        <f>IFERROR(__xludf.DUMMYFUNCTION("""COMPUTED_VALUE"""),1077.01)</f>
        <v>1077.01</v>
      </c>
      <c r="E3168" s="1">
        <f>IFERROR(__xludf.DUMMYFUNCTION("""COMPUTED_VALUE"""),1077.01)</f>
        <v>1077.01</v>
      </c>
      <c r="F3168" s="1">
        <f>IFERROR(__xludf.DUMMYFUNCTION("""COMPUTED_VALUE"""),9.3096872E7)</f>
        <v>93096872</v>
      </c>
    </row>
    <row r="3169">
      <c r="A3169" s="2">
        <f>IFERROR(__xludf.DUMMYFUNCTION("""COMPUTED_VALUE"""),35962.666666666664)</f>
        <v>35962.66667</v>
      </c>
      <c r="B3169" s="1">
        <f>IFERROR(__xludf.DUMMYFUNCTION("""COMPUTED_VALUE"""),1077.01)</f>
        <v>1077.01</v>
      </c>
      <c r="C3169" s="1">
        <f>IFERROR(__xludf.DUMMYFUNCTION("""COMPUTED_VALUE"""),1087.59)</f>
        <v>1087.59</v>
      </c>
      <c r="D3169" s="1">
        <f>IFERROR(__xludf.DUMMYFUNCTION("""COMPUTED_VALUE"""),1074.67)</f>
        <v>1074.67</v>
      </c>
      <c r="E3169" s="1">
        <f>IFERROR(__xludf.DUMMYFUNCTION("""COMPUTED_VALUE"""),1087.59)</f>
        <v>1087.59</v>
      </c>
      <c r="F3169" s="1">
        <f>IFERROR(__xludf.DUMMYFUNCTION("""COMPUTED_VALUE"""),1.03843752E8)</f>
        <v>103843752</v>
      </c>
    </row>
    <row r="3170">
      <c r="A3170" s="2">
        <f>IFERROR(__xludf.DUMMYFUNCTION("""COMPUTED_VALUE"""),35963.666666666664)</f>
        <v>35963.66667</v>
      </c>
      <c r="B3170" s="1">
        <f>IFERROR(__xludf.DUMMYFUNCTION("""COMPUTED_VALUE"""),1087.59)</f>
        <v>1087.59</v>
      </c>
      <c r="C3170" s="1">
        <f>IFERROR(__xludf.DUMMYFUNCTION("""COMPUTED_VALUE"""),1112.87)</f>
        <v>1112.87</v>
      </c>
      <c r="D3170" s="1">
        <f>IFERROR(__xludf.DUMMYFUNCTION("""COMPUTED_VALUE"""),1087.58)</f>
        <v>1087.58</v>
      </c>
      <c r="E3170" s="1">
        <f>IFERROR(__xludf.DUMMYFUNCTION("""COMPUTED_VALUE"""),1107.1)</f>
        <v>1107.1</v>
      </c>
      <c r="F3170" s="1">
        <f>IFERROR(__xludf.DUMMYFUNCTION("""COMPUTED_VALUE"""),1.16312496E8)</f>
        <v>116312496</v>
      </c>
    </row>
    <row r="3171">
      <c r="A3171" s="2">
        <f>IFERROR(__xludf.DUMMYFUNCTION("""COMPUTED_VALUE"""),35964.666666666664)</f>
        <v>35964.66667</v>
      </c>
      <c r="B3171" s="1">
        <f>IFERROR(__xludf.DUMMYFUNCTION("""COMPUTED_VALUE"""),1107.11)</f>
        <v>1107.11</v>
      </c>
      <c r="C3171" s="1">
        <f>IFERROR(__xludf.DUMMYFUNCTION("""COMPUTED_VALUE"""),1109.36)</f>
        <v>1109.36</v>
      </c>
      <c r="D3171" s="1">
        <f>IFERROR(__xludf.DUMMYFUNCTION("""COMPUTED_VALUE"""),1103.71)</f>
        <v>1103.71</v>
      </c>
      <c r="E3171" s="1">
        <f>IFERROR(__xludf.DUMMYFUNCTION("""COMPUTED_VALUE"""),1106.37)</f>
        <v>1106.37</v>
      </c>
      <c r="F3171" s="1">
        <f>IFERROR(__xludf.DUMMYFUNCTION("""COMPUTED_VALUE"""),9.2256248E7)</f>
        <v>92256248</v>
      </c>
    </row>
    <row r="3172">
      <c r="A3172" s="2">
        <f>IFERROR(__xludf.DUMMYFUNCTION("""COMPUTED_VALUE"""),35965.666666666664)</f>
        <v>35965.66667</v>
      </c>
      <c r="B3172" s="1">
        <f>IFERROR(__xludf.DUMMYFUNCTION("""COMPUTED_VALUE"""),1106.37)</f>
        <v>1106.37</v>
      </c>
      <c r="C3172" s="1">
        <f>IFERROR(__xludf.DUMMYFUNCTION("""COMPUTED_VALUE"""),1111.25)</f>
        <v>1111.25</v>
      </c>
      <c r="D3172" s="1">
        <f>IFERROR(__xludf.DUMMYFUNCTION("""COMPUTED_VALUE"""),1097.1)</f>
        <v>1097.1</v>
      </c>
      <c r="E3172" s="1">
        <f>IFERROR(__xludf.DUMMYFUNCTION("""COMPUTED_VALUE"""),1100.65)</f>
        <v>1100.65</v>
      </c>
      <c r="F3172" s="1">
        <f>IFERROR(__xludf.DUMMYFUNCTION("""COMPUTED_VALUE"""),1.11796872E8)</f>
        <v>111796872</v>
      </c>
    </row>
    <row r="3173">
      <c r="A3173" s="2">
        <f>IFERROR(__xludf.DUMMYFUNCTION("""COMPUTED_VALUE"""),35968.666666666664)</f>
        <v>35968.66667</v>
      </c>
      <c r="B3173" s="1">
        <f>IFERROR(__xludf.DUMMYFUNCTION("""COMPUTED_VALUE"""),1100.65)</f>
        <v>1100.65</v>
      </c>
      <c r="C3173" s="1">
        <f>IFERROR(__xludf.DUMMYFUNCTION("""COMPUTED_VALUE"""),1109.01)</f>
        <v>1109.01</v>
      </c>
      <c r="D3173" s="1">
        <f>IFERROR(__xludf.DUMMYFUNCTION("""COMPUTED_VALUE"""),1099.42)</f>
        <v>1099.42</v>
      </c>
      <c r="E3173" s="1">
        <f>IFERROR(__xludf.DUMMYFUNCTION("""COMPUTED_VALUE"""),1103.2)</f>
        <v>1103.2</v>
      </c>
      <c r="F3173" s="1">
        <f>IFERROR(__xludf.DUMMYFUNCTION("""COMPUTED_VALUE"""),8.3054688E7)</f>
        <v>83054688</v>
      </c>
    </row>
    <row r="3174">
      <c r="A3174" s="2">
        <f>IFERROR(__xludf.DUMMYFUNCTION("""COMPUTED_VALUE"""),35969.666666666664)</f>
        <v>35969.66667</v>
      </c>
      <c r="B3174" s="1">
        <f>IFERROR(__xludf.DUMMYFUNCTION("""COMPUTED_VALUE"""),1103.21)</f>
        <v>1103.21</v>
      </c>
      <c r="C3174" s="1">
        <f>IFERROR(__xludf.DUMMYFUNCTION("""COMPUTED_VALUE"""),1119.49)</f>
        <v>1119.49</v>
      </c>
      <c r="D3174" s="1">
        <f>IFERROR(__xludf.DUMMYFUNCTION("""COMPUTED_VALUE"""),1103.21)</f>
        <v>1103.21</v>
      </c>
      <c r="E3174" s="1">
        <f>IFERROR(__xludf.DUMMYFUNCTION("""COMPUTED_VALUE"""),1119.49)</f>
        <v>1119.49</v>
      </c>
      <c r="F3174" s="1">
        <f>IFERROR(__xludf.DUMMYFUNCTION("""COMPUTED_VALUE"""),1.02671872E8)</f>
        <v>102671872</v>
      </c>
    </row>
    <row r="3175">
      <c r="A3175" s="2">
        <f>IFERROR(__xludf.DUMMYFUNCTION("""COMPUTED_VALUE"""),35970.666666666664)</f>
        <v>35970.66667</v>
      </c>
      <c r="B3175" s="1">
        <f>IFERROR(__xludf.DUMMYFUNCTION("""COMPUTED_VALUE"""),1119.49)</f>
        <v>1119.49</v>
      </c>
      <c r="C3175" s="1">
        <f>IFERROR(__xludf.DUMMYFUNCTION("""COMPUTED_VALUE"""),1134.4)</f>
        <v>1134.4</v>
      </c>
      <c r="D3175" s="1">
        <f>IFERROR(__xludf.DUMMYFUNCTION("""COMPUTED_VALUE"""),1115.1)</f>
        <v>1115.1</v>
      </c>
      <c r="E3175" s="1">
        <f>IFERROR(__xludf.DUMMYFUNCTION("""COMPUTED_VALUE"""),1132.88)</f>
        <v>1132.88</v>
      </c>
      <c r="F3175" s="1">
        <f>IFERROR(__xludf.DUMMYFUNCTION("""COMPUTED_VALUE"""),1.11703128E8)</f>
        <v>111703128</v>
      </c>
    </row>
    <row r="3176">
      <c r="A3176" s="2">
        <f>IFERROR(__xludf.DUMMYFUNCTION("""COMPUTED_VALUE"""),35971.666666666664)</f>
        <v>35971.66667</v>
      </c>
      <c r="B3176" s="1">
        <f>IFERROR(__xludf.DUMMYFUNCTION("""COMPUTED_VALUE"""),1132.88)</f>
        <v>1132.88</v>
      </c>
      <c r="C3176" s="1">
        <f>IFERROR(__xludf.DUMMYFUNCTION("""COMPUTED_VALUE"""),1142.04)</f>
        <v>1142.04</v>
      </c>
      <c r="D3176" s="1">
        <f>IFERROR(__xludf.DUMMYFUNCTION("""COMPUTED_VALUE"""),1127.6)</f>
        <v>1127.6</v>
      </c>
      <c r="E3176" s="1">
        <f>IFERROR(__xludf.DUMMYFUNCTION("""COMPUTED_VALUE"""),1129.28)</f>
        <v>1129.28</v>
      </c>
      <c r="F3176" s="1">
        <f>IFERROR(__xludf.DUMMYFUNCTION("""COMPUTED_VALUE"""),1.04671872E8)</f>
        <v>104671872</v>
      </c>
    </row>
    <row r="3177">
      <c r="A3177" s="2">
        <f>IFERROR(__xludf.DUMMYFUNCTION("""COMPUTED_VALUE"""),35972.666666666664)</f>
        <v>35972.66667</v>
      </c>
      <c r="B3177" s="1">
        <f>IFERROR(__xludf.DUMMYFUNCTION("""COMPUTED_VALUE"""),1129.28)</f>
        <v>1129.28</v>
      </c>
      <c r="C3177" s="1">
        <f>IFERROR(__xludf.DUMMYFUNCTION("""COMPUTED_VALUE"""),1136.83)</f>
        <v>1136.83</v>
      </c>
      <c r="D3177" s="1">
        <f>IFERROR(__xludf.DUMMYFUNCTION("""COMPUTED_VALUE"""),1129.28)</f>
        <v>1129.28</v>
      </c>
      <c r="E3177" s="1">
        <f>IFERROR(__xludf.DUMMYFUNCTION("""COMPUTED_VALUE"""),1133.2)</f>
        <v>1133.2</v>
      </c>
      <c r="F3177" s="1">
        <f>IFERROR(__xludf.DUMMYFUNCTION("""COMPUTED_VALUE"""),8.1257816E7)</f>
        <v>81257816</v>
      </c>
    </row>
    <row r="3178">
      <c r="A3178" s="2">
        <f>IFERROR(__xludf.DUMMYFUNCTION("""COMPUTED_VALUE"""),35975.666666666664)</f>
        <v>35975.66667</v>
      </c>
      <c r="B3178" s="1">
        <f>IFERROR(__xludf.DUMMYFUNCTION("""COMPUTED_VALUE"""),1133.2)</f>
        <v>1133.2</v>
      </c>
      <c r="C3178" s="1">
        <f>IFERROR(__xludf.DUMMYFUNCTION("""COMPUTED_VALUE"""),1145.15)</f>
        <v>1145.15</v>
      </c>
      <c r="D3178" s="1">
        <f>IFERROR(__xludf.DUMMYFUNCTION("""COMPUTED_VALUE"""),1133.2)</f>
        <v>1133.2</v>
      </c>
      <c r="E3178" s="1">
        <f>IFERROR(__xludf.DUMMYFUNCTION("""COMPUTED_VALUE"""),1138.49)</f>
        <v>1138.49</v>
      </c>
      <c r="F3178" s="1">
        <f>IFERROR(__xludf.DUMMYFUNCTION("""COMPUTED_VALUE"""),8.8179688E7)</f>
        <v>88179688</v>
      </c>
    </row>
    <row r="3179">
      <c r="A3179" s="2">
        <f>IFERROR(__xludf.DUMMYFUNCTION("""COMPUTED_VALUE"""),35976.666666666664)</f>
        <v>35976.66667</v>
      </c>
      <c r="B3179" s="1">
        <f>IFERROR(__xludf.DUMMYFUNCTION("""COMPUTED_VALUE"""),1138.49)</f>
        <v>1138.49</v>
      </c>
      <c r="C3179" s="1">
        <f>IFERROR(__xludf.DUMMYFUNCTION("""COMPUTED_VALUE"""),1140.8)</f>
        <v>1140.8</v>
      </c>
      <c r="D3179" s="1">
        <f>IFERROR(__xludf.DUMMYFUNCTION("""COMPUTED_VALUE"""),1131.98)</f>
        <v>1131.98</v>
      </c>
      <c r="E3179" s="1">
        <f>IFERROR(__xludf.DUMMYFUNCTION("""COMPUTED_VALUE"""),1133.84)</f>
        <v>1133.84</v>
      </c>
      <c r="F3179" s="1">
        <f>IFERROR(__xludf.DUMMYFUNCTION("""COMPUTED_VALUE"""),1.18312496E8)</f>
        <v>118312496</v>
      </c>
    </row>
    <row r="3180">
      <c r="A3180" s="2">
        <f>IFERROR(__xludf.DUMMYFUNCTION("""COMPUTED_VALUE"""),35977.666666666664)</f>
        <v>35977.66667</v>
      </c>
      <c r="B3180" s="1">
        <f>IFERROR(__xludf.DUMMYFUNCTION("""COMPUTED_VALUE"""),1133.84)</f>
        <v>1133.84</v>
      </c>
      <c r="C3180" s="1">
        <f>IFERROR(__xludf.DUMMYFUNCTION("""COMPUTED_VALUE"""),1148.56)</f>
        <v>1148.56</v>
      </c>
      <c r="D3180" s="1">
        <f>IFERROR(__xludf.DUMMYFUNCTION("""COMPUTED_VALUE"""),1133.84)</f>
        <v>1133.84</v>
      </c>
      <c r="E3180" s="1">
        <f>IFERROR(__xludf.DUMMYFUNCTION("""COMPUTED_VALUE"""),1148.56)</f>
        <v>1148.56</v>
      </c>
      <c r="F3180" s="1">
        <f>IFERROR(__xludf.DUMMYFUNCTION("""COMPUTED_VALUE"""),1.09625E8)</f>
        <v>109625000</v>
      </c>
    </row>
    <row r="3181">
      <c r="A3181" s="2">
        <f>IFERROR(__xludf.DUMMYFUNCTION("""COMPUTED_VALUE"""),35978.666666666664)</f>
        <v>35978.66667</v>
      </c>
      <c r="B3181" s="1">
        <f>IFERROR(__xludf.DUMMYFUNCTION("""COMPUTED_VALUE"""),1148.56)</f>
        <v>1148.56</v>
      </c>
      <c r="C3181" s="1">
        <f>IFERROR(__xludf.DUMMYFUNCTION("""COMPUTED_VALUE"""),1148.56)</f>
        <v>1148.56</v>
      </c>
      <c r="D3181" s="1">
        <f>IFERROR(__xludf.DUMMYFUNCTION("""COMPUTED_VALUE"""),1142.99)</f>
        <v>1142.99</v>
      </c>
      <c r="E3181" s="1">
        <f>IFERROR(__xludf.DUMMYFUNCTION("""COMPUTED_VALUE"""),1146.42)</f>
        <v>1146.42</v>
      </c>
      <c r="F3181" s="1">
        <f>IFERROR(__xludf.DUMMYFUNCTION("""COMPUTED_VALUE"""),7.9720312E7)</f>
        <v>79720312</v>
      </c>
    </row>
    <row r="3182">
      <c r="A3182" s="2">
        <f>IFERROR(__xludf.DUMMYFUNCTION("""COMPUTED_VALUE"""),35982.666666666664)</f>
        <v>35982.66667</v>
      </c>
      <c r="B3182" s="1">
        <f>IFERROR(__xludf.DUMMYFUNCTION("""COMPUTED_VALUE"""),1146.42)</f>
        <v>1146.42</v>
      </c>
      <c r="C3182" s="1">
        <f>IFERROR(__xludf.DUMMYFUNCTION("""COMPUTED_VALUE"""),1157.34)</f>
        <v>1157.34</v>
      </c>
      <c r="D3182" s="1">
        <f>IFERROR(__xludf.DUMMYFUNCTION("""COMPUTED_VALUE"""),1145.03)</f>
        <v>1145.03</v>
      </c>
      <c r="E3182" s="1">
        <f>IFERROR(__xludf.DUMMYFUNCTION("""COMPUTED_VALUE"""),1157.33)</f>
        <v>1157.33</v>
      </c>
      <c r="F3182" s="1">
        <f>IFERROR(__xludf.DUMMYFUNCTION("""COMPUTED_VALUE"""),8.0429688E7)</f>
        <v>80429688</v>
      </c>
    </row>
    <row r="3183">
      <c r="A3183" s="2">
        <f>IFERROR(__xludf.DUMMYFUNCTION("""COMPUTED_VALUE"""),35983.666666666664)</f>
        <v>35983.66667</v>
      </c>
      <c r="B3183" s="1">
        <f>IFERROR(__xludf.DUMMYFUNCTION("""COMPUTED_VALUE"""),1157.33)</f>
        <v>1157.33</v>
      </c>
      <c r="C3183" s="1">
        <f>IFERROR(__xludf.DUMMYFUNCTION("""COMPUTED_VALUE"""),1159.81)</f>
        <v>1159.81</v>
      </c>
      <c r="D3183" s="1">
        <f>IFERROR(__xludf.DUMMYFUNCTION("""COMPUTED_VALUE"""),1152.85)</f>
        <v>1152.85</v>
      </c>
      <c r="E3183" s="1">
        <f>IFERROR(__xludf.DUMMYFUNCTION("""COMPUTED_VALUE"""),1154.66)</f>
        <v>1154.66</v>
      </c>
      <c r="F3183" s="1">
        <f>IFERROR(__xludf.DUMMYFUNCTION("""COMPUTED_VALUE"""),9.7639064E7)</f>
        <v>97639064</v>
      </c>
    </row>
    <row r="3184">
      <c r="A3184" s="2">
        <f>IFERROR(__xludf.DUMMYFUNCTION("""COMPUTED_VALUE"""),35984.666666666664)</f>
        <v>35984.66667</v>
      </c>
      <c r="B3184" s="1">
        <f>IFERROR(__xludf.DUMMYFUNCTION("""COMPUTED_VALUE"""),1154.66)</f>
        <v>1154.66</v>
      </c>
      <c r="C3184" s="1">
        <f>IFERROR(__xludf.DUMMYFUNCTION("""COMPUTED_VALUE"""),1166.89)</f>
        <v>1166.89</v>
      </c>
      <c r="D3184" s="1">
        <f>IFERROR(__xludf.DUMMYFUNCTION("""COMPUTED_VALUE"""),1154.66)</f>
        <v>1154.66</v>
      </c>
      <c r="E3184" s="1">
        <f>IFERROR(__xludf.DUMMYFUNCTION("""COMPUTED_VALUE"""),1166.38)</f>
        <v>1166.38</v>
      </c>
      <c r="F3184" s="1">
        <f>IFERROR(__xludf.DUMMYFUNCTION("""COMPUTED_VALUE"""),9.4879688E7)</f>
        <v>94879688</v>
      </c>
    </row>
    <row r="3185">
      <c r="A3185" s="2">
        <f>IFERROR(__xludf.DUMMYFUNCTION("""COMPUTED_VALUE"""),35985.666666666664)</f>
        <v>35985.66667</v>
      </c>
      <c r="B3185" s="1">
        <f>IFERROR(__xludf.DUMMYFUNCTION("""COMPUTED_VALUE"""),1166.38)</f>
        <v>1166.38</v>
      </c>
      <c r="C3185" s="1">
        <f>IFERROR(__xludf.DUMMYFUNCTION("""COMPUTED_VALUE"""),1166.38)</f>
        <v>1166.38</v>
      </c>
      <c r="D3185" s="1">
        <f>IFERROR(__xludf.DUMMYFUNCTION("""COMPUTED_VALUE"""),1156.03)</f>
        <v>1156.03</v>
      </c>
      <c r="E3185" s="1">
        <f>IFERROR(__xludf.DUMMYFUNCTION("""COMPUTED_VALUE"""),1158.56)</f>
        <v>1158.56</v>
      </c>
      <c r="F3185" s="1">
        <f>IFERROR(__xludf.DUMMYFUNCTION("""COMPUTED_VALUE"""),1.03687504E8)</f>
        <v>103687504</v>
      </c>
    </row>
    <row r="3186">
      <c r="A3186" s="2">
        <f>IFERROR(__xludf.DUMMYFUNCTION("""COMPUTED_VALUE"""),35986.666666666664)</f>
        <v>35986.66667</v>
      </c>
      <c r="B3186" s="1">
        <f>IFERROR(__xludf.DUMMYFUNCTION("""COMPUTED_VALUE"""),1158.57)</f>
        <v>1158.57</v>
      </c>
      <c r="C3186" s="1">
        <f>IFERROR(__xludf.DUMMYFUNCTION("""COMPUTED_VALUE"""),1166.93)</f>
        <v>1166.93</v>
      </c>
      <c r="D3186" s="1">
        <f>IFERROR(__xludf.DUMMYFUNCTION("""COMPUTED_VALUE"""),1150.88)</f>
        <v>1150.88</v>
      </c>
      <c r="E3186" s="1">
        <f>IFERROR(__xludf.DUMMYFUNCTION("""COMPUTED_VALUE"""),1164.33)</f>
        <v>1164.33</v>
      </c>
      <c r="F3186" s="1">
        <f>IFERROR(__xludf.DUMMYFUNCTION("""COMPUTED_VALUE"""),9.0012496E7)</f>
        <v>90012496</v>
      </c>
    </row>
    <row r="3187">
      <c r="A3187" s="2">
        <f>IFERROR(__xludf.DUMMYFUNCTION("""COMPUTED_VALUE"""),35989.666666666664)</f>
        <v>35989.66667</v>
      </c>
      <c r="B3187" s="1">
        <f>IFERROR(__xludf.DUMMYFUNCTION("""COMPUTED_VALUE"""),1164.33)</f>
        <v>1164.33</v>
      </c>
      <c r="C3187" s="1">
        <f>IFERROR(__xludf.DUMMYFUNCTION("""COMPUTED_VALUE"""),1166.98)</f>
        <v>1166.98</v>
      </c>
      <c r="D3187" s="1">
        <f>IFERROR(__xludf.DUMMYFUNCTION("""COMPUTED_VALUE"""),1160.21)</f>
        <v>1160.21</v>
      </c>
      <c r="E3187" s="1">
        <f>IFERROR(__xludf.DUMMYFUNCTION("""COMPUTED_VALUE"""),1165.19)</f>
        <v>1165.19</v>
      </c>
      <c r="F3187" s="1">
        <f>IFERROR(__xludf.DUMMYFUNCTION("""COMPUTED_VALUE"""),8.9825E7)</f>
        <v>89825000</v>
      </c>
    </row>
    <row r="3188">
      <c r="A3188" s="2">
        <f>IFERROR(__xludf.DUMMYFUNCTION("""COMPUTED_VALUE"""),35990.666666666664)</f>
        <v>35990.66667</v>
      </c>
      <c r="B3188" s="1">
        <f>IFERROR(__xludf.DUMMYFUNCTION("""COMPUTED_VALUE"""),1165.19)</f>
        <v>1165.19</v>
      </c>
      <c r="C3188" s="1">
        <f>IFERROR(__xludf.DUMMYFUNCTION("""COMPUTED_VALUE"""),1179.76)</f>
        <v>1179.76</v>
      </c>
      <c r="D3188" s="1">
        <f>IFERROR(__xludf.DUMMYFUNCTION("""COMPUTED_VALUE"""),1165.19)</f>
        <v>1165.19</v>
      </c>
      <c r="E3188" s="1">
        <f>IFERROR(__xludf.DUMMYFUNCTION("""COMPUTED_VALUE"""),1177.58)</f>
        <v>1177.58</v>
      </c>
      <c r="F3188" s="1">
        <f>IFERROR(__xludf.DUMMYFUNCTION("""COMPUTED_VALUE"""),1.09421872E8)</f>
        <v>109421872</v>
      </c>
    </row>
    <row r="3189">
      <c r="A3189" s="2">
        <f>IFERROR(__xludf.DUMMYFUNCTION("""COMPUTED_VALUE"""),35991.666666666664)</f>
        <v>35991.66667</v>
      </c>
      <c r="B3189" s="1">
        <f>IFERROR(__xludf.DUMMYFUNCTION("""COMPUTED_VALUE"""),1177.58)</f>
        <v>1177.58</v>
      </c>
      <c r="C3189" s="1">
        <f>IFERROR(__xludf.DUMMYFUNCTION("""COMPUTED_VALUE"""),1181.48)</f>
        <v>1181.48</v>
      </c>
      <c r="D3189" s="1">
        <f>IFERROR(__xludf.DUMMYFUNCTION("""COMPUTED_VALUE"""),1174.73)</f>
        <v>1174.73</v>
      </c>
      <c r="E3189" s="1">
        <f>IFERROR(__xludf.DUMMYFUNCTION("""COMPUTED_VALUE"""),1174.81)</f>
        <v>1174.81</v>
      </c>
      <c r="F3189" s="1">
        <f>IFERROR(__xludf.DUMMYFUNCTION("""COMPUTED_VALUE"""),1.13109376E8)</f>
        <v>113109376</v>
      </c>
    </row>
    <row r="3190">
      <c r="A3190" s="2">
        <f>IFERROR(__xludf.DUMMYFUNCTION("""COMPUTED_VALUE"""),35992.666666666664)</f>
        <v>35992.66667</v>
      </c>
      <c r="B3190" s="1">
        <f>IFERROR(__xludf.DUMMYFUNCTION("""COMPUTED_VALUE"""),1174.81)</f>
        <v>1174.81</v>
      </c>
      <c r="C3190" s="1">
        <f>IFERROR(__xludf.DUMMYFUNCTION("""COMPUTED_VALUE"""),1184.02)</f>
        <v>1184.02</v>
      </c>
      <c r="D3190" s="1">
        <f>IFERROR(__xludf.DUMMYFUNCTION("""COMPUTED_VALUE"""),1170.4)</f>
        <v>1170.4</v>
      </c>
      <c r="E3190" s="1">
        <f>IFERROR(__xludf.DUMMYFUNCTION("""COMPUTED_VALUE"""),1183.99)</f>
        <v>1183.99</v>
      </c>
      <c r="F3190" s="1">
        <f>IFERROR(__xludf.DUMMYFUNCTION("""COMPUTED_VALUE"""),1.05906248E8)</f>
        <v>105906248</v>
      </c>
    </row>
    <row r="3191">
      <c r="A3191" s="2">
        <f>IFERROR(__xludf.DUMMYFUNCTION("""COMPUTED_VALUE"""),35993.666666666664)</f>
        <v>35993.66667</v>
      </c>
      <c r="B3191" s="1">
        <f>IFERROR(__xludf.DUMMYFUNCTION("""COMPUTED_VALUE"""),1183.99)</f>
        <v>1183.99</v>
      </c>
      <c r="C3191" s="1">
        <f>IFERROR(__xludf.DUMMYFUNCTION("""COMPUTED_VALUE"""),1188.1)</f>
        <v>1188.1</v>
      </c>
      <c r="D3191" s="1">
        <f>IFERROR(__xludf.DUMMYFUNCTION("""COMPUTED_VALUE"""),1182.42)</f>
        <v>1182.42</v>
      </c>
      <c r="E3191" s="1">
        <f>IFERROR(__xludf.DUMMYFUNCTION("""COMPUTED_VALUE"""),1186.75)</f>
        <v>1186.75</v>
      </c>
      <c r="F3191" s="1">
        <f>IFERROR(__xludf.DUMMYFUNCTION("""COMPUTED_VALUE"""),9.6567184E7)</f>
        <v>96567184</v>
      </c>
    </row>
    <row r="3192">
      <c r="A3192" s="2">
        <f>IFERROR(__xludf.DUMMYFUNCTION("""COMPUTED_VALUE"""),35996.666666666664)</f>
        <v>35996.66667</v>
      </c>
      <c r="B3192" s="1">
        <f>IFERROR(__xludf.DUMMYFUNCTION("""COMPUTED_VALUE"""),1186.75)</f>
        <v>1186.75</v>
      </c>
      <c r="C3192" s="1">
        <f>IFERROR(__xludf.DUMMYFUNCTION("""COMPUTED_VALUE"""),1190.58)</f>
        <v>1190.58</v>
      </c>
      <c r="D3192" s="1">
        <f>IFERROR(__xludf.DUMMYFUNCTION("""COMPUTED_VALUE"""),1179.19)</f>
        <v>1179.19</v>
      </c>
      <c r="E3192" s="1">
        <f>IFERROR(__xludf.DUMMYFUNCTION("""COMPUTED_VALUE"""),1184.1)</f>
        <v>1184.1</v>
      </c>
      <c r="F3192" s="1">
        <f>IFERROR(__xludf.DUMMYFUNCTION("""COMPUTED_VALUE"""),8.7590624E7)</f>
        <v>87590624</v>
      </c>
    </row>
    <row r="3193">
      <c r="A3193" s="2">
        <f>IFERROR(__xludf.DUMMYFUNCTION("""COMPUTED_VALUE"""),35997.666666666664)</f>
        <v>35997.66667</v>
      </c>
      <c r="B3193" s="1">
        <f>IFERROR(__xludf.DUMMYFUNCTION("""COMPUTED_VALUE"""),1184.1)</f>
        <v>1184.1</v>
      </c>
      <c r="C3193" s="1">
        <f>IFERROR(__xludf.DUMMYFUNCTION("""COMPUTED_VALUE"""),1187.37)</f>
        <v>1187.37</v>
      </c>
      <c r="D3193" s="1">
        <f>IFERROR(__xludf.DUMMYFUNCTION("""COMPUTED_VALUE"""),1163.05)</f>
        <v>1163.05</v>
      </c>
      <c r="E3193" s="1">
        <f>IFERROR(__xludf.DUMMYFUNCTION("""COMPUTED_VALUE"""),1165.07)</f>
        <v>1165.07</v>
      </c>
      <c r="F3193" s="1">
        <f>IFERROR(__xludf.DUMMYFUNCTION("""COMPUTED_VALUE"""),1.03078128E8)</f>
        <v>103078128</v>
      </c>
    </row>
    <row r="3194">
      <c r="A3194" s="2">
        <f>IFERROR(__xludf.DUMMYFUNCTION("""COMPUTED_VALUE"""),35998.666666666664)</f>
        <v>35998.66667</v>
      </c>
      <c r="B3194" s="1">
        <f>IFERROR(__xludf.DUMMYFUNCTION("""COMPUTED_VALUE"""),1165.07)</f>
        <v>1165.07</v>
      </c>
      <c r="C3194" s="1">
        <f>IFERROR(__xludf.DUMMYFUNCTION("""COMPUTED_VALUE"""),1167.67)</f>
        <v>1167.67</v>
      </c>
      <c r="D3194" s="1">
        <f>IFERROR(__xludf.DUMMYFUNCTION("""COMPUTED_VALUE"""),1155.2)</f>
        <v>1155.2</v>
      </c>
      <c r="E3194" s="1">
        <f>IFERROR(__xludf.DUMMYFUNCTION("""COMPUTED_VALUE"""),1164.08)</f>
        <v>1164.08</v>
      </c>
      <c r="F3194" s="1">
        <f>IFERROR(__xludf.DUMMYFUNCTION("""COMPUTED_VALUE"""),1.15593752E8)</f>
        <v>115593752</v>
      </c>
    </row>
    <row r="3195">
      <c r="A3195" s="2">
        <f>IFERROR(__xludf.DUMMYFUNCTION("""COMPUTED_VALUE"""),35999.666666666664)</f>
        <v>35999.66667</v>
      </c>
      <c r="B3195" s="1">
        <f>IFERROR(__xludf.DUMMYFUNCTION("""COMPUTED_VALUE"""),1164.08)</f>
        <v>1164.08</v>
      </c>
      <c r="C3195" s="1">
        <f>IFERROR(__xludf.DUMMYFUNCTION("""COMPUTED_VALUE"""),1164.35)</f>
        <v>1164.35</v>
      </c>
      <c r="D3195" s="1">
        <f>IFERROR(__xludf.DUMMYFUNCTION("""COMPUTED_VALUE"""),1139.75)</f>
        <v>1139.75</v>
      </c>
      <c r="E3195" s="1">
        <f>IFERROR(__xludf.DUMMYFUNCTION("""COMPUTED_VALUE"""),1139.75)</f>
        <v>1139.75</v>
      </c>
      <c r="F3195" s="1">
        <f>IFERROR(__xludf.DUMMYFUNCTION("""COMPUTED_VALUE"""),1.15875E8)</f>
        <v>115875000</v>
      </c>
    </row>
    <row r="3196">
      <c r="A3196" s="2">
        <f>IFERROR(__xludf.DUMMYFUNCTION("""COMPUTED_VALUE"""),36000.666666666664)</f>
        <v>36000.66667</v>
      </c>
      <c r="B3196" s="1">
        <f>IFERROR(__xludf.DUMMYFUNCTION("""COMPUTED_VALUE"""),1139.75)</f>
        <v>1139.75</v>
      </c>
      <c r="C3196" s="1">
        <f>IFERROR(__xludf.DUMMYFUNCTION("""COMPUTED_VALUE"""),1150.14)</f>
        <v>1150.14</v>
      </c>
      <c r="D3196" s="1">
        <f>IFERROR(__xludf.DUMMYFUNCTION("""COMPUTED_VALUE"""),1129.11)</f>
        <v>1129.11</v>
      </c>
      <c r="E3196" s="1">
        <f>IFERROR(__xludf.DUMMYFUNCTION("""COMPUTED_VALUE"""),1140.8)</f>
        <v>1140.8</v>
      </c>
      <c r="F3196" s="1">
        <f>IFERROR(__xludf.DUMMYFUNCTION("""COMPUTED_VALUE"""),1.09156248E8)</f>
        <v>109156248</v>
      </c>
    </row>
    <row r="3197">
      <c r="A3197" s="2">
        <f>IFERROR(__xludf.DUMMYFUNCTION("""COMPUTED_VALUE"""),36003.666666666664)</f>
        <v>36003.66667</v>
      </c>
      <c r="B3197" s="1">
        <f>IFERROR(__xludf.DUMMYFUNCTION("""COMPUTED_VALUE"""),1140.8)</f>
        <v>1140.8</v>
      </c>
      <c r="C3197" s="1">
        <f>IFERROR(__xludf.DUMMYFUNCTION("""COMPUTED_VALUE"""),1147.27)</f>
        <v>1147.27</v>
      </c>
      <c r="D3197" s="1">
        <f>IFERROR(__xludf.DUMMYFUNCTION("""COMPUTED_VALUE"""),1128.19)</f>
        <v>1128.19</v>
      </c>
      <c r="E3197" s="1">
        <f>IFERROR(__xludf.DUMMYFUNCTION("""COMPUTED_VALUE"""),1147.27)</f>
        <v>1147.27</v>
      </c>
      <c r="F3197" s="1">
        <f>IFERROR(__xludf.DUMMYFUNCTION("""COMPUTED_VALUE"""),9.687344E7)</f>
        <v>96873440</v>
      </c>
    </row>
    <row r="3198">
      <c r="A3198" s="2">
        <f>IFERROR(__xludf.DUMMYFUNCTION("""COMPUTED_VALUE"""),36004.666666666664)</f>
        <v>36004.66667</v>
      </c>
      <c r="B3198" s="1">
        <f>IFERROR(__xludf.DUMMYFUNCTION("""COMPUTED_VALUE"""),1147.27)</f>
        <v>1147.27</v>
      </c>
      <c r="C3198" s="1">
        <f>IFERROR(__xludf.DUMMYFUNCTION("""COMPUTED_VALUE"""),1147.27)</f>
        <v>1147.27</v>
      </c>
      <c r="D3198" s="1">
        <f>IFERROR(__xludf.DUMMYFUNCTION("""COMPUTED_VALUE"""),1119.46)</f>
        <v>1119.46</v>
      </c>
      <c r="E3198" s="1">
        <f>IFERROR(__xludf.DUMMYFUNCTION("""COMPUTED_VALUE"""),1130.24)</f>
        <v>1130.24</v>
      </c>
      <c r="F3198" s="1">
        <f>IFERROR(__xludf.DUMMYFUNCTION("""COMPUTED_VALUE"""),1.09937504E8)</f>
        <v>109937504</v>
      </c>
    </row>
    <row r="3199">
      <c r="A3199" s="2">
        <f>IFERROR(__xludf.DUMMYFUNCTION("""COMPUTED_VALUE"""),36005.666666666664)</f>
        <v>36005.66667</v>
      </c>
      <c r="B3199" s="1">
        <f>IFERROR(__xludf.DUMMYFUNCTION("""COMPUTED_VALUE"""),1130.24)</f>
        <v>1130.24</v>
      </c>
      <c r="C3199" s="1">
        <f>IFERROR(__xludf.DUMMYFUNCTION("""COMPUTED_VALUE"""),1138.56)</f>
        <v>1138.56</v>
      </c>
      <c r="D3199" s="1">
        <f>IFERROR(__xludf.DUMMYFUNCTION("""COMPUTED_VALUE"""),1121.98)</f>
        <v>1121.98</v>
      </c>
      <c r="E3199" s="1">
        <f>IFERROR(__xludf.DUMMYFUNCTION("""COMPUTED_VALUE"""),1125.21)</f>
        <v>1125.21</v>
      </c>
      <c r="F3199" s="1">
        <f>IFERROR(__xludf.DUMMYFUNCTION("""COMPUTED_VALUE"""),1.00679688E8)</f>
        <v>100679688</v>
      </c>
    </row>
    <row r="3200">
      <c r="A3200" s="2">
        <f>IFERROR(__xludf.DUMMYFUNCTION("""COMPUTED_VALUE"""),36006.666666666664)</f>
        <v>36006.66667</v>
      </c>
      <c r="B3200" s="1">
        <f>IFERROR(__xludf.DUMMYFUNCTION("""COMPUTED_VALUE"""),1125.21)</f>
        <v>1125.21</v>
      </c>
      <c r="C3200" s="1">
        <f>IFERROR(__xludf.DUMMYFUNCTION("""COMPUTED_VALUE"""),1143.07)</f>
        <v>1143.07</v>
      </c>
      <c r="D3200" s="1">
        <f>IFERROR(__xludf.DUMMYFUNCTION("""COMPUTED_VALUE"""),1125.21)</f>
        <v>1125.21</v>
      </c>
      <c r="E3200" s="1">
        <f>IFERROR(__xludf.DUMMYFUNCTION("""COMPUTED_VALUE"""),1142.95)</f>
        <v>1142.95</v>
      </c>
      <c r="F3200" s="1">
        <f>IFERROR(__xludf.DUMMYFUNCTION("""COMPUTED_VALUE"""),1.07406248E8)</f>
        <v>107406248</v>
      </c>
    </row>
    <row r="3201">
      <c r="A3201" s="2">
        <f>IFERROR(__xludf.DUMMYFUNCTION("""COMPUTED_VALUE"""),36007.666666666664)</f>
        <v>36007.66667</v>
      </c>
      <c r="B3201" s="1">
        <f>IFERROR(__xludf.DUMMYFUNCTION("""COMPUTED_VALUE"""),1142.95)</f>
        <v>1142.95</v>
      </c>
      <c r="C3201" s="1">
        <f>IFERROR(__xludf.DUMMYFUNCTION("""COMPUTED_VALUE"""),1142.97)</f>
        <v>1142.97</v>
      </c>
      <c r="D3201" s="1">
        <f>IFERROR(__xludf.DUMMYFUNCTION("""COMPUTED_VALUE"""),1114.3)</f>
        <v>1114.3</v>
      </c>
      <c r="E3201" s="1">
        <f>IFERROR(__xludf.DUMMYFUNCTION("""COMPUTED_VALUE"""),1120.67)</f>
        <v>1120.67</v>
      </c>
      <c r="F3201" s="1">
        <f>IFERROR(__xludf.DUMMYFUNCTION("""COMPUTED_VALUE"""),1.0092344E8)</f>
        <v>100923440</v>
      </c>
    </row>
    <row r="3202">
      <c r="A3202" s="2">
        <f>IFERROR(__xludf.DUMMYFUNCTION("""COMPUTED_VALUE"""),36010.666666666664)</f>
        <v>36010.66667</v>
      </c>
      <c r="B3202" s="1">
        <f>IFERROR(__xludf.DUMMYFUNCTION("""COMPUTED_VALUE"""),1120.67)</f>
        <v>1120.67</v>
      </c>
      <c r="C3202" s="1">
        <f>IFERROR(__xludf.DUMMYFUNCTION("""COMPUTED_VALUE"""),1121.79)</f>
        <v>1121.79</v>
      </c>
      <c r="D3202" s="1">
        <f>IFERROR(__xludf.DUMMYFUNCTION("""COMPUTED_VALUE"""),1110.39)</f>
        <v>1110.39</v>
      </c>
      <c r="E3202" s="1">
        <f>IFERROR(__xludf.DUMMYFUNCTION("""COMPUTED_VALUE"""),1112.44)</f>
        <v>1112.44</v>
      </c>
      <c r="F3202" s="1">
        <f>IFERROR(__xludf.DUMMYFUNCTION("""COMPUTED_VALUE"""),9.6937504E7)</f>
        <v>96937504</v>
      </c>
    </row>
    <row r="3203">
      <c r="A3203" s="2">
        <f>IFERROR(__xludf.DUMMYFUNCTION("""COMPUTED_VALUE"""),36011.666666666664)</f>
        <v>36011.66667</v>
      </c>
      <c r="B3203" s="1">
        <f>IFERROR(__xludf.DUMMYFUNCTION("""COMPUTED_VALUE"""),1112.44)</f>
        <v>1112.44</v>
      </c>
      <c r="C3203" s="1">
        <f>IFERROR(__xludf.DUMMYFUNCTION("""COMPUTED_VALUE"""),1119.73)</f>
        <v>1119.73</v>
      </c>
      <c r="D3203" s="1">
        <f>IFERROR(__xludf.DUMMYFUNCTION("""COMPUTED_VALUE"""),1071.82)</f>
        <v>1071.82</v>
      </c>
      <c r="E3203" s="1">
        <f>IFERROR(__xludf.DUMMYFUNCTION("""COMPUTED_VALUE"""),1072.12)</f>
        <v>1072.12</v>
      </c>
      <c r="F3203" s="1">
        <f>IFERROR(__xludf.DUMMYFUNCTION("""COMPUTED_VALUE"""),1.33218752E8)</f>
        <v>133218752</v>
      </c>
    </row>
    <row r="3204">
      <c r="A3204" s="2">
        <f>IFERROR(__xludf.DUMMYFUNCTION("""COMPUTED_VALUE"""),36012.666666666664)</f>
        <v>36012.66667</v>
      </c>
      <c r="B3204" s="1">
        <f>IFERROR(__xludf.DUMMYFUNCTION("""COMPUTED_VALUE"""),1072.12)</f>
        <v>1072.12</v>
      </c>
      <c r="C3204" s="1">
        <f>IFERROR(__xludf.DUMMYFUNCTION("""COMPUTED_VALUE"""),1084.8)</f>
        <v>1084.8</v>
      </c>
      <c r="D3204" s="1">
        <f>IFERROR(__xludf.DUMMYFUNCTION("""COMPUTED_VALUE"""),1057.35)</f>
        <v>1057.35</v>
      </c>
      <c r="E3204" s="1">
        <f>IFERROR(__xludf.DUMMYFUNCTION("""COMPUTED_VALUE"""),1081.43)</f>
        <v>1081.43</v>
      </c>
      <c r="F3204" s="1">
        <f>IFERROR(__xludf.DUMMYFUNCTION("""COMPUTED_VALUE"""),1.33062496E8)</f>
        <v>133062496</v>
      </c>
    </row>
    <row r="3205">
      <c r="A3205" s="2">
        <f>IFERROR(__xludf.DUMMYFUNCTION("""COMPUTED_VALUE"""),36013.666666666664)</f>
        <v>36013.66667</v>
      </c>
      <c r="B3205" s="1">
        <f>IFERROR(__xludf.DUMMYFUNCTION("""COMPUTED_VALUE"""),1081.43)</f>
        <v>1081.43</v>
      </c>
      <c r="C3205" s="1">
        <f>IFERROR(__xludf.DUMMYFUNCTION("""COMPUTED_VALUE"""),1090.95)</f>
        <v>1090.95</v>
      </c>
      <c r="D3205" s="1">
        <f>IFERROR(__xludf.DUMMYFUNCTION("""COMPUTED_VALUE"""),1074.94)</f>
        <v>1074.94</v>
      </c>
      <c r="E3205" s="1">
        <f>IFERROR(__xludf.DUMMYFUNCTION("""COMPUTED_VALUE"""),1089.63)</f>
        <v>1089.63</v>
      </c>
      <c r="F3205" s="1">
        <f>IFERROR(__xludf.DUMMYFUNCTION("""COMPUTED_VALUE"""),1.20062496E8)</f>
        <v>120062496</v>
      </c>
    </row>
    <row r="3206">
      <c r="A3206" s="2">
        <f>IFERROR(__xludf.DUMMYFUNCTION("""COMPUTED_VALUE"""),36014.666666666664)</f>
        <v>36014.66667</v>
      </c>
      <c r="B3206" s="1">
        <f>IFERROR(__xludf.DUMMYFUNCTION("""COMPUTED_VALUE"""),1089.63)</f>
        <v>1089.63</v>
      </c>
      <c r="C3206" s="1">
        <f>IFERROR(__xludf.DUMMYFUNCTION("""COMPUTED_VALUE"""),1102.54)</f>
        <v>1102.54</v>
      </c>
      <c r="D3206" s="1">
        <f>IFERROR(__xludf.DUMMYFUNCTION("""COMPUTED_VALUE"""),1084.72)</f>
        <v>1084.72</v>
      </c>
      <c r="E3206" s="1">
        <f>IFERROR(__xludf.DUMMYFUNCTION("""COMPUTED_VALUE"""),1089.45)</f>
        <v>1089.45</v>
      </c>
      <c r="F3206" s="1">
        <f>IFERROR(__xludf.DUMMYFUNCTION("""COMPUTED_VALUE"""),1.18609376E8)</f>
        <v>118609376</v>
      </c>
    </row>
    <row r="3207">
      <c r="A3207" s="2">
        <f>IFERROR(__xludf.DUMMYFUNCTION("""COMPUTED_VALUE"""),36017.666666666664)</f>
        <v>36017.66667</v>
      </c>
      <c r="B3207" s="1">
        <f>IFERROR(__xludf.DUMMYFUNCTION("""COMPUTED_VALUE"""),1089.45)</f>
        <v>1089.45</v>
      </c>
      <c r="C3207" s="1">
        <f>IFERROR(__xludf.DUMMYFUNCTION("""COMPUTED_VALUE"""),1092.82)</f>
        <v>1092.82</v>
      </c>
      <c r="D3207" s="1">
        <f>IFERROR(__xludf.DUMMYFUNCTION("""COMPUTED_VALUE"""),1081.76)</f>
        <v>1081.76</v>
      </c>
      <c r="E3207" s="1">
        <f>IFERROR(__xludf.DUMMYFUNCTION("""COMPUTED_VALUE"""),1083.14)</f>
        <v>1083.14</v>
      </c>
      <c r="F3207" s="1">
        <f>IFERROR(__xludf.DUMMYFUNCTION("""COMPUTED_VALUE"""),9.0496872E7)</f>
        <v>90496872</v>
      </c>
    </row>
    <row r="3208">
      <c r="A3208" s="2">
        <f>IFERROR(__xludf.DUMMYFUNCTION("""COMPUTED_VALUE"""),36018.666666666664)</f>
        <v>36018.66667</v>
      </c>
      <c r="B3208" s="1">
        <f>IFERROR(__xludf.DUMMYFUNCTION("""COMPUTED_VALUE"""),1083.14)</f>
        <v>1083.14</v>
      </c>
      <c r="C3208" s="1">
        <f>IFERROR(__xludf.DUMMYFUNCTION("""COMPUTED_VALUE"""),1083.14)</f>
        <v>1083.14</v>
      </c>
      <c r="D3208" s="1">
        <f>IFERROR(__xludf.DUMMYFUNCTION("""COMPUTED_VALUE"""),1054.0)</f>
        <v>1054</v>
      </c>
      <c r="E3208" s="1">
        <f>IFERROR(__xludf.DUMMYFUNCTION("""COMPUTED_VALUE"""),1068.98)</f>
        <v>1068.98</v>
      </c>
      <c r="F3208" s="1">
        <f>IFERROR(__xludf.DUMMYFUNCTION("""COMPUTED_VALUE"""),1.21E8)</f>
        <v>121000000</v>
      </c>
    </row>
    <row r="3209">
      <c r="A3209" s="2">
        <f>IFERROR(__xludf.DUMMYFUNCTION("""COMPUTED_VALUE"""),36019.666666666664)</f>
        <v>36019.66667</v>
      </c>
      <c r="B3209" s="1">
        <f>IFERROR(__xludf.DUMMYFUNCTION("""COMPUTED_VALUE"""),1068.98)</f>
        <v>1068.98</v>
      </c>
      <c r="C3209" s="1">
        <f>IFERROR(__xludf.DUMMYFUNCTION("""COMPUTED_VALUE"""),1084.37)</f>
        <v>1084.37</v>
      </c>
      <c r="D3209" s="1">
        <f>IFERROR(__xludf.DUMMYFUNCTION("""COMPUTED_VALUE"""),1068.98)</f>
        <v>1068.98</v>
      </c>
      <c r="E3209" s="1">
        <f>IFERROR(__xludf.DUMMYFUNCTION("""COMPUTED_VALUE"""),1084.22)</f>
        <v>1084.22</v>
      </c>
      <c r="F3209" s="1">
        <f>IFERROR(__xludf.DUMMYFUNCTION("""COMPUTED_VALUE"""),1.11203128E8)</f>
        <v>111203128</v>
      </c>
    </row>
    <row r="3210">
      <c r="A3210" s="2">
        <f>IFERROR(__xludf.DUMMYFUNCTION("""COMPUTED_VALUE"""),36020.666666666664)</f>
        <v>36020.66667</v>
      </c>
      <c r="B3210" s="1">
        <f>IFERROR(__xludf.DUMMYFUNCTION("""COMPUTED_VALUE"""),1084.22)</f>
        <v>1084.22</v>
      </c>
      <c r="C3210" s="1">
        <f>IFERROR(__xludf.DUMMYFUNCTION("""COMPUTED_VALUE"""),1091.5)</f>
        <v>1091.5</v>
      </c>
      <c r="D3210" s="1">
        <f>IFERROR(__xludf.DUMMYFUNCTION("""COMPUTED_VALUE"""),1074.91)</f>
        <v>1074.91</v>
      </c>
      <c r="E3210" s="1">
        <f>IFERROR(__xludf.DUMMYFUNCTION("""COMPUTED_VALUE"""),1074.91)</f>
        <v>1074.91</v>
      </c>
      <c r="F3210" s="1">
        <f>IFERROR(__xludf.DUMMYFUNCTION("""COMPUTED_VALUE"""),1.03234376E8)</f>
        <v>103234376</v>
      </c>
    </row>
    <row r="3211">
      <c r="A3211" s="2">
        <f>IFERROR(__xludf.DUMMYFUNCTION("""COMPUTED_VALUE"""),36021.666666666664)</f>
        <v>36021.66667</v>
      </c>
      <c r="B3211" s="1">
        <f>IFERROR(__xludf.DUMMYFUNCTION("""COMPUTED_VALUE"""),1074.91)</f>
        <v>1074.91</v>
      </c>
      <c r="C3211" s="1">
        <f>IFERROR(__xludf.DUMMYFUNCTION("""COMPUTED_VALUE"""),1083.92)</f>
        <v>1083.92</v>
      </c>
      <c r="D3211" s="1">
        <f>IFERROR(__xludf.DUMMYFUNCTION("""COMPUTED_VALUE"""),1057.22)</f>
        <v>1057.22</v>
      </c>
      <c r="E3211" s="1">
        <f>IFERROR(__xludf.DUMMYFUNCTION("""COMPUTED_VALUE"""),1062.75)</f>
        <v>1062.75</v>
      </c>
      <c r="F3211" s="1">
        <f>IFERROR(__xludf.DUMMYFUNCTION("""COMPUTED_VALUE"""),1.00629688E8)</f>
        <v>100629688</v>
      </c>
    </row>
    <row r="3212">
      <c r="A3212" s="2">
        <f>IFERROR(__xludf.DUMMYFUNCTION("""COMPUTED_VALUE"""),36024.666666666664)</f>
        <v>36024.66667</v>
      </c>
      <c r="B3212" s="1">
        <f>IFERROR(__xludf.DUMMYFUNCTION("""COMPUTED_VALUE"""),1062.75)</f>
        <v>1062.75</v>
      </c>
      <c r="C3212" s="1">
        <f>IFERROR(__xludf.DUMMYFUNCTION("""COMPUTED_VALUE"""),1083.67)</f>
        <v>1083.67</v>
      </c>
      <c r="D3212" s="1">
        <f>IFERROR(__xludf.DUMMYFUNCTION("""COMPUTED_VALUE"""),1055.08)</f>
        <v>1055.08</v>
      </c>
      <c r="E3212" s="1">
        <f>IFERROR(__xludf.DUMMYFUNCTION("""COMPUTED_VALUE"""),1083.67)</f>
        <v>1083.67</v>
      </c>
      <c r="F3212" s="1">
        <f>IFERROR(__xludf.DUMMYFUNCTION("""COMPUTED_VALUE"""),9.1309376E7)</f>
        <v>91309376</v>
      </c>
    </row>
    <row r="3213">
      <c r="A3213" s="2">
        <f>IFERROR(__xludf.DUMMYFUNCTION("""COMPUTED_VALUE"""),36025.666666666664)</f>
        <v>36025.66667</v>
      </c>
      <c r="B3213" s="1">
        <f>IFERROR(__xludf.DUMMYFUNCTION("""COMPUTED_VALUE"""),1083.67)</f>
        <v>1083.67</v>
      </c>
      <c r="C3213" s="1">
        <f>IFERROR(__xludf.DUMMYFUNCTION("""COMPUTED_VALUE"""),1101.72)</f>
        <v>1101.72</v>
      </c>
      <c r="D3213" s="1">
        <f>IFERROR(__xludf.DUMMYFUNCTION("""COMPUTED_VALUE"""),1083.67)</f>
        <v>1083.67</v>
      </c>
      <c r="E3213" s="1">
        <f>IFERROR(__xludf.DUMMYFUNCTION("""COMPUTED_VALUE"""),1101.2)</f>
        <v>1101.2</v>
      </c>
      <c r="F3213" s="1">
        <f>IFERROR(__xludf.DUMMYFUNCTION("""COMPUTED_VALUE"""),1.07906248E8)</f>
        <v>107906248</v>
      </c>
    </row>
    <row r="3214">
      <c r="A3214" s="2">
        <f>IFERROR(__xludf.DUMMYFUNCTION("""COMPUTED_VALUE"""),36026.666666666664)</f>
        <v>36026.66667</v>
      </c>
      <c r="B3214" s="1">
        <f>IFERROR(__xludf.DUMMYFUNCTION("""COMPUTED_VALUE"""),1101.2)</f>
        <v>1101.2</v>
      </c>
      <c r="C3214" s="1">
        <f>IFERROR(__xludf.DUMMYFUNCTION("""COMPUTED_VALUE"""),1106.32)</f>
        <v>1106.32</v>
      </c>
      <c r="D3214" s="1">
        <f>IFERROR(__xludf.DUMMYFUNCTION("""COMPUTED_VALUE"""),1094.93)</f>
        <v>1094.93</v>
      </c>
      <c r="E3214" s="1">
        <f>IFERROR(__xludf.DUMMYFUNCTION("""COMPUTED_VALUE"""),1098.06)</f>
        <v>1098.06</v>
      </c>
      <c r="F3214" s="1">
        <f>IFERROR(__xludf.DUMMYFUNCTION("""COMPUTED_VALUE"""),9.9004688E7)</f>
        <v>99004688</v>
      </c>
    </row>
    <row r="3215">
      <c r="A3215" s="2">
        <f>IFERROR(__xludf.DUMMYFUNCTION("""COMPUTED_VALUE"""),36027.666666666664)</f>
        <v>36027.66667</v>
      </c>
      <c r="B3215" s="1">
        <f>IFERROR(__xludf.DUMMYFUNCTION("""COMPUTED_VALUE"""),1098.06)</f>
        <v>1098.06</v>
      </c>
      <c r="C3215" s="1">
        <f>IFERROR(__xludf.DUMMYFUNCTION("""COMPUTED_VALUE"""),1098.79)</f>
        <v>1098.79</v>
      </c>
      <c r="D3215" s="1">
        <f>IFERROR(__xludf.DUMMYFUNCTION("""COMPUTED_VALUE"""),1089.55)</f>
        <v>1089.55</v>
      </c>
      <c r="E3215" s="1">
        <f>IFERROR(__xludf.DUMMYFUNCTION("""COMPUTED_VALUE"""),1091.6)</f>
        <v>1091.6</v>
      </c>
      <c r="F3215" s="1">
        <f>IFERROR(__xludf.DUMMYFUNCTION("""COMPUTED_VALUE"""),9.7129688E7)</f>
        <v>97129688</v>
      </c>
    </row>
    <row r="3216">
      <c r="A3216" s="2">
        <f>IFERROR(__xludf.DUMMYFUNCTION("""COMPUTED_VALUE"""),36028.666666666664)</f>
        <v>36028.66667</v>
      </c>
      <c r="B3216" s="1">
        <f>IFERROR(__xludf.DUMMYFUNCTION("""COMPUTED_VALUE"""),1091.6)</f>
        <v>1091.6</v>
      </c>
      <c r="C3216" s="1">
        <f>IFERROR(__xludf.DUMMYFUNCTION("""COMPUTED_VALUE"""),1091.6)</f>
        <v>1091.6</v>
      </c>
      <c r="D3216" s="1">
        <f>IFERROR(__xludf.DUMMYFUNCTION("""COMPUTED_VALUE"""),1054.92)</f>
        <v>1054.92</v>
      </c>
      <c r="E3216" s="1">
        <f>IFERROR(__xludf.DUMMYFUNCTION("""COMPUTED_VALUE"""),1081.18)</f>
        <v>1081.18</v>
      </c>
      <c r="F3216" s="1">
        <f>IFERROR(__xludf.DUMMYFUNCTION("""COMPUTED_VALUE"""),1.13390624E8)</f>
        <v>113390624</v>
      </c>
    </row>
    <row r="3217">
      <c r="A3217" s="2">
        <f>IFERROR(__xludf.DUMMYFUNCTION("""COMPUTED_VALUE"""),36031.666666666664)</f>
        <v>36031.66667</v>
      </c>
      <c r="B3217" s="1">
        <f>IFERROR(__xludf.DUMMYFUNCTION("""COMPUTED_VALUE"""),1081.24)</f>
        <v>1081.24</v>
      </c>
      <c r="C3217" s="1">
        <f>IFERROR(__xludf.DUMMYFUNCTION("""COMPUTED_VALUE"""),1093.82)</f>
        <v>1093.82</v>
      </c>
      <c r="D3217" s="1">
        <f>IFERROR(__xludf.DUMMYFUNCTION("""COMPUTED_VALUE"""),1081.24)</f>
        <v>1081.24</v>
      </c>
      <c r="E3217" s="1">
        <f>IFERROR(__xludf.DUMMYFUNCTION("""COMPUTED_VALUE"""),1088.14)</f>
        <v>1088.14</v>
      </c>
      <c r="F3217" s="1">
        <f>IFERROR(__xludf.DUMMYFUNCTION("""COMPUTED_VALUE"""),8.7203128E7)</f>
        <v>87203128</v>
      </c>
    </row>
    <row r="3218">
      <c r="A3218" s="2">
        <f>IFERROR(__xludf.DUMMYFUNCTION("""COMPUTED_VALUE"""),36032.666666666664)</f>
        <v>36032.66667</v>
      </c>
      <c r="B3218" s="1">
        <f>IFERROR(__xludf.DUMMYFUNCTION("""COMPUTED_VALUE"""),1088.14)</f>
        <v>1088.14</v>
      </c>
      <c r="C3218" s="1">
        <f>IFERROR(__xludf.DUMMYFUNCTION("""COMPUTED_VALUE"""),1106.64)</f>
        <v>1106.64</v>
      </c>
      <c r="D3218" s="1">
        <f>IFERROR(__xludf.DUMMYFUNCTION("""COMPUTED_VALUE"""),1085.53)</f>
        <v>1085.53</v>
      </c>
      <c r="E3218" s="1">
        <f>IFERROR(__xludf.DUMMYFUNCTION("""COMPUTED_VALUE"""),1092.86)</f>
        <v>1092.86</v>
      </c>
      <c r="F3218" s="1">
        <f>IFERROR(__xludf.DUMMYFUNCTION("""COMPUTED_VALUE"""),1.03890624E8)</f>
        <v>103890624</v>
      </c>
    </row>
    <row r="3219">
      <c r="A3219" s="2">
        <f>IFERROR(__xludf.DUMMYFUNCTION("""COMPUTED_VALUE"""),36033.666666666664)</f>
        <v>36033.66667</v>
      </c>
      <c r="B3219" s="1">
        <f>IFERROR(__xludf.DUMMYFUNCTION("""COMPUTED_VALUE"""),1092.85)</f>
        <v>1092.85</v>
      </c>
      <c r="C3219" s="1">
        <f>IFERROR(__xludf.DUMMYFUNCTION("""COMPUTED_VALUE"""),1092.85)</f>
        <v>1092.85</v>
      </c>
      <c r="D3219" s="1">
        <f>IFERROR(__xludf.DUMMYFUNCTION("""COMPUTED_VALUE"""),1075.91)</f>
        <v>1075.91</v>
      </c>
      <c r="E3219" s="1">
        <f>IFERROR(__xludf.DUMMYFUNCTION("""COMPUTED_VALUE"""),1084.19)</f>
        <v>1084.19</v>
      </c>
      <c r="F3219" s="1">
        <f>IFERROR(__xludf.DUMMYFUNCTION("""COMPUTED_VALUE"""),1.05328128E8)</f>
        <v>105328128</v>
      </c>
    </row>
    <row r="3220">
      <c r="A3220" s="2">
        <f>IFERROR(__xludf.DUMMYFUNCTION("""COMPUTED_VALUE"""),36034.666666666664)</f>
        <v>36034.66667</v>
      </c>
      <c r="B3220" s="1">
        <f>IFERROR(__xludf.DUMMYFUNCTION("""COMPUTED_VALUE"""),1084.19)</f>
        <v>1084.19</v>
      </c>
      <c r="C3220" s="1">
        <f>IFERROR(__xludf.DUMMYFUNCTION("""COMPUTED_VALUE"""),1084.19)</f>
        <v>1084.19</v>
      </c>
      <c r="D3220" s="1">
        <f>IFERROR(__xludf.DUMMYFUNCTION("""COMPUTED_VALUE"""),1037.61)</f>
        <v>1037.61</v>
      </c>
      <c r="E3220" s="1">
        <f>IFERROR(__xludf.DUMMYFUNCTION("""COMPUTED_VALUE"""),1042.59)</f>
        <v>1042.59</v>
      </c>
      <c r="F3220" s="1">
        <f>IFERROR(__xludf.DUMMYFUNCTION("""COMPUTED_VALUE"""),1.46656256E8)</f>
        <v>146656256</v>
      </c>
    </row>
    <row r="3221">
      <c r="A3221" s="2">
        <f>IFERROR(__xludf.DUMMYFUNCTION("""COMPUTED_VALUE"""),36035.666666666664)</f>
        <v>36035.66667</v>
      </c>
      <c r="B3221" s="1">
        <f>IFERROR(__xludf.DUMMYFUNCTION("""COMPUTED_VALUE"""),1042.59)</f>
        <v>1042.59</v>
      </c>
      <c r="C3221" s="1">
        <f>IFERROR(__xludf.DUMMYFUNCTION("""COMPUTED_VALUE"""),1051.8)</f>
        <v>1051.8</v>
      </c>
      <c r="D3221" s="1">
        <f>IFERROR(__xludf.DUMMYFUNCTION("""COMPUTED_VALUE"""),1021.04)</f>
        <v>1021.04</v>
      </c>
      <c r="E3221" s="1">
        <f>IFERROR(__xludf.DUMMYFUNCTION("""COMPUTED_VALUE"""),1027.25)</f>
        <v>1027.25</v>
      </c>
      <c r="F3221" s="1">
        <f>IFERROR(__xludf.DUMMYFUNCTION("""COMPUTED_VALUE"""),1.31296872E8)</f>
        <v>131296872</v>
      </c>
    </row>
    <row r="3222">
      <c r="A3222" s="2">
        <f>IFERROR(__xludf.DUMMYFUNCTION("""COMPUTED_VALUE"""),36038.666666666664)</f>
        <v>36038.66667</v>
      </c>
      <c r="B3222" s="1">
        <f>IFERROR(__xludf.DUMMYFUNCTION("""COMPUTED_VALUE"""),1027.14)</f>
        <v>1027.14</v>
      </c>
      <c r="C3222" s="1">
        <f>IFERROR(__xludf.DUMMYFUNCTION("""COMPUTED_VALUE"""),1033.47)</f>
        <v>1033.47</v>
      </c>
      <c r="D3222" s="1">
        <f>IFERROR(__xludf.DUMMYFUNCTION("""COMPUTED_VALUE"""),957.42)</f>
        <v>957.42</v>
      </c>
      <c r="E3222" s="1">
        <f>IFERROR(__xludf.DUMMYFUNCTION("""COMPUTED_VALUE"""),957.53)</f>
        <v>957.53</v>
      </c>
      <c r="F3222" s="1">
        <f>IFERROR(__xludf.DUMMYFUNCTION("""COMPUTED_VALUE"""),1.43359376E8)</f>
        <v>143359376</v>
      </c>
    </row>
    <row r="3223">
      <c r="A3223" s="2">
        <f>IFERROR(__xludf.DUMMYFUNCTION("""COMPUTED_VALUE"""),36039.666666666664)</f>
        <v>36039.66667</v>
      </c>
      <c r="B3223" s="1">
        <f>IFERROR(__xludf.DUMMYFUNCTION("""COMPUTED_VALUE"""),957.28)</f>
        <v>957.28</v>
      </c>
      <c r="C3223" s="1">
        <f>IFERROR(__xludf.DUMMYFUNCTION("""COMPUTED_VALUE"""),1000.71)</f>
        <v>1000.71</v>
      </c>
      <c r="D3223" s="1">
        <f>IFERROR(__xludf.DUMMYFUNCTION("""COMPUTED_VALUE"""),939.98)</f>
        <v>939.98</v>
      </c>
      <c r="E3223" s="1">
        <f>IFERROR(__xludf.DUMMYFUNCTION("""COMPUTED_VALUE"""),994.24)</f>
        <v>994.24</v>
      </c>
      <c r="F3223" s="1">
        <f>IFERROR(__xludf.DUMMYFUNCTION("""COMPUTED_VALUE"""),1.90093744E8)</f>
        <v>190093744</v>
      </c>
    </row>
    <row r="3224">
      <c r="A3224" s="2">
        <f>IFERROR(__xludf.DUMMYFUNCTION("""COMPUTED_VALUE"""),36040.666666666664)</f>
        <v>36040.66667</v>
      </c>
      <c r="B3224" s="1">
        <f>IFERROR(__xludf.DUMMYFUNCTION("""COMPUTED_VALUE"""),994.26)</f>
        <v>994.26</v>
      </c>
      <c r="C3224" s="1">
        <f>IFERROR(__xludf.DUMMYFUNCTION("""COMPUTED_VALUE"""),1013.19)</f>
        <v>1013.19</v>
      </c>
      <c r="D3224" s="1">
        <f>IFERROR(__xludf.DUMMYFUNCTION("""COMPUTED_VALUE"""),988.46)</f>
        <v>988.46</v>
      </c>
      <c r="E3224" s="1">
        <f>IFERROR(__xludf.DUMMYFUNCTION("""COMPUTED_VALUE"""),990.48)</f>
        <v>990.48</v>
      </c>
      <c r="F3224" s="1">
        <f>IFERROR(__xludf.DUMMYFUNCTION("""COMPUTED_VALUE"""),1.39781248E8)</f>
        <v>139781248</v>
      </c>
    </row>
    <row r="3225">
      <c r="A3225" s="2">
        <f>IFERROR(__xludf.DUMMYFUNCTION("""COMPUTED_VALUE"""),36041.666666666664)</f>
        <v>36041.66667</v>
      </c>
      <c r="B3225" s="1">
        <f>IFERROR(__xludf.DUMMYFUNCTION("""COMPUTED_VALUE"""),990.47)</f>
        <v>990.47</v>
      </c>
      <c r="C3225" s="1">
        <f>IFERROR(__xludf.DUMMYFUNCTION("""COMPUTED_VALUE"""),990.47)</f>
        <v>990.47</v>
      </c>
      <c r="D3225" s="1">
        <f>IFERROR(__xludf.DUMMYFUNCTION("""COMPUTED_VALUE"""),969.33)</f>
        <v>969.33</v>
      </c>
      <c r="E3225" s="1">
        <f>IFERROR(__xludf.DUMMYFUNCTION("""COMPUTED_VALUE"""),982.26)</f>
        <v>982.26</v>
      </c>
      <c r="F3225" s="1">
        <f>IFERROR(__xludf.DUMMYFUNCTION("""COMPUTED_VALUE"""),1.37578128E8)</f>
        <v>137578128</v>
      </c>
    </row>
    <row r="3226">
      <c r="A3226" s="2">
        <f>IFERROR(__xludf.DUMMYFUNCTION("""COMPUTED_VALUE"""),36042.666666666664)</f>
        <v>36042.66667</v>
      </c>
      <c r="B3226" s="1">
        <f>IFERROR(__xludf.DUMMYFUNCTION("""COMPUTED_VALUE"""),982.26)</f>
        <v>982.26</v>
      </c>
      <c r="C3226" s="1">
        <f>IFERROR(__xludf.DUMMYFUNCTION("""COMPUTED_VALUE"""),991.41)</f>
        <v>991.41</v>
      </c>
      <c r="D3226" s="1">
        <f>IFERROR(__xludf.DUMMYFUNCTION("""COMPUTED_VALUE"""),956.51)</f>
        <v>956.51</v>
      </c>
      <c r="E3226" s="1">
        <f>IFERROR(__xludf.DUMMYFUNCTION("""COMPUTED_VALUE"""),973.89)</f>
        <v>973.89</v>
      </c>
      <c r="F3226" s="1">
        <f>IFERROR(__xludf.DUMMYFUNCTION("""COMPUTED_VALUE"""),1.21921872E8)</f>
        <v>121921872</v>
      </c>
    </row>
    <row r="3227">
      <c r="A3227" s="2">
        <f>IFERROR(__xludf.DUMMYFUNCTION("""COMPUTED_VALUE"""),36046.666666666664)</f>
        <v>36046.66667</v>
      </c>
      <c r="B3227" s="1">
        <f>IFERROR(__xludf.DUMMYFUNCTION("""COMPUTED_VALUE"""),973.89)</f>
        <v>973.89</v>
      </c>
      <c r="C3227" s="1">
        <f>IFERROR(__xludf.DUMMYFUNCTION("""COMPUTED_VALUE"""),1023.46)</f>
        <v>1023.46</v>
      </c>
      <c r="D3227" s="1">
        <f>IFERROR(__xludf.DUMMYFUNCTION("""COMPUTED_VALUE"""),973.89)</f>
        <v>973.89</v>
      </c>
      <c r="E3227" s="1">
        <f>IFERROR(__xludf.DUMMYFUNCTION("""COMPUTED_VALUE"""),1023.46)</f>
        <v>1023.46</v>
      </c>
      <c r="F3227" s="1">
        <f>IFERROR(__xludf.DUMMYFUNCTION("""COMPUTED_VALUE"""),1.27312496E8)</f>
        <v>127312496</v>
      </c>
    </row>
    <row r="3228">
      <c r="A3228" s="2">
        <f>IFERROR(__xludf.DUMMYFUNCTION("""COMPUTED_VALUE"""),36047.666666666664)</f>
        <v>36047.66667</v>
      </c>
      <c r="B3228" s="1">
        <f>IFERROR(__xludf.DUMMYFUNCTION("""COMPUTED_VALUE"""),1023.46)</f>
        <v>1023.46</v>
      </c>
      <c r="C3228" s="1">
        <f>IFERROR(__xludf.DUMMYFUNCTION("""COMPUTED_VALUE"""),1027.72)</f>
        <v>1027.72</v>
      </c>
      <c r="D3228" s="1">
        <f>IFERROR(__xludf.DUMMYFUNCTION("""COMPUTED_VALUE"""),1004.56)</f>
        <v>1004.56</v>
      </c>
      <c r="E3228" s="1">
        <f>IFERROR(__xludf.DUMMYFUNCTION("""COMPUTED_VALUE"""),1006.2)</f>
        <v>1006.2</v>
      </c>
      <c r="F3228" s="1">
        <f>IFERROR(__xludf.DUMMYFUNCTION("""COMPUTED_VALUE"""),1.10046872E8)</f>
        <v>110046872</v>
      </c>
    </row>
    <row r="3229">
      <c r="A3229" s="2">
        <f>IFERROR(__xludf.DUMMYFUNCTION("""COMPUTED_VALUE"""),36048.666666666664)</f>
        <v>36048.66667</v>
      </c>
      <c r="B3229" s="1">
        <f>IFERROR(__xludf.DUMMYFUNCTION("""COMPUTED_VALUE"""),1006.2)</f>
        <v>1006.2</v>
      </c>
      <c r="C3229" s="1">
        <f>IFERROR(__xludf.DUMMYFUNCTION("""COMPUTED_VALUE"""),1006.2)</f>
        <v>1006.2</v>
      </c>
      <c r="D3229" s="1">
        <f>IFERROR(__xludf.DUMMYFUNCTION("""COMPUTED_VALUE"""),968.64)</f>
        <v>968.64</v>
      </c>
      <c r="E3229" s="1">
        <f>IFERROR(__xludf.DUMMYFUNCTION("""COMPUTED_VALUE"""),980.19)</f>
        <v>980.19</v>
      </c>
      <c r="F3229" s="1">
        <f>IFERROR(__xludf.DUMMYFUNCTION("""COMPUTED_VALUE"""),1.3754688E8)</f>
        <v>137546880</v>
      </c>
    </row>
    <row r="3230">
      <c r="A3230" s="2">
        <f>IFERROR(__xludf.DUMMYFUNCTION("""COMPUTED_VALUE"""),36049.666666666664)</f>
        <v>36049.66667</v>
      </c>
      <c r="B3230" s="1">
        <f>IFERROR(__xludf.DUMMYFUNCTION("""COMPUTED_VALUE"""),980.19)</f>
        <v>980.19</v>
      </c>
      <c r="C3230" s="1">
        <f>IFERROR(__xludf.DUMMYFUNCTION("""COMPUTED_VALUE"""),1009.06)</f>
        <v>1009.06</v>
      </c>
      <c r="D3230" s="1">
        <f>IFERROR(__xludf.DUMMYFUNCTION("""COMPUTED_VALUE"""),969.71)</f>
        <v>969.71</v>
      </c>
      <c r="E3230" s="1">
        <f>IFERROR(__xludf.DUMMYFUNCTION("""COMPUTED_VALUE"""),1009.06)</f>
        <v>1009.06</v>
      </c>
      <c r="F3230" s="1">
        <f>IFERROR(__xludf.DUMMYFUNCTION("""COMPUTED_VALUE"""),1.27984376E8)</f>
        <v>127984376</v>
      </c>
    </row>
    <row r="3231">
      <c r="A3231" s="2">
        <f>IFERROR(__xludf.DUMMYFUNCTION("""COMPUTED_VALUE"""),36052.666666666664)</f>
        <v>36052.66667</v>
      </c>
      <c r="B3231" s="1">
        <f>IFERROR(__xludf.DUMMYFUNCTION("""COMPUTED_VALUE"""),1009.06)</f>
        <v>1009.06</v>
      </c>
      <c r="C3231" s="1">
        <f>IFERROR(__xludf.DUMMYFUNCTION("""COMPUTED_VALUE"""),1038.38)</f>
        <v>1038.38</v>
      </c>
      <c r="D3231" s="1">
        <f>IFERROR(__xludf.DUMMYFUNCTION("""COMPUTED_VALUE"""),1009.06)</f>
        <v>1009.06</v>
      </c>
      <c r="E3231" s="1">
        <f>IFERROR(__xludf.DUMMYFUNCTION("""COMPUTED_VALUE"""),1029.72)</f>
        <v>1029.72</v>
      </c>
      <c r="F3231" s="1">
        <f>IFERROR(__xludf.DUMMYFUNCTION("""COMPUTED_VALUE"""),1.11625E8)</f>
        <v>111625000</v>
      </c>
    </row>
    <row r="3232">
      <c r="A3232" s="2">
        <f>IFERROR(__xludf.DUMMYFUNCTION("""COMPUTED_VALUE"""),36053.666666666664)</f>
        <v>36053.66667</v>
      </c>
      <c r="B3232" s="1">
        <f>IFERROR(__xludf.DUMMYFUNCTION("""COMPUTED_VALUE"""),1029.72)</f>
        <v>1029.72</v>
      </c>
      <c r="C3232" s="1">
        <f>IFERROR(__xludf.DUMMYFUNCTION("""COMPUTED_VALUE"""),1037.9)</f>
        <v>1037.9</v>
      </c>
      <c r="D3232" s="1">
        <f>IFERROR(__xludf.DUMMYFUNCTION("""COMPUTED_VALUE"""),1021.42)</f>
        <v>1021.42</v>
      </c>
      <c r="E3232" s="1">
        <f>IFERROR(__xludf.DUMMYFUNCTION("""COMPUTED_VALUE"""),1037.68)</f>
        <v>1037.68</v>
      </c>
      <c r="F3232" s="1">
        <f>IFERROR(__xludf.DUMMYFUNCTION("""COMPUTED_VALUE"""),1.13218752E8)</f>
        <v>113218752</v>
      </c>
    </row>
    <row r="3233">
      <c r="A3233" s="2">
        <f>IFERROR(__xludf.DUMMYFUNCTION("""COMPUTED_VALUE"""),36054.666666666664)</f>
        <v>36054.66667</v>
      </c>
      <c r="B3233" s="1">
        <f>IFERROR(__xludf.DUMMYFUNCTION("""COMPUTED_VALUE"""),1037.68)</f>
        <v>1037.68</v>
      </c>
      <c r="C3233" s="1">
        <f>IFERROR(__xludf.DUMMYFUNCTION("""COMPUTED_VALUE"""),1046.07)</f>
        <v>1046.07</v>
      </c>
      <c r="D3233" s="1">
        <f>IFERROR(__xludf.DUMMYFUNCTION("""COMPUTED_VALUE"""),1029.31)</f>
        <v>1029.31</v>
      </c>
      <c r="E3233" s="1">
        <f>IFERROR(__xludf.DUMMYFUNCTION("""COMPUTED_VALUE"""),1045.48)</f>
        <v>1045.48</v>
      </c>
      <c r="F3233" s="1">
        <f>IFERROR(__xludf.DUMMYFUNCTION("""COMPUTED_VALUE"""),1.24609376E8)</f>
        <v>124609376</v>
      </c>
    </row>
    <row r="3234">
      <c r="A3234" s="2">
        <f>IFERROR(__xludf.DUMMYFUNCTION("""COMPUTED_VALUE"""),36055.666666666664)</f>
        <v>36055.66667</v>
      </c>
      <c r="B3234" s="1">
        <f>IFERROR(__xludf.DUMMYFUNCTION("""COMPUTED_VALUE"""),1045.48)</f>
        <v>1045.48</v>
      </c>
      <c r="C3234" s="1">
        <f>IFERROR(__xludf.DUMMYFUNCTION("""COMPUTED_VALUE"""),1045.48)</f>
        <v>1045.48</v>
      </c>
      <c r="D3234" s="1">
        <f>IFERROR(__xludf.DUMMYFUNCTION("""COMPUTED_VALUE"""),1016.05)</f>
        <v>1016.05</v>
      </c>
      <c r="E3234" s="1">
        <f>IFERROR(__xludf.DUMMYFUNCTION("""COMPUTED_VALUE"""),1018.87)</f>
        <v>1018.87</v>
      </c>
      <c r="F3234" s="1">
        <f>IFERROR(__xludf.DUMMYFUNCTION("""COMPUTED_VALUE"""),1.08515624E8)</f>
        <v>108515624</v>
      </c>
    </row>
    <row r="3235">
      <c r="A3235" s="2">
        <f>IFERROR(__xludf.DUMMYFUNCTION("""COMPUTED_VALUE"""),36056.666666666664)</f>
        <v>36056.66667</v>
      </c>
      <c r="B3235" s="1">
        <f>IFERROR(__xludf.DUMMYFUNCTION("""COMPUTED_VALUE"""),1018.87)</f>
        <v>1018.87</v>
      </c>
      <c r="C3235" s="1">
        <f>IFERROR(__xludf.DUMMYFUNCTION("""COMPUTED_VALUE"""),1022.01)</f>
        <v>1022.01</v>
      </c>
      <c r="D3235" s="1">
        <f>IFERROR(__xludf.DUMMYFUNCTION("""COMPUTED_VALUE"""),1011.86)</f>
        <v>1011.86</v>
      </c>
      <c r="E3235" s="1">
        <f>IFERROR(__xludf.DUMMYFUNCTION("""COMPUTED_VALUE"""),1020.09)</f>
        <v>1020.09</v>
      </c>
      <c r="F3235" s="1">
        <f>IFERROR(__xludf.DUMMYFUNCTION("""COMPUTED_VALUE"""),1.24171872E8)</f>
        <v>124171872</v>
      </c>
    </row>
    <row r="3236">
      <c r="A3236" s="2">
        <f>IFERROR(__xludf.DUMMYFUNCTION("""COMPUTED_VALUE"""),36059.666666666664)</f>
        <v>36059.66667</v>
      </c>
      <c r="B3236" s="1">
        <f>IFERROR(__xludf.DUMMYFUNCTION("""COMPUTED_VALUE"""),1020.09)</f>
        <v>1020.09</v>
      </c>
      <c r="C3236" s="1">
        <f>IFERROR(__xludf.DUMMYFUNCTION("""COMPUTED_VALUE"""),1026.02)</f>
        <v>1026.02</v>
      </c>
      <c r="D3236" s="1">
        <f>IFERROR(__xludf.DUMMYFUNCTION("""COMPUTED_VALUE"""),993.83)</f>
        <v>993.83</v>
      </c>
      <c r="E3236" s="1">
        <f>IFERROR(__xludf.DUMMYFUNCTION("""COMPUTED_VALUE"""),1023.89)</f>
        <v>1023.89</v>
      </c>
      <c r="F3236" s="1">
        <f>IFERROR(__xludf.DUMMYFUNCTION("""COMPUTED_VALUE"""),9.5293752E7)</f>
        <v>95293752</v>
      </c>
    </row>
    <row r="3237">
      <c r="A3237" s="2">
        <f>IFERROR(__xludf.DUMMYFUNCTION("""COMPUTED_VALUE"""),36060.666666666664)</f>
        <v>36060.66667</v>
      </c>
      <c r="B3237" s="1">
        <f>IFERROR(__xludf.DUMMYFUNCTION("""COMPUTED_VALUE"""),1023.89)</f>
        <v>1023.89</v>
      </c>
      <c r="C3237" s="1">
        <f>IFERROR(__xludf.DUMMYFUNCTION("""COMPUTED_VALUE"""),1033.89)</f>
        <v>1033.89</v>
      </c>
      <c r="D3237" s="1">
        <f>IFERROR(__xludf.DUMMYFUNCTION("""COMPUTED_VALUE"""),1021.96)</f>
        <v>1021.96</v>
      </c>
      <c r="E3237" s="1">
        <f>IFERROR(__xludf.DUMMYFUNCTION("""COMPUTED_VALUE"""),1029.63)</f>
        <v>1029.63</v>
      </c>
      <c r="F3237" s="1">
        <f>IFERROR(__xludf.DUMMYFUNCTION("""COMPUTED_VALUE"""),1.08578128E8)</f>
        <v>108578128</v>
      </c>
    </row>
    <row r="3238">
      <c r="A3238" s="2">
        <f>IFERROR(__xludf.DUMMYFUNCTION("""COMPUTED_VALUE"""),36061.666666666664)</f>
        <v>36061.66667</v>
      </c>
      <c r="B3238" s="1">
        <f>IFERROR(__xludf.DUMMYFUNCTION("""COMPUTED_VALUE"""),1029.63)</f>
        <v>1029.63</v>
      </c>
      <c r="C3238" s="1">
        <f>IFERROR(__xludf.DUMMYFUNCTION("""COMPUTED_VALUE"""),1066.09)</f>
        <v>1066.09</v>
      </c>
      <c r="D3238" s="1">
        <f>IFERROR(__xludf.DUMMYFUNCTION("""COMPUTED_VALUE"""),1029.63)</f>
        <v>1029.63</v>
      </c>
      <c r="E3238" s="1">
        <f>IFERROR(__xludf.DUMMYFUNCTION("""COMPUTED_VALUE"""),1066.09)</f>
        <v>1066.09</v>
      </c>
      <c r="F3238" s="1">
        <f>IFERROR(__xludf.DUMMYFUNCTION("""COMPUTED_VALUE"""),1.40578128E8)</f>
        <v>140578128</v>
      </c>
    </row>
    <row r="3239">
      <c r="A3239" s="2">
        <f>IFERROR(__xludf.DUMMYFUNCTION("""COMPUTED_VALUE"""),36062.666666666664)</f>
        <v>36062.66667</v>
      </c>
      <c r="B3239" s="1">
        <f>IFERROR(__xludf.DUMMYFUNCTION("""COMPUTED_VALUE"""),1066.09)</f>
        <v>1066.09</v>
      </c>
      <c r="C3239" s="1">
        <f>IFERROR(__xludf.DUMMYFUNCTION("""COMPUTED_VALUE"""),1066.11)</f>
        <v>1066.11</v>
      </c>
      <c r="D3239" s="1">
        <f>IFERROR(__xludf.DUMMYFUNCTION("""COMPUTED_VALUE"""),1033.04)</f>
        <v>1033.04</v>
      </c>
      <c r="E3239" s="1">
        <f>IFERROR(__xludf.DUMMYFUNCTION("""COMPUTED_VALUE"""),1042.72)</f>
        <v>1042.72</v>
      </c>
      <c r="F3239" s="1">
        <f>IFERROR(__xludf.DUMMYFUNCTION("""COMPUTED_VALUE"""),1.25921872E8)</f>
        <v>125921872</v>
      </c>
    </row>
    <row r="3240">
      <c r="A3240" s="2">
        <f>IFERROR(__xludf.DUMMYFUNCTION("""COMPUTED_VALUE"""),36063.666666666664)</f>
        <v>36063.66667</v>
      </c>
      <c r="B3240" s="1">
        <f>IFERROR(__xludf.DUMMYFUNCTION("""COMPUTED_VALUE"""),1042.72)</f>
        <v>1042.72</v>
      </c>
      <c r="C3240" s="1">
        <f>IFERROR(__xludf.DUMMYFUNCTION("""COMPUTED_VALUE"""),1051.89)</f>
        <v>1051.89</v>
      </c>
      <c r="D3240" s="1">
        <f>IFERROR(__xludf.DUMMYFUNCTION("""COMPUTED_VALUE"""),1028.49)</f>
        <v>1028.49</v>
      </c>
      <c r="E3240" s="1">
        <f>IFERROR(__xludf.DUMMYFUNCTION("""COMPUTED_VALUE"""),1044.75)</f>
        <v>1044.75</v>
      </c>
      <c r="F3240" s="1">
        <f>IFERROR(__xludf.DUMMYFUNCTION("""COMPUTED_VALUE"""),1.15125E8)</f>
        <v>115125000</v>
      </c>
    </row>
    <row r="3241">
      <c r="A3241" s="2">
        <f>IFERROR(__xludf.DUMMYFUNCTION("""COMPUTED_VALUE"""),36066.666666666664)</f>
        <v>36066.66667</v>
      </c>
      <c r="B3241" s="1">
        <f>IFERROR(__xludf.DUMMYFUNCTION("""COMPUTED_VALUE"""),1044.75)</f>
        <v>1044.75</v>
      </c>
      <c r="C3241" s="1">
        <f>IFERROR(__xludf.DUMMYFUNCTION("""COMPUTED_VALUE"""),1061.46)</f>
        <v>1061.46</v>
      </c>
      <c r="D3241" s="1">
        <f>IFERROR(__xludf.DUMMYFUNCTION("""COMPUTED_VALUE"""),1042.23)</f>
        <v>1042.23</v>
      </c>
      <c r="E3241" s="1">
        <f>IFERROR(__xludf.DUMMYFUNCTION("""COMPUTED_VALUE"""),1048.69)</f>
        <v>1048.69</v>
      </c>
      <c r="F3241" s="1">
        <f>IFERROR(__xludf.DUMMYFUNCTION("""COMPUTED_VALUE"""),1.07890624E8)</f>
        <v>107890624</v>
      </c>
    </row>
    <row r="3242">
      <c r="A3242" s="2">
        <f>IFERROR(__xludf.DUMMYFUNCTION("""COMPUTED_VALUE"""),36067.666666666664)</f>
        <v>36067.66667</v>
      </c>
      <c r="B3242" s="1">
        <f>IFERROR(__xludf.DUMMYFUNCTION("""COMPUTED_VALUE"""),1048.69)</f>
        <v>1048.69</v>
      </c>
      <c r="C3242" s="1">
        <f>IFERROR(__xludf.DUMMYFUNCTION("""COMPUTED_VALUE"""),1056.31)</f>
        <v>1056.31</v>
      </c>
      <c r="D3242" s="1">
        <f>IFERROR(__xludf.DUMMYFUNCTION("""COMPUTED_VALUE"""),1039.95)</f>
        <v>1039.95</v>
      </c>
      <c r="E3242" s="1">
        <f>IFERROR(__xludf.DUMMYFUNCTION("""COMPUTED_VALUE"""),1049.02)</f>
        <v>1049.02</v>
      </c>
      <c r="F3242" s="1">
        <f>IFERROR(__xludf.DUMMYFUNCTION("""COMPUTED_VALUE"""),1.18765624E8)</f>
        <v>118765624</v>
      </c>
    </row>
    <row r="3243">
      <c r="A3243" s="2">
        <f>IFERROR(__xludf.DUMMYFUNCTION("""COMPUTED_VALUE"""),36068.666666666664)</f>
        <v>36068.66667</v>
      </c>
      <c r="B3243" s="1">
        <f>IFERROR(__xludf.DUMMYFUNCTION("""COMPUTED_VALUE"""),1049.02)</f>
        <v>1049.02</v>
      </c>
      <c r="C3243" s="1">
        <f>IFERROR(__xludf.DUMMYFUNCTION("""COMPUTED_VALUE"""),1049.02)</f>
        <v>1049.02</v>
      </c>
      <c r="D3243" s="1">
        <f>IFERROR(__xludf.DUMMYFUNCTION("""COMPUTED_VALUE"""),1015.73)</f>
        <v>1015.73</v>
      </c>
      <c r="E3243" s="1">
        <f>IFERROR(__xludf.DUMMYFUNCTION("""COMPUTED_VALUE"""),1017.05)</f>
        <v>1017.05</v>
      </c>
      <c r="F3243" s="1">
        <f>IFERROR(__xludf.DUMMYFUNCTION("""COMPUTED_VALUE"""),1.25015624E8)</f>
        <v>125015624</v>
      </c>
    </row>
    <row r="3244">
      <c r="A3244" s="2">
        <f>IFERROR(__xludf.DUMMYFUNCTION("""COMPUTED_VALUE"""),36069.666666666664)</f>
        <v>36069.66667</v>
      </c>
      <c r="B3244" s="1">
        <f>IFERROR(__xludf.DUMMYFUNCTION("""COMPUTED_VALUE"""),1017.01)</f>
        <v>1017.01</v>
      </c>
      <c r="C3244" s="1">
        <f>IFERROR(__xludf.DUMMYFUNCTION("""COMPUTED_VALUE"""),1017.01)</f>
        <v>1017.01</v>
      </c>
      <c r="D3244" s="1">
        <f>IFERROR(__xludf.DUMMYFUNCTION("""COMPUTED_VALUE"""),981.29)</f>
        <v>981.29</v>
      </c>
      <c r="E3244" s="1">
        <f>IFERROR(__xludf.DUMMYFUNCTION("""COMPUTED_VALUE"""),986.39)</f>
        <v>986.39</v>
      </c>
      <c r="F3244" s="1">
        <f>IFERROR(__xludf.DUMMYFUNCTION("""COMPUTED_VALUE"""),1.40578128E8)</f>
        <v>140578128</v>
      </c>
    </row>
    <row r="3245">
      <c r="A3245" s="2">
        <f>IFERROR(__xludf.DUMMYFUNCTION("""COMPUTED_VALUE"""),36070.666666666664)</f>
        <v>36070.66667</v>
      </c>
      <c r="B3245" s="1">
        <f>IFERROR(__xludf.DUMMYFUNCTION("""COMPUTED_VALUE"""),986.39)</f>
        <v>986.39</v>
      </c>
      <c r="C3245" s="1">
        <f>IFERROR(__xludf.DUMMYFUNCTION("""COMPUTED_VALUE"""),1005.45)</f>
        <v>1005.45</v>
      </c>
      <c r="D3245" s="1">
        <f>IFERROR(__xludf.DUMMYFUNCTION("""COMPUTED_VALUE"""),971.69)</f>
        <v>971.69</v>
      </c>
      <c r="E3245" s="1">
        <f>IFERROR(__xludf.DUMMYFUNCTION("""COMPUTED_VALUE"""),1002.6)</f>
        <v>1002.6</v>
      </c>
      <c r="F3245" s="1">
        <f>IFERROR(__xludf.DUMMYFUNCTION("""COMPUTED_VALUE"""),1.41078128E8)</f>
        <v>141078128</v>
      </c>
    </row>
    <row r="3246">
      <c r="A3246" s="2">
        <f>IFERROR(__xludf.DUMMYFUNCTION("""COMPUTED_VALUE"""),36073.666666666664)</f>
        <v>36073.66667</v>
      </c>
      <c r="B3246" s="1">
        <f>IFERROR(__xludf.DUMMYFUNCTION("""COMPUTED_VALUE"""),1002.6)</f>
        <v>1002.6</v>
      </c>
      <c r="C3246" s="1">
        <f>IFERROR(__xludf.DUMMYFUNCTION("""COMPUTED_VALUE"""),1002.6)</f>
        <v>1002.6</v>
      </c>
      <c r="D3246" s="1">
        <f>IFERROR(__xludf.DUMMYFUNCTION("""COMPUTED_VALUE"""),964.72)</f>
        <v>964.72</v>
      </c>
      <c r="E3246" s="1">
        <f>IFERROR(__xludf.DUMMYFUNCTION("""COMPUTED_VALUE"""),988.56)</f>
        <v>988.56</v>
      </c>
      <c r="F3246" s="1">
        <f>IFERROR(__xludf.DUMMYFUNCTION("""COMPUTED_VALUE"""),1.27734376E8)</f>
        <v>127734376</v>
      </c>
    </row>
    <row r="3247">
      <c r="A3247" s="2">
        <f>IFERROR(__xludf.DUMMYFUNCTION("""COMPUTED_VALUE"""),36074.666666666664)</f>
        <v>36074.66667</v>
      </c>
      <c r="B3247" s="1">
        <f>IFERROR(__xludf.DUMMYFUNCTION("""COMPUTED_VALUE"""),988.56)</f>
        <v>988.56</v>
      </c>
      <c r="C3247" s="1">
        <f>IFERROR(__xludf.DUMMYFUNCTION("""COMPUTED_VALUE"""),1008.77)</f>
        <v>1008.77</v>
      </c>
      <c r="D3247" s="1">
        <f>IFERROR(__xludf.DUMMYFUNCTION("""COMPUTED_VALUE"""),974.81)</f>
        <v>974.81</v>
      </c>
      <c r="E3247" s="1">
        <f>IFERROR(__xludf.DUMMYFUNCTION("""COMPUTED_VALUE"""),984.59)</f>
        <v>984.59</v>
      </c>
      <c r="F3247" s="1">
        <f>IFERROR(__xludf.DUMMYFUNCTION("""COMPUTED_VALUE"""),1.32140624E8)</f>
        <v>132140624</v>
      </c>
    </row>
    <row r="3248">
      <c r="A3248" s="2">
        <f>IFERROR(__xludf.DUMMYFUNCTION("""COMPUTED_VALUE"""),36075.666666666664)</f>
        <v>36075.66667</v>
      </c>
      <c r="B3248" s="1">
        <f>IFERROR(__xludf.DUMMYFUNCTION("""COMPUTED_VALUE"""),984.59)</f>
        <v>984.59</v>
      </c>
      <c r="C3248" s="1">
        <f>IFERROR(__xludf.DUMMYFUNCTION("""COMPUTED_VALUE"""),995.66)</f>
        <v>995.66</v>
      </c>
      <c r="D3248" s="1">
        <f>IFERROR(__xludf.DUMMYFUNCTION("""COMPUTED_VALUE"""),957.15)</f>
        <v>957.15</v>
      </c>
      <c r="E3248" s="1">
        <f>IFERROR(__xludf.DUMMYFUNCTION("""COMPUTED_VALUE"""),970.68)</f>
        <v>970.68</v>
      </c>
      <c r="F3248" s="1">
        <f>IFERROR(__xludf.DUMMYFUNCTION("""COMPUTED_VALUE"""),1.52656256E8)</f>
        <v>152656256</v>
      </c>
    </row>
    <row r="3249">
      <c r="A3249" s="2">
        <f>IFERROR(__xludf.DUMMYFUNCTION("""COMPUTED_VALUE"""),36076.666666666664)</f>
        <v>36076.66667</v>
      </c>
      <c r="B3249" s="1">
        <f>IFERROR(__xludf.DUMMYFUNCTION("""COMPUTED_VALUE"""),970.68)</f>
        <v>970.68</v>
      </c>
      <c r="C3249" s="1">
        <f>IFERROR(__xludf.DUMMYFUNCTION("""COMPUTED_VALUE"""),970.68)</f>
        <v>970.68</v>
      </c>
      <c r="D3249" s="1">
        <f>IFERROR(__xludf.DUMMYFUNCTION("""COMPUTED_VALUE"""),923.32)</f>
        <v>923.32</v>
      </c>
      <c r="E3249" s="1">
        <f>IFERROR(__xludf.DUMMYFUNCTION("""COMPUTED_VALUE"""),959.44)</f>
        <v>959.44</v>
      </c>
      <c r="F3249" s="1">
        <f>IFERROR(__xludf.DUMMYFUNCTION("""COMPUTED_VALUE"""),1.74156256E8)</f>
        <v>174156256</v>
      </c>
    </row>
    <row r="3250">
      <c r="A3250" s="2">
        <f>IFERROR(__xludf.DUMMYFUNCTION("""COMPUTED_VALUE"""),36077.666666666664)</f>
        <v>36077.66667</v>
      </c>
      <c r="B3250" s="1">
        <f>IFERROR(__xludf.DUMMYFUNCTION("""COMPUTED_VALUE"""),959.44)</f>
        <v>959.44</v>
      </c>
      <c r="C3250" s="1">
        <f>IFERROR(__xludf.DUMMYFUNCTION("""COMPUTED_VALUE"""),984.42)</f>
        <v>984.42</v>
      </c>
      <c r="D3250" s="1">
        <f>IFERROR(__xludf.DUMMYFUNCTION("""COMPUTED_VALUE"""),953.04)</f>
        <v>953.04</v>
      </c>
      <c r="E3250" s="1">
        <f>IFERROR(__xludf.DUMMYFUNCTION("""COMPUTED_VALUE"""),984.39)</f>
        <v>984.39</v>
      </c>
      <c r="F3250" s="1">
        <f>IFERROR(__xludf.DUMMYFUNCTION("""COMPUTED_VALUE"""),1.3720312E8)</f>
        <v>137203120</v>
      </c>
    </row>
    <row r="3251">
      <c r="A3251" s="2">
        <f>IFERROR(__xludf.DUMMYFUNCTION("""COMPUTED_VALUE"""),36080.666666666664)</f>
        <v>36080.66667</v>
      </c>
      <c r="B3251" s="1">
        <f>IFERROR(__xludf.DUMMYFUNCTION("""COMPUTED_VALUE"""),997.71)</f>
        <v>997.71</v>
      </c>
      <c r="C3251" s="1">
        <f>IFERROR(__xludf.DUMMYFUNCTION("""COMPUTED_VALUE"""),1010.71)</f>
        <v>1010.71</v>
      </c>
      <c r="D3251" s="1">
        <f>IFERROR(__xludf.DUMMYFUNCTION("""COMPUTED_VALUE"""),985.28)</f>
        <v>985.28</v>
      </c>
      <c r="E3251" s="1">
        <f>IFERROR(__xludf.DUMMYFUNCTION("""COMPUTED_VALUE"""),997.71)</f>
        <v>997.71</v>
      </c>
      <c r="F3251" s="1">
        <f>IFERROR(__xludf.DUMMYFUNCTION("""COMPUTED_VALUE"""),1.07984376E8)</f>
        <v>107984376</v>
      </c>
    </row>
    <row r="3252">
      <c r="A3252" s="2">
        <f>IFERROR(__xludf.DUMMYFUNCTION("""COMPUTED_VALUE"""),36081.666666666664)</f>
        <v>36081.66667</v>
      </c>
      <c r="B3252" s="1">
        <f>IFERROR(__xludf.DUMMYFUNCTION("""COMPUTED_VALUE"""),997.71)</f>
        <v>997.71</v>
      </c>
      <c r="C3252" s="1">
        <f>IFERROR(__xludf.DUMMYFUNCTION("""COMPUTED_VALUE"""),1000.78)</f>
        <v>1000.78</v>
      </c>
      <c r="D3252" s="1">
        <f>IFERROR(__xludf.DUMMYFUNCTION("""COMPUTED_VALUE"""),987.55)</f>
        <v>987.55</v>
      </c>
      <c r="E3252" s="1">
        <f>IFERROR(__xludf.DUMMYFUNCTION("""COMPUTED_VALUE"""),994.8)</f>
        <v>994.8</v>
      </c>
      <c r="F3252" s="1">
        <f>IFERROR(__xludf.DUMMYFUNCTION("""COMPUTED_VALUE"""),1.14578128E8)</f>
        <v>114578128</v>
      </c>
    </row>
    <row r="3253">
      <c r="A3253" s="2">
        <f>IFERROR(__xludf.DUMMYFUNCTION("""COMPUTED_VALUE"""),36082.666666666664)</f>
        <v>36082.66667</v>
      </c>
      <c r="B3253" s="1">
        <f>IFERROR(__xludf.DUMMYFUNCTION("""COMPUTED_VALUE"""),994.8)</f>
        <v>994.8</v>
      </c>
      <c r="C3253" s="1">
        <f>IFERROR(__xludf.DUMMYFUNCTION("""COMPUTED_VALUE"""),1014.42)</f>
        <v>1014.42</v>
      </c>
      <c r="D3253" s="1">
        <f>IFERROR(__xludf.DUMMYFUNCTION("""COMPUTED_VALUE"""),987.8)</f>
        <v>987.8</v>
      </c>
      <c r="E3253" s="1">
        <f>IFERROR(__xludf.DUMMYFUNCTION("""COMPUTED_VALUE"""),1005.53)</f>
        <v>1005.53</v>
      </c>
      <c r="F3253" s="1">
        <f>IFERROR(__xludf.DUMMYFUNCTION("""COMPUTED_VALUE"""),1.23625E8)</f>
        <v>123625000</v>
      </c>
    </row>
    <row r="3254">
      <c r="A3254" s="2">
        <f>IFERROR(__xludf.DUMMYFUNCTION("""COMPUTED_VALUE"""),36083.666666666664)</f>
        <v>36083.66667</v>
      </c>
      <c r="B3254" s="1">
        <f>IFERROR(__xludf.DUMMYFUNCTION("""COMPUTED_VALUE"""),1005.53)</f>
        <v>1005.53</v>
      </c>
      <c r="C3254" s="1">
        <f>IFERROR(__xludf.DUMMYFUNCTION("""COMPUTED_VALUE"""),1053.09)</f>
        <v>1053.09</v>
      </c>
      <c r="D3254" s="1">
        <f>IFERROR(__xludf.DUMMYFUNCTION("""COMPUTED_VALUE"""),1000.12)</f>
        <v>1000.12</v>
      </c>
      <c r="E3254" s="1">
        <f>IFERROR(__xludf.DUMMYFUNCTION("""COMPUTED_VALUE"""),1047.49)</f>
        <v>1047.49</v>
      </c>
      <c r="F3254" s="1">
        <f>IFERROR(__xludf.DUMMYFUNCTION("""COMPUTED_VALUE"""),1.465E8)</f>
        <v>146500000</v>
      </c>
    </row>
    <row r="3255">
      <c r="A3255" s="2">
        <f>IFERROR(__xludf.DUMMYFUNCTION("""COMPUTED_VALUE"""),36084.666666666664)</f>
        <v>36084.66667</v>
      </c>
      <c r="B3255" s="1">
        <f>IFERROR(__xludf.DUMMYFUNCTION("""COMPUTED_VALUE"""),1047.49)</f>
        <v>1047.49</v>
      </c>
      <c r="C3255" s="1">
        <f>IFERROR(__xludf.DUMMYFUNCTION("""COMPUTED_VALUE"""),1062.65)</f>
        <v>1062.65</v>
      </c>
      <c r="D3255" s="1">
        <f>IFERROR(__xludf.DUMMYFUNCTION("""COMPUTED_VALUE"""),1047.49)</f>
        <v>1047.49</v>
      </c>
      <c r="E3255" s="1">
        <f>IFERROR(__xludf.DUMMYFUNCTION("""COMPUTED_VALUE"""),1056.42)</f>
        <v>1056.42</v>
      </c>
      <c r="F3255" s="1">
        <f>IFERROR(__xludf.DUMMYFUNCTION("""COMPUTED_VALUE"""),1.62843744E8)</f>
        <v>162843744</v>
      </c>
    </row>
    <row r="3256">
      <c r="A3256" s="2">
        <f>IFERROR(__xludf.DUMMYFUNCTION("""COMPUTED_VALUE"""),36087.666666666664)</f>
        <v>36087.66667</v>
      </c>
      <c r="B3256" s="1">
        <f>IFERROR(__xludf.DUMMYFUNCTION("""COMPUTED_VALUE"""),1056.42)</f>
        <v>1056.42</v>
      </c>
      <c r="C3256" s="1">
        <f>IFERROR(__xludf.DUMMYFUNCTION("""COMPUTED_VALUE"""),1065.21)</f>
        <v>1065.21</v>
      </c>
      <c r="D3256" s="1">
        <f>IFERROR(__xludf.DUMMYFUNCTION("""COMPUTED_VALUE"""),1054.23)</f>
        <v>1054.23</v>
      </c>
      <c r="E3256" s="1">
        <f>IFERROR(__xludf.DUMMYFUNCTION("""COMPUTED_VALUE"""),1062.4)</f>
        <v>1062.4</v>
      </c>
      <c r="F3256" s="1">
        <f>IFERROR(__xludf.DUMMYFUNCTION("""COMPUTED_VALUE"""),1.15406248E8)</f>
        <v>115406248</v>
      </c>
    </row>
    <row r="3257">
      <c r="A3257" s="2">
        <f>IFERROR(__xludf.DUMMYFUNCTION("""COMPUTED_VALUE"""),36088.666666666664)</f>
        <v>36088.66667</v>
      </c>
      <c r="B3257" s="1">
        <f>IFERROR(__xludf.DUMMYFUNCTION("""COMPUTED_VALUE"""),1062.39)</f>
        <v>1062.39</v>
      </c>
      <c r="C3257" s="1">
        <f>IFERROR(__xludf.DUMMYFUNCTION("""COMPUTED_VALUE"""),1084.06)</f>
        <v>1084.06</v>
      </c>
      <c r="D3257" s="1">
        <f>IFERROR(__xludf.DUMMYFUNCTION("""COMPUTED_VALUE"""),1060.61)</f>
        <v>1060.61</v>
      </c>
      <c r="E3257" s="1">
        <f>IFERROR(__xludf.DUMMYFUNCTION("""COMPUTED_VALUE"""),1063.93)</f>
        <v>1063.93</v>
      </c>
      <c r="F3257" s="1">
        <f>IFERROR(__xludf.DUMMYFUNCTION("""COMPUTED_VALUE"""),1.49718752E8)</f>
        <v>149718752</v>
      </c>
    </row>
    <row r="3258">
      <c r="A3258" s="2">
        <f>IFERROR(__xludf.DUMMYFUNCTION("""COMPUTED_VALUE"""),36089.666666666664)</f>
        <v>36089.66667</v>
      </c>
      <c r="B3258" s="1">
        <f>IFERROR(__xludf.DUMMYFUNCTION("""COMPUTED_VALUE"""),1063.93)</f>
        <v>1063.93</v>
      </c>
      <c r="C3258" s="1">
        <f>IFERROR(__xludf.DUMMYFUNCTION("""COMPUTED_VALUE"""),1073.61)</f>
        <v>1073.61</v>
      </c>
      <c r="D3258" s="1">
        <f>IFERROR(__xludf.DUMMYFUNCTION("""COMPUTED_VALUE"""),1058.08)</f>
        <v>1058.08</v>
      </c>
      <c r="E3258" s="1">
        <f>IFERROR(__xludf.DUMMYFUNCTION("""COMPUTED_VALUE"""),1069.92)</f>
        <v>1069.92</v>
      </c>
      <c r="F3258" s="1">
        <f>IFERROR(__xludf.DUMMYFUNCTION("""COMPUTED_VALUE"""),1.16421872E8)</f>
        <v>116421872</v>
      </c>
    </row>
    <row r="3259">
      <c r="A3259" s="2">
        <f>IFERROR(__xludf.DUMMYFUNCTION("""COMPUTED_VALUE"""),36090.666666666664)</f>
        <v>36090.66667</v>
      </c>
      <c r="B3259" s="1">
        <f>IFERROR(__xludf.DUMMYFUNCTION("""COMPUTED_VALUE"""),1069.92)</f>
        <v>1069.92</v>
      </c>
      <c r="C3259" s="1">
        <f>IFERROR(__xludf.DUMMYFUNCTION("""COMPUTED_VALUE"""),1080.43)</f>
        <v>1080.43</v>
      </c>
      <c r="D3259" s="1">
        <f>IFERROR(__xludf.DUMMYFUNCTION("""COMPUTED_VALUE"""),1061.47)</f>
        <v>1061.47</v>
      </c>
      <c r="E3259" s="1">
        <f>IFERROR(__xludf.DUMMYFUNCTION("""COMPUTED_VALUE"""),1078.48)</f>
        <v>1078.48</v>
      </c>
      <c r="F3259" s="1">
        <f>IFERROR(__xludf.DUMMYFUNCTION("""COMPUTED_VALUE"""),1.17953128E8)</f>
        <v>117953128</v>
      </c>
    </row>
    <row r="3260">
      <c r="A3260" s="2">
        <f>IFERROR(__xludf.DUMMYFUNCTION("""COMPUTED_VALUE"""),36091.666666666664)</f>
        <v>36091.66667</v>
      </c>
      <c r="B3260" s="1">
        <f>IFERROR(__xludf.DUMMYFUNCTION("""COMPUTED_VALUE"""),1078.48)</f>
        <v>1078.48</v>
      </c>
      <c r="C3260" s="1">
        <f>IFERROR(__xludf.DUMMYFUNCTION("""COMPUTED_VALUE"""),1078.48)</f>
        <v>1078.48</v>
      </c>
      <c r="D3260" s="1">
        <f>IFERROR(__xludf.DUMMYFUNCTION("""COMPUTED_VALUE"""),1067.43)</f>
        <v>1067.43</v>
      </c>
      <c r="E3260" s="1">
        <f>IFERROR(__xludf.DUMMYFUNCTION("""COMPUTED_VALUE"""),1070.67)</f>
        <v>1070.67</v>
      </c>
      <c r="F3260" s="1">
        <f>IFERROR(__xludf.DUMMYFUNCTION("""COMPUTED_VALUE"""),9.9631248E7)</f>
        <v>99631248</v>
      </c>
    </row>
    <row r="3261">
      <c r="A3261" s="2">
        <f>IFERROR(__xludf.DUMMYFUNCTION("""COMPUTED_VALUE"""),36094.666666666664)</f>
        <v>36094.66667</v>
      </c>
      <c r="B3261" s="1">
        <f>IFERROR(__xludf.DUMMYFUNCTION("""COMPUTED_VALUE"""),1070.67)</f>
        <v>1070.67</v>
      </c>
      <c r="C3261" s="1">
        <f>IFERROR(__xludf.DUMMYFUNCTION("""COMPUTED_VALUE"""),1081.23)</f>
        <v>1081.23</v>
      </c>
      <c r="D3261" s="1">
        <f>IFERROR(__xludf.DUMMYFUNCTION("""COMPUTED_VALUE"""),1068.01)</f>
        <v>1068.01</v>
      </c>
      <c r="E3261" s="1">
        <f>IFERROR(__xludf.DUMMYFUNCTION("""COMPUTED_VALUE"""),1072.32)</f>
        <v>1072.32</v>
      </c>
      <c r="F3261" s="1">
        <f>IFERROR(__xludf.DUMMYFUNCTION("""COMPUTED_VALUE"""),9.529844E7)</f>
        <v>95298440</v>
      </c>
    </row>
    <row r="3262">
      <c r="A3262" s="2">
        <f>IFERROR(__xludf.DUMMYFUNCTION("""COMPUTED_VALUE"""),36095.666666666664)</f>
        <v>36095.66667</v>
      </c>
      <c r="B3262" s="1">
        <f>IFERROR(__xludf.DUMMYFUNCTION("""COMPUTED_VALUE"""),1072.32)</f>
        <v>1072.32</v>
      </c>
      <c r="C3262" s="1">
        <f>IFERROR(__xludf.DUMMYFUNCTION("""COMPUTED_VALUE"""),1087.08)</f>
        <v>1087.08</v>
      </c>
      <c r="D3262" s="1">
        <f>IFERROR(__xludf.DUMMYFUNCTION("""COMPUTED_VALUE"""),1063.06)</f>
        <v>1063.06</v>
      </c>
      <c r="E3262" s="1">
        <f>IFERROR(__xludf.DUMMYFUNCTION("""COMPUTED_VALUE"""),1065.34)</f>
        <v>1065.34</v>
      </c>
      <c r="F3262" s="1">
        <f>IFERROR(__xludf.DUMMYFUNCTION("""COMPUTED_VALUE"""),1.19453128E8)</f>
        <v>119453128</v>
      </c>
    </row>
    <row r="3263">
      <c r="A3263" s="2">
        <f>IFERROR(__xludf.DUMMYFUNCTION("""COMPUTED_VALUE"""),36096.666666666664)</f>
        <v>36096.66667</v>
      </c>
      <c r="B3263" s="1">
        <f>IFERROR(__xludf.DUMMYFUNCTION("""COMPUTED_VALUE"""),1065.34)</f>
        <v>1065.34</v>
      </c>
      <c r="C3263" s="1">
        <f>IFERROR(__xludf.DUMMYFUNCTION("""COMPUTED_VALUE"""),1072.79)</f>
        <v>1072.79</v>
      </c>
      <c r="D3263" s="1">
        <f>IFERROR(__xludf.DUMMYFUNCTION("""COMPUTED_VALUE"""),1059.65)</f>
        <v>1059.65</v>
      </c>
      <c r="E3263" s="1">
        <f>IFERROR(__xludf.DUMMYFUNCTION("""COMPUTED_VALUE"""),1068.09)</f>
        <v>1068.09</v>
      </c>
      <c r="F3263" s="1">
        <f>IFERROR(__xludf.DUMMYFUNCTION("""COMPUTED_VALUE"""),1.05859376E8)</f>
        <v>105859376</v>
      </c>
    </row>
    <row r="3264">
      <c r="A3264" s="2">
        <f>IFERROR(__xludf.DUMMYFUNCTION("""COMPUTED_VALUE"""),36097.666666666664)</f>
        <v>36097.66667</v>
      </c>
      <c r="B3264" s="1">
        <f>IFERROR(__xludf.DUMMYFUNCTION("""COMPUTED_VALUE"""),1068.09)</f>
        <v>1068.09</v>
      </c>
      <c r="C3264" s="1">
        <f>IFERROR(__xludf.DUMMYFUNCTION("""COMPUTED_VALUE"""),1086.11)</f>
        <v>1086.11</v>
      </c>
      <c r="D3264" s="1">
        <f>IFERROR(__xludf.DUMMYFUNCTION("""COMPUTED_VALUE"""),1065.95)</f>
        <v>1065.95</v>
      </c>
      <c r="E3264" s="1">
        <f>IFERROR(__xludf.DUMMYFUNCTION("""COMPUTED_VALUE"""),1085.93)</f>
        <v>1085.93</v>
      </c>
      <c r="F3264" s="1">
        <f>IFERROR(__xludf.DUMMYFUNCTION("""COMPUTED_VALUE"""),1.09281248E8)</f>
        <v>109281248</v>
      </c>
    </row>
    <row r="3265">
      <c r="A3265" s="2">
        <f>IFERROR(__xludf.DUMMYFUNCTION("""COMPUTED_VALUE"""),36098.666666666664)</f>
        <v>36098.66667</v>
      </c>
      <c r="B3265" s="1">
        <f>IFERROR(__xludf.DUMMYFUNCTION("""COMPUTED_VALUE"""),1085.93)</f>
        <v>1085.93</v>
      </c>
      <c r="C3265" s="1">
        <f>IFERROR(__xludf.DUMMYFUNCTION("""COMPUTED_VALUE"""),1103.76)</f>
        <v>1103.76</v>
      </c>
      <c r="D3265" s="1">
        <f>IFERROR(__xludf.DUMMYFUNCTION("""COMPUTED_VALUE"""),1085.93)</f>
        <v>1085.93</v>
      </c>
      <c r="E3265" s="1">
        <f>IFERROR(__xludf.DUMMYFUNCTION("""COMPUTED_VALUE"""),1098.67)</f>
        <v>1098.67</v>
      </c>
      <c r="F3265" s="1">
        <f>IFERROR(__xludf.DUMMYFUNCTION("""COMPUTED_VALUE"""),1.22656248E8)</f>
        <v>122656248</v>
      </c>
    </row>
    <row r="3266">
      <c r="A3266" s="2">
        <f>IFERROR(__xludf.DUMMYFUNCTION("""COMPUTED_VALUE"""),36101.666666666664)</f>
        <v>36101.66667</v>
      </c>
      <c r="B3266" s="1">
        <f>IFERROR(__xludf.DUMMYFUNCTION("""COMPUTED_VALUE"""),1111.6)</f>
        <v>1111.6</v>
      </c>
      <c r="C3266" s="1">
        <f>IFERROR(__xludf.DUMMYFUNCTION("""COMPUTED_VALUE"""),1114.44)</f>
        <v>1114.44</v>
      </c>
      <c r="D3266" s="1">
        <f>IFERROR(__xludf.DUMMYFUNCTION("""COMPUTED_VALUE"""),1098.82)</f>
        <v>1098.82</v>
      </c>
      <c r="E3266" s="1">
        <f>IFERROR(__xludf.DUMMYFUNCTION("""COMPUTED_VALUE"""),1111.6)</f>
        <v>1111.6</v>
      </c>
      <c r="F3266" s="1">
        <f>IFERROR(__xludf.DUMMYFUNCTION("""COMPUTED_VALUE"""),1.17781248E8)</f>
        <v>117781248</v>
      </c>
    </row>
    <row r="3267">
      <c r="A3267" s="2">
        <f>IFERROR(__xludf.DUMMYFUNCTION("""COMPUTED_VALUE"""),36102.666666666664)</f>
        <v>36102.66667</v>
      </c>
      <c r="B3267" s="1">
        <f>IFERROR(__xludf.DUMMYFUNCTION("""COMPUTED_VALUE"""),1111.6)</f>
        <v>1111.6</v>
      </c>
      <c r="C3267" s="1">
        <f>IFERROR(__xludf.DUMMYFUNCTION("""COMPUTED_VALUE"""),1115.02)</f>
        <v>1115.02</v>
      </c>
      <c r="D3267" s="1">
        <f>IFERROR(__xludf.DUMMYFUNCTION("""COMPUTED_VALUE"""),1106.42)</f>
        <v>1106.42</v>
      </c>
      <c r="E3267" s="1">
        <f>IFERROR(__xludf.DUMMYFUNCTION("""COMPUTED_VALUE"""),1110.84)</f>
        <v>1110.84</v>
      </c>
      <c r="F3267" s="1">
        <f>IFERROR(__xludf.DUMMYFUNCTION("""COMPUTED_VALUE"""),1.10046872E8)</f>
        <v>110046872</v>
      </c>
    </row>
    <row r="3268">
      <c r="A3268" s="2">
        <f>IFERROR(__xludf.DUMMYFUNCTION("""COMPUTED_VALUE"""),36103.666666666664)</f>
        <v>36103.66667</v>
      </c>
      <c r="B3268" s="1">
        <f>IFERROR(__xludf.DUMMYFUNCTION("""COMPUTED_VALUE"""),1110.84)</f>
        <v>1110.84</v>
      </c>
      <c r="C3268" s="1">
        <f>IFERROR(__xludf.DUMMYFUNCTION("""COMPUTED_VALUE"""),1127.18)</f>
        <v>1127.18</v>
      </c>
      <c r="D3268" s="1">
        <f>IFERROR(__xludf.DUMMYFUNCTION("""COMPUTED_VALUE"""),1110.59)</f>
        <v>1110.59</v>
      </c>
      <c r="E3268" s="1">
        <f>IFERROR(__xludf.DUMMYFUNCTION("""COMPUTED_VALUE"""),1118.67)</f>
        <v>1118.67</v>
      </c>
      <c r="F3268" s="1">
        <f>IFERROR(__xludf.DUMMYFUNCTION("""COMPUTED_VALUE"""),1.3454688E8)</f>
        <v>134546880</v>
      </c>
    </row>
    <row r="3269">
      <c r="A3269" s="2">
        <f>IFERROR(__xludf.DUMMYFUNCTION("""COMPUTED_VALUE"""),36104.666666666664)</f>
        <v>36104.66667</v>
      </c>
      <c r="B3269" s="1">
        <f>IFERROR(__xludf.DUMMYFUNCTION("""COMPUTED_VALUE"""),1118.67)</f>
        <v>1118.67</v>
      </c>
      <c r="C3269" s="1">
        <f>IFERROR(__xludf.DUMMYFUNCTION("""COMPUTED_VALUE"""),1133.88)</f>
        <v>1133.88</v>
      </c>
      <c r="D3269" s="1">
        <f>IFERROR(__xludf.DUMMYFUNCTION("""COMPUTED_VALUE"""),1109.55)</f>
        <v>1109.55</v>
      </c>
      <c r="E3269" s="1">
        <f>IFERROR(__xludf.DUMMYFUNCTION("""COMPUTED_VALUE"""),1133.68)</f>
        <v>1133.68</v>
      </c>
      <c r="F3269" s="1">
        <f>IFERROR(__xludf.DUMMYFUNCTION("""COMPUTED_VALUE"""),1.20343752E8)</f>
        <v>120343752</v>
      </c>
    </row>
    <row r="3270">
      <c r="A3270" s="2">
        <f>IFERROR(__xludf.DUMMYFUNCTION("""COMPUTED_VALUE"""),36105.666666666664)</f>
        <v>36105.66667</v>
      </c>
      <c r="B3270" s="1">
        <f>IFERROR(__xludf.DUMMYFUNCTION("""COMPUTED_VALUE"""),1133.85)</f>
        <v>1133.85</v>
      </c>
      <c r="C3270" s="1">
        <f>IFERROR(__xludf.DUMMYFUNCTION("""COMPUTED_VALUE"""),1141.3)</f>
        <v>1141.3</v>
      </c>
      <c r="D3270" s="1">
        <f>IFERROR(__xludf.DUMMYFUNCTION("""COMPUTED_VALUE"""),1131.18)</f>
        <v>1131.18</v>
      </c>
      <c r="E3270" s="1">
        <f>IFERROR(__xludf.DUMMYFUNCTION("""COMPUTED_VALUE"""),1141.0)</f>
        <v>1141</v>
      </c>
      <c r="F3270" s="1">
        <f>IFERROR(__xludf.DUMMYFUNCTION("""COMPUTED_VALUE"""),1.06734376E8)</f>
        <v>106734376</v>
      </c>
    </row>
    <row r="3271">
      <c r="A3271" s="2">
        <f>IFERROR(__xludf.DUMMYFUNCTION("""COMPUTED_VALUE"""),36108.666666666664)</f>
        <v>36108.66667</v>
      </c>
      <c r="B3271" s="1">
        <f>IFERROR(__xludf.DUMMYFUNCTION("""COMPUTED_VALUE"""),1141.01)</f>
        <v>1141.01</v>
      </c>
      <c r="C3271" s="1">
        <f>IFERROR(__xludf.DUMMYFUNCTION("""COMPUTED_VALUE"""),1141.01)</f>
        <v>1141.01</v>
      </c>
      <c r="D3271" s="1">
        <f>IFERROR(__xludf.DUMMYFUNCTION("""COMPUTED_VALUE"""),1123.17)</f>
        <v>1123.17</v>
      </c>
      <c r="E3271" s="1">
        <f>IFERROR(__xludf.DUMMYFUNCTION("""COMPUTED_VALUE"""),1130.2)</f>
        <v>1130.2</v>
      </c>
      <c r="F3271" s="1">
        <f>IFERROR(__xludf.DUMMYFUNCTION("""COMPUTED_VALUE"""),9.2654688E7)</f>
        <v>92654688</v>
      </c>
    </row>
    <row r="3272">
      <c r="A3272" s="2">
        <f>IFERROR(__xludf.DUMMYFUNCTION("""COMPUTED_VALUE"""),36109.666666666664)</f>
        <v>36109.66667</v>
      </c>
      <c r="B3272" s="1">
        <f>IFERROR(__xludf.DUMMYFUNCTION("""COMPUTED_VALUE"""),1130.2)</f>
        <v>1130.2</v>
      </c>
      <c r="C3272" s="1">
        <f>IFERROR(__xludf.DUMMYFUNCTION("""COMPUTED_VALUE"""),1135.37)</f>
        <v>1135.37</v>
      </c>
      <c r="D3272" s="1">
        <f>IFERROR(__xludf.DUMMYFUNCTION("""COMPUTED_VALUE"""),1122.8)</f>
        <v>1122.8</v>
      </c>
      <c r="E3272" s="1">
        <f>IFERROR(__xludf.DUMMYFUNCTION("""COMPUTED_VALUE"""),1128.26)</f>
        <v>1128.26</v>
      </c>
      <c r="F3272" s="1">
        <f>IFERROR(__xludf.DUMMYFUNCTION("""COMPUTED_VALUE"""),1.04890624E8)</f>
        <v>104890624</v>
      </c>
    </row>
    <row r="3273">
      <c r="A3273" s="2">
        <f>IFERROR(__xludf.DUMMYFUNCTION("""COMPUTED_VALUE"""),36110.666666666664)</f>
        <v>36110.66667</v>
      </c>
      <c r="B3273" s="1">
        <f>IFERROR(__xludf.DUMMYFUNCTION("""COMPUTED_VALUE"""),1128.26)</f>
        <v>1128.26</v>
      </c>
      <c r="C3273" s="1">
        <f>IFERROR(__xludf.DUMMYFUNCTION("""COMPUTED_VALUE"""),1136.25)</f>
        <v>1136.25</v>
      </c>
      <c r="D3273" s="1">
        <f>IFERROR(__xludf.DUMMYFUNCTION("""COMPUTED_VALUE"""),1117.4)</f>
        <v>1117.4</v>
      </c>
      <c r="E3273" s="1">
        <f>IFERROR(__xludf.DUMMYFUNCTION("""COMPUTED_VALUE"""),1120.97)</f>
        <v>1120.97</v>
      </c>
      <c r="F3273" s="1">
        <f>IFERROR(__xludf.DUMMYFUNCTION("""COMPUTED_VALUE"""),1.11828128E8)</f>
        <v>111828128</v>
      </c>
    </row>
    <row r="3274">
      <c r="A3274" s="2">
        <f>IFERROR(__xludf.DUMMYFUNCTION("""COMPUTED_VALUE"""),36111.666666666664)</f>
        <v>36111.66667</v>
      </c>
      <c r="B3274" s="1">
        <f>IFERROR(__xludf.DUMMYFUNCTION("""COMPUTED_VALUE"""),1120.97)</f>
        <v>1120.97</v>
      </c>
      <c r="C3274" s="1">
        <f>IFERROR(__xludf.DUMMYFUNCTION("""COMPUTED_VALUE"""),1126.57)</f>
        <v>1126.57</v>
      </c>
      <c r="D3274" s="1">
        <f>IFERROR(__xludf.DUMMYFUNCTION("""COMPUTED_VALUE"""),1115.55)</f>
        <v>1115.55</v>
      </c>
      <c r="E3274" s="1">
        <f>IFERROR(__xludf.DUMMYFUNCTION("""COMPUTED_VALUE"""),1118.17)</f>
        <v>1118.17</v>
      </c>
      <c r="F3274" s="1">
        <f>IFERROR(__xludf.DUMMYFUNCTION("""COMPUTED_VALUE"""),1.03484376E8)</f>
        <v>103484376</v>
      </c>
    </row>
    <row r="3275">
      <c r="A3275" s="2">
        <f>IFERROR(__xludf.DUMMYFUNCTION("""COMPUTED_VALUE"""),36112.666666666664)</f>
        <v>36112.66667</v>
      </c>
      <c r="B3275" s="1">
        <f>IFERROR(__xludf.DUMMYFUNCTION("""COMPUTED_VALUE"""),1117.69)</f>
        <v>1117.69</v>
      </c>
      <c r="C3275" s="1">
        <f>IFERROR(__xludf.DUMMYFUNCTION("""COMPUTED_VALUE"""),1126.34)</f>
        <v>1126.34</v>
      </c>
      <c r="D3275" s="1">
        <f>IFERROR(__xludf.DUMMYFUNCTION("""COMPUTED_VALUE"""),1116.76)</f>
        <v>1116.76</v>
      </c>
      <c r="E3275" s="1">
        <f>IFERROR(__xludf.DUMMYFUNCTION("""COMPUTED_VALUE"""),1125.72)</f>
        <v>1125.72</v>
      </c>
      <c r="F3275" s="1">
        <f>IFERROR(__xludf.DUMMYFUNCTION("""COMPUTED_VALUE"""),9.4104688E7)</f>
        <v>94104688</v>
      </c>
    </row>
    <row r="3276">
      <c r="A3276" s="2">
        <f>IFERROR(__xludf.DUMMYFUNCTION("""COMPUTED_VALUE"""),36115.666666666664)</f>
        <v>36115.66667</v>
      </c>
      <c r="B3276" s="1">
        <f>IFERROR(__xludf.DUMMYFUNCTION("""COMPUTED_VALUE"""),1135.86)</f>
        <v>1135.86</v>
      </c>
      <c r="C3276" s="1">
        <f>IFERROR(__xludf.DUMMYFUNCTION("""COMPUTED_VALUE"""),1138.72)</f>
        <v>1138.72</v>
      </c>
      <c r="D3276" s="1">
        <f>IFERROR(__xludf.DUMMYFUNCTION("""COMPUTED_VALUE"""),1125.85)</f>
        <v>1125.85</v>
      </c>
      <c r="E3276" s="1">
        <f>IFERROR(__xludf.DUMMYFUNCTION("""COMPUTED_VALUE"""),1135.86)</f>
        <v>1135.86</v>
      </c>
      <c r="F3276" s="1">
        <f>IFERROR(__xludf.DUMMYFUNCTION("""COMPUTED_VALUE"""),9.6184376E7)</f>
        <v>96184376</v>
      </c>
    </row>
    <row r="3277">
      <c r="A3277" s="2">
        <f>IFERROR(__xludf.DUMMYFUNCTION("""COMPUTED_VALUE"""),36116.666666666664)</f>
        <v>36116.66667</v>
      </c>
      <c r="B3277" s="1">
        <f>IFERROR(__xludf.DUMMYFUNCTION("""COMPUTED_VALUE"""),1135.87)</f>
        <v>1135.87</v>
      </c>
      <c r="C3277" s="1">
        <f>IFERROR(__xludf.DUMMYFUNCTION("""COMPUTED_VALUE"""),1151.71)</f>
        <v>1151.71</v>
      </c>
      <c r="D3277" s="1">
        <f>IFERROR(__xludf.DUMMYFUNCTION("""COMPUTED_VALUE"""),1129.67)</f>
        <v>1129.67</v>
      </c>
      <c r="E3277" s="1">
        <f>IFERROR(__xludf.DUMMYFUNCTION("""COMPUTED_VALUE"""),1139.32)</f>
        <v>1139.32</v>
      </c>
      <c r="F3277" s="1">
        <f>IFERROR(__xludf.DUMMYFUNCTION("""COMPUTED_VALUE"""),1.10187504E8)</f>
        <v>110187504</v>
      </c>
    </row>
    <row r="3278">
      <c r="A3278" s="2">
        <f>IFERROR(__xludf.DUMMYFUNCTION("""COMPUTED_VALUE"""),36117.666666666664)</f>
        <v>36117.66667</v>
      </c>
      <c r="B3278" s="1">
        <f>IFERROR(__xludf.DUMMYFUNCTION("""COMPUTED_VALUE"""),1139.32)</f>
        <v>1139.32</v>
      </c>
      <c r="C3278" s="1">
        <f>IFERROR(__xludf.DUMMYFUNCTION("""COMPUTED_VALUE"""),1144.52)</f>
        <v>1144.52</v>
      </c>
      <c r="D3278" s="1">
        <f>IFERROR(__xludf.DUMMYFUNCTION("""COMPUTED_VALUE"""),1133.07)</f>
        <v>1133.07</v>
      </c>
      <c r="E3278" s="1">
        <f>IFERROR(__xludf.DUMMYFUNCTION("""COMPUTED_VALUE"""),1144.48)</f>
        <v>1144.48</v>
      </c>
      <c r="F3278" s="1">
        <f>IFERROR(__xludf.DUMMYFUNCTION("""COMPUTED_VALUE"""),1.01954688E8)</f>
        <v>101954688</v>
      </c>
    </row>
    <row r="3279">
      <c r="A3279" s="2">
        <f>IFERROR(__xludf.DUMMYFUNCTION("""COMPUTED_VALUE"""),36118.666666666664)</f>
        <v>36118.66667</v>
      </c>
      <c r="B3279" s="1">
        <f>IFERROR(__xludf.DUMMYFUNCTION("""COMPUTED_VALUE"""),1144.48)</f>
        <v>1144.48</v>
      </c>
      <c r="C3279" s="1">
        <f>IFERROR(__xludf.DUMMYFUNCTION("""COMPUTED_VALUE"""),1155.1)</f>
        <v>1155.1</v>
      </c>
      <c r="D3279" s="1">
        <f>IFERROR(__xludf.DUMMYFUNCTION("""COMPUTED_VALUE"""),1144.42)</f>
        <v>1144.42</v>
      </c>
      <c r="E3279" s="1">
        <f>IFERROR(__xludf.DUMMYFUNCTION("""COMPUTED_VALUE"""),1152.61)</f>
        <v>1152.61</v>
      </c>
      <c r="F3279" s="1">
        <f>IFERROR(__xludf.DUMMYFUNCTION("""COMPUTED_VALUE"""),1.04843752E8)</f>
        <v>104843752</v>
      </c>
    </row>
    <row r="3280">
      <c r="A3280" s="2">
        <f>IFERROR(__xludf.DUMMYFUNCTION("""COMPUTED_VALUE"""),36119.666666666664)</f>
        <v>36119.66667</v>
      </c>
      <c r="B3280" s="1">
        <f>IFERROR(__xludf.DUMMYFUNCTION("""COMPUTED_VALUE"""),1152.61)</f>
        <v>1152.61</v>
      </c>
      <c r="C3280" s="1">
        <f>IFERROR(__xludf.DUMMYFUNCTION("""COMPUTED_VALUE"""),1163.55)</f>
        <v>1163.55</v>
      </c>
      <c r="D3280" s="1">
        <f>IFERROR(__xludf.DUMMYFUNCTION("""COMPUTED_VALUE"""),1152.61)</f>
        <v>1152.61</v>
      </c>
      <c r="E3280" s="1">
        <f>IFERROR(__xludf.DUMMYFUNCTION("""COMPUTED_VALUE"""),1163.55)</f>
        <v>1163.55</v>
      </c>
      <c r="F3280" s="1">
        <f>IFERROR(__xludf.DUMMYFUNCTION("""COMPUTED_VALUE"""),1.12687504E8)</f>
        <v>112687504</v>
      </c>
    </row>
    <row r="3281">
      <c r="A3281" s="2">
        <f>IFERROR(__xludf.DUMMYFUNCTION("""COMPUTED_VALUE"""),36122.666666666664)</f>
        <v>36122.66667</v>
      </c>
      <c r="B3281" s="1">
        <f>IFERROR(__xludf.DUMMYFUNCTION("""COMPUTED_VALUE"""),1163.55)</f>
        <v>1163.55</v>
      </c>
      <c r="C3281" s="1">
        <f>IFERROR(__xludf.DUMMYFUNCTION("""COMPUTED_VALUE"""),1188.21)</f>
        <v>1188.21</v>
      </c>
      <c r="D3281" s="1">
        <f>IFERROR(__xludf.DUMMYFUNCTION("""COMPUTED_VALUE"""),1163.55)</f>
        <v>1163.55</v>
      </c>
      <c r="E3281" s="1">
        <f>IFERROR(__xludf.DUMMYFUNCTION("""COMPUTED_VALUE"""),1188.21)</f>
        <v>1188.21</v>
      </c>
      <c r="F3281" s="1">
        <f>IFERROR(__xludf.DUMMYFUNCTION("""COMPUTED_VALUE"""),1.20953128E8)</f>
        <v>120953128</v>
      </c>
    </row>
    <row r="3282">
      <c r="A3282" s="2">
        <f>IFERROR(__xludf.DUMMYFUNCTION("""COMPUTED_VALUE"""),36123.666666666664)</f>
        <v>36123.66667</v>
      </c>
      <c r="B3282" s="1">
        <f>IFERROR(__xludf.DUMMYFUNCTION("""COMPUTED_VALUE"""),1188.21)</f>
        <v>1188.21</v>
      </c>
      <c r="C3282" s="1">
        <f>IFERROR(__xludf.DUMMYFUNCTION("""COMPUTED_VALUE"""),1191.3)</f>
        <v>1191.3</v>
      </c>
      <c r="D3282" s="1">
        <f>IFERROR(__xludf.DUMMYFUNCTION("""COMPUTED_VALUE"""),1181.81)</f>
        <v>1181.81</v>
      </c>
      <c r="E3282" s="1">
        <f>IFERROR(__xludf.DUMMYFUNCTION("""COMPUTED_VALUE"""),1182.99)</f>
        <v>1182.99</v>
      </c>
      <c r="F3282" s="1">
        <f>IFERROR(__xludf.DUMMYFUNCTION("""COMPUTED_VALUE"""),1.19718752E8)</f>
        <v>119718752</v>
      </c>
    </row>
    <row r="3283">
      <c r="A3283" s="2">
        <f>IFERROR(__xludf.DUMMYFUNCTION("""COMPUTED_VALUE"""),36124.666666666664)</f>
        <v>36124.66667</v>
      </c>
      <c r="B3283" s="1">
        <f>IFERROR(__xludf.DUMMYFUNCTION("""COMPUTED_VALUE"""),1182.99)</f>
        <v>1182.99</v>
      </c>
      <c r="C3283" s="1">
        <f>IFERROR(__xludf.DUMMYFUNCTION("""COMPUTED_VALUE"""),1187.16)</f>
        <v>1187.16</v>
      </c>
      <c r="D3283" s="1">
        <f>IFERROR(__xludf.DUMMYFUNCTION("""COMPUTED_VALUE"""),1179.37)</f>
        <v>1179.37</v>
      </c>
      <c r="E3283" s="1">
        <f>IFERROR(__xludf.DUMMYFUNCTION("""COMPUTED_VALUE"""),1186.87)</f>
        <v>1186.87</v>
      </c>
      <c r="F3283" s="1">
        <f>IFERROR(__xludf.DUMMYFUNCTION("""COMPUTED_VALUE"""),9.1184376E7)</f>
        <v>91184376</v>
      </c>
    </row>
    <row r="3284">
      <c r="A3284" s="2">
        <f>IFERROR(__xludf.DUMMYFUNCTION("""COMPUTED_VALUE"""),36126.666666666664)</f>
        <v>36126.66667</v>
      </c>
      <c r="B3284" s="1">
        <f>IFERROR(__xludf.DUMMYFUNCTION("""COMPUTED_VALUE"""),1186.87)</f>
        <v>1186.87</v>
      </c>
      <c r="C3284" s="1">
        <f>IFERROR(__xludf.DUMMYFUNCTION("""COMPUTED_VALUE"""),1192.97)</f>
        <v>1192.97</v>
      </c>
      <c r="D3284" s="1">
        <f>IFERROR(__xludf.DUMMYFUNCTION("""COMPUTED_VALUE"""),1186.83)</f>
        <v>1186.83</v>
      </c>
      <c r="E3284" s="1">
        <f>IFERROR(__xludf.DUMMYFUNCTION("""COMPUTED_VALUE"""),1192.29)</f>
        <v>1192.29</v>
      </c>
      <c r="F3284" s="1">
        <f>IFERROR(__xludf.DUMMYFUNCTION("""COMPUTED_VALUE"""),4.0148436E7)</f>
        <v>40148436</v>
      </c>
    </row>
    <row r="3285">
      <c r="A3285" s="2">
        <f>IFERROR(__xludf.DUMMYFUNCTION("""COMPUTED_VALUE"""),36129.666666666664)</f>
        <v>36129.66667</v>
      </c>
      <c r="B3285" s="1">
        <f>IFERROR(__xludf.DUMMYFUNCTION("""COMPUTED_VALUE"""),1192.33)</f>
        <v>1192.33</v>
      </c>
      <c r="C3285" s="1">
        <f>IFERROR(__xludf.DUMMYFUNCTION("""COMPUTED_VALUE"""),1192.72)</f>
        <v>1192.72</v>
      </c>
      <c r="D3285" s="1">
        <f>IFERROR(__xludf.DUMMYFUNCTION("""COMPUTED_VALUE"""),1163.63)</f>
        <v>1163.63</v>
      </c>
      <c r="E3285" s="1">
        <f>IFERROR(__xludf.DUMMYFUNCTION("""COMPUTED_VALUE"""),1163.63)</f>
        <v>1163.63</v>
      </c>
      <c r="F3285" s="1">
        <f>IFERROR(__xludf.DUMMYFUNCTION("""COMPUTED_VALUE"""),1.07484376E8)</f>
        <v>107484376</v>
      </c>
    </row>
    <row r="3286">
      <c r="A3286" s="2">
        <f>IFERROR(__xludf.DUMMYFUNCTION("""COMPUTED_VALUE"""),36130.666666666664)</f>
        <v>36130.66667</v>
      </c>
      <c r="B3286" s="1">
        <f>IFERROR(__xludf.DUMMYFUNCTION("""COMPUTED_VALUE"""),1163.63)</f>
        <v>1163.63</v>
      </c>
      <c r="C3286" s="1">
        <f>IFERROR(__xludf.DUMMYFUNCTION("""COMPUTED_VALUE"""),1175.89)</f>
        <v>1175.89</v>
      </c>
      <c r="D3286" s="1">
        <f>IFERROR(__xludf.DUMMYFUNCTION("""COMPUTED_VALUE"""),1150.31)</f>
        <v>1150.31</v>
      </c>
      <c r="E3286" s="1">
        <f>IFERROR(__xludf.DUMMYFUNCTION("""COMPUTED_VALUE"""),1175.28)</f>
        <v>1175.28</v>
      </c>
      <c r="F3286" s="1">
        <f>IFERROR(__xludf.DUMMYFUNCTION("""COMPUTED_VALUE"""),1.23312496E8)</f>
        <v>123312496</v>
      </c>
    </row>
    <row r="3287">
      <c r="A3287" s="2">
        <f>IFERROR(__xludf.DUMMYFUNCTION("""COMPUTED_VALUE"""),36131.666666666664)</f>
        <v>36131.66667</v>
      </c>
      <c r="B3287" s="1">
        <f>IFERROR(__xludf.DUMMYFUNCTION("""COMPUTED_VALUE"""),1175.28)</f>
        <v>1175.28</v>
      </c>
      <c r="C3287" s="1">
        <f>IFERROR(__xludf.DUMMYFUNCTION("""COMPUTED_VALUE"""),1175.28)</f>
        <v>1175.28</v>
      </c>
      <c r="D3287" s="1">
        <f>IFERROR(__xludf.DUMMYFUNCTION("""COMPUTED_VALUE"""),1157.76)</f>
        <v>1157.76</v>
      </c>
      <c r="E3287" s="1">
        <f>IFERROR(__xludf.DUMMYFUNCTION("""COMPUTED_VALUE"""),1171.25)</f>
        <v>1171.25</v>
      </c>
      <c r="F3287" s="1">
        <f>IFERROR(__xludf.DUMMYFUNCTION("""COMPUTED_VALUE"""),1.13656248E8)</f>
        <v>113656248</v>
      </c>
    </row>
    <row r="3288">
      <c r="A3288" s="2">
        <f>IFERROR(__xludf.DUMMYFUNCTION("""COMPUTED_VALUE"""),36132.666666666664)</f>
        <v>36132.66667</v>
      </c>
      <c r="B3288" s="1">
        <f>IFERROR(__xludf.DUMMYFUNCTION("""COMPUTED_VALUE"""),1171.25)</f>
        <v>1171.25</v>
      </c>
      <c r="C3288" s="1">
        <f>IFERROR(__xludf.DUMMYFUNCTION("""COMPUTED_VALUE"""),1177.03)</f>
        <v>1177.03</v>
      </c>
      <c r="D3288" s="1">
        <f>IFERROR(__xludf.DUMMYFUNCTION("""COMPUTED_VALUE"""),1149.6)</f>
        <v>1149.6</v>
      </c>
      <c r="E3288" s="1">
        <f>IFERROR(__xludf.DUMMYFUNCTION("""COMPUTED_VALUE"""),1150.14)</f>
        <v>1150.14</v>
      </c>
      <c r="F3288" s="1">
        <f>IFERROR(__xludf.DUMMYFUNCTION("""COMPUTED_VALUE"""),1.24859376E8)</f>
        <v>124859376</v>
      </c>
    </row>
    <row r="3289">
      <c r="A3289" s="2">
        <f>IFERROR(__xludf.DUMMYFUNCTION("""COMPUTED_VALUE"""),36133.666666666664)</f>
        <v>36133.66667</v>
      </c>
      <c r="B3289" s="1">
        <f>IFERROR(__xludf.DUMMYFUNCTION("""COMPUTED_VALUE"""),1150.14)</f>
        <v>1150.14</v>
      </c>
      <c r="C3289" s="1">
        <f>IFERROR(__xludf.DUMMYFUNCTION("""COMPUTED_VALUE"""),1176.74)</f>
        <v>1176.74</v>
      </c>
      <c r="D3289" s="1">
        <f>IFERROR(__xludf.DUMMYFUNCTION("""COMPUTED_VALUE"""),1150.14)</f>
        <v>1150.14</v>
      </c>
      <c r="E3289" s="1">
        <f>IFERROR(__xludf.DUMMYFUNCTION("""COMPUTED_VALUE"""),1176.74)</f>
        <v>1176.74</v>
      </c>
      <c r="F3289" s="1">
        <f>IFERROR(__xludf.DUMMYFUNCTION("""COMPUTED_VALUE"""),1.10890624E8)</f>
        <v>110890624</v>
      </c>
    </row>
    <row r="3290">
      <c r="A3290" s="2">
        <f>IFERROR(__xludf.DUMMYFUNCTION("""COMPUTED_VALUE"""),36136.666666666664)</f>
        <v>36136.66667</v>
      </c>
      <c r="B3290" s="1">
        <f>IFERROR(__xludf.DUMMYFUNCTION("""COMPUTED_VALUE"""),1176.74)</f>
        <v>1176.74</v>
      </c>
      <c r="C3290" s="1">
        <f>IFERROR(__xludf.DUMMYFUNCTION("""COMPUTED_VALUE"""),1189.01)</f>
        <v>1189.01</v>
      </c>
      <c r="D3290" s="1">
        <f>IFERROR(__xludf.DUMMYFUNCTION("""COMPUTED_VALUE"""),1176.71)</f>
        <v>1176.71</v>
      </c>
      <c r="E3290" s="1">
        <f>IFERROR(__xludf.DUMMYFUNCTION("""COMPUTED_VALUE"""),1187.7)</f>
        <v>1187.7</v>
      </c>
      <c r="F3290" s="1">
        <f>IFERROR(__xludf.DUMMYFUNCTION("""COMPUTED_VALUE"""),1.04875E8)</f>
        <v>104875000</v>
      </c>
    </row>
    <row r="3291">
      <c r="A3291" s="2">
        <f>IFERROR(__xludf.DUMMYFUNCTION("""COMPUTED_VALUE"""),36137.666666666664)</f>
        <v>36137.66667</v>
      </c>
      <c r="B3291" s="1">
        <f>IFERROR(__xludf.DUMMYFUNCTION("""COMPUTED_VALUE"""),1187.7)</f>
        <v>1187.7</v>
      </c>
      <c r="C3291" s="1">
        <f>IFERROR(__xludf.DUMMYFUNCTION("""COMPUTED_VALUE"""),1193.53)</f>
        <v>1193.53</v>
      </c>
      <c r="D3291" s="1">
        <f>IFERROR(__xludf.DUMMYFUNCTION("""COMPUTED_VALUE"""),1172.78)</f>
        <v>1172.78</v>
      </c>
      <c r="E3291" s="1">
        <f>IFERROR(__xludf.DUMMYFUNCTION("""COMPUTED_VALUE"""),1181.38)</f>
        <v>1181.38</v>
      </c>
      <c r="F3291" s="1">
        <f>IFERROR(__xludf.DUMMYFUNCTION("""COMPUTED_VALUE"""),1.13703128E8)</f>
        <v>113703128</v>
      </c>
    </row>
    <row r="3292">
      <c r="A3292" s="2">
        <f>IFERROR(__xludf.DUMMYFUNCTION("""COMPUTED_VALUE"""),36138.666666666664)</f>
        <v>36138.66667</v>
      </c>
      <c r="B3292" s="1">
        <f>IFERROR(__xludf.DUMMYFUNCTION("""COMPUTED_VALUE"""),1181.38)</f>
        <v>1181.38</v>
      </c>
      <c r="C3292" s="1">
        <f>IFERROR(__xludf.DUMMYFUNCTION("""COMPUTED_VALUE"""),1185.22)</f>
        <v>1185.22</v>
      </c>
      <c r="D3292" s="1">
        <f>IFERROR(__xludf.DUMMYFUNCTION("""COMPUTED_VALUE"""),1175.89)</f>
        <v>1175.89</v>
      </c>
      <c r="E3292" s="1">
        <f>IFERROR(__xludf.DUMMYFUNCTION("""COMPUTED_VALUE"""),1183.49)</f>
        <v>1183.49</v>
      </c>
      <c r="F3292" s="1">
        <f>IFERROR(__xludf.DUMMYFUNCTION("""COMPUTED_VALUE"""),1.08468752E8)</f>
        <v>108468752</v>
      </c>
    </row>
    <row r="3293">
      <c r="A3293" s="2">
        <f>IFERROR(__xludf.DUMMYFUNCTION("""COMPUTED_VALUE"""),36139.666666666664)</f>
        <v>36139.66667</v>
      </c>
      <c r="B3293" s="1">
        <f>IFERROR(__xludf.DUMMYFUNCTION("""COMPUTED_VALUE"""),1183.49)</f>
        <v>1183.49</v>
      </c>
      <c r="C3293" s="1">
        <f>IFERROR(__xludf.DUMMYFUNCTION("""COMPUTED_VALUE"""),1183.77)</f>
        <v>1183.77</v>
      </c>
      <c r="D3293" s="1">
        <f>IFERROR(__xludf.DUMMYFUNCTION("""COMPUTED_VALUE"""),1163.75)</f>
        <v>1163.75</v>
      </c>
      <c r="E3293" s="1">
        <f>IFERROR(__xludf.DUMMYFUNCTION("""COMPUTED_VALUE"""),1165.02)</f>
        <v>1165.02</v>
      </c>
      <c r="F3293" s="1">
        <f>IFERROR(__xludf.DUMMYFUNCTION("""COMPUTED_VALUE"""),1.16968752E8)</f>
        <v>116968752</v>
      </c>
    </row>
    <row r="3294">
      <c r="A3294" s="2">
        <f>IFERROR(__xludf.DUMMYFUNCTION("""COMPUTED_VALUE"""),36140.666666666664)</f>
        <v>36140.66667</v>
      </c>
      <c r="B3294" s="1">
        <f>IFERROR(__xludf.DUMMYFUNCTION("""COMPUTED_VALUE"""),1165.02)</f>
        <v>1165.02</v>
      </c>
      <c r="C3294" s="1">
        <f>IFERROR(__xludf.DUMMYFUNCTION("""COMPUTED_VALUE"""),1167.89)</f>
        <v>1167.89</v>
      </c>
      <c r="D3294" s="1">
        <f>IFERROR(__xludf.DUMMYFUNCTION("""COMPUTED_VALUE"""),1153.19)</f>
        <v>1153.19</v>
      </c>
      <c r="E3294" s="1">
        <f>IFERROR(__xludf.DUMMYFUNCTION("""COMPUTED_VALUE"""),1166.46)</f>
        <v>1166.46</v>
      </c>
      <c r="F3294" s="1">
        <f>IFERROR(__xludf.DUMMYFUNCTION("""COMPUTED_VALUE"""),1.07640624E8)</f>
        <v>107640624</v>
      </c>
    </row>
    <row r="3295">
      <c r="A3295" s="2">
        <f>IFERROR(__xludf.DUMMYFUNCTION("""COMPUTED_VALUE"""),36143.666666666664)</f>
        <v>36143.66667</v>
      </c>
      <c r="B3295" s="1">
        <f>IFERROR(__xludf.DUMMYFUNCTION("""COMPUTED_VALUE"""),1166.46)</f>
        <v>1166.46</v>
      </c>
      <c r="C3295" s="1">
        <f>IFERROR(__xludf.DUMMYFUNCTION("""COMPUTED_VALUE"""),1166.89)</f>
        <v>1166.89</v>
      </c>
      <c r="D3295" s="1">
        <f>IFERROR(__xludf.DUMMYFUNCTION("""COMPUTED_VALUE"""),1136.89)</f>
        <v>1136.89</v>
      </c>
      <c r="E3295" s="1">
        <f>IFERROR(__xludf.DUMMYFUNCTION("""COMPUTED_VALUE"""),1141.2)</f>
        <v>1141.2</v>
      </c>
      <c r="F3295" s="1">
        <f>IFERROR(__xludf.DUMMYFUNCTION("""COMPUTED_VALUE"""),1.15906248E8)</f>
        <v>115906248</v>
      </c>
    </row>
    <row r="3296">
      <c r="A3296" s="2">
        <f>IFERROR(__xludf.DUMMYFUNCTION("""COMPUTED_VALUE"""),36144.666666666664)</f>
        <v>36144.66667</v>
      </c>
      <c r="B3296" s="1">
        <f>IFERROR(__xludf.DUMMYFUNCTION("""COMPUTED_VALUE"""),1162.83)</f>
        <v>1162.83</v>
      </c>
      <c r="C3296" s="1">
        <f>IFERROR(__xludf.DUMMYFUNCTION("""COMPUTED_VALUE"""),1162.83)</f>
        <v>1162.83</v>
      </c>
      <c r="D3296" s="1">
        <f>IFERROR(__xludf.DUMMYFUNCTION("""COMPUTED_VALUE"""),1141.2)</f>
        <v>1141.2</v>
      </c>
      <c r="E3296" s="1">
        <f>IFERROR(__xludf.DUMMYFUNCTION("""COMPUTED_VALUE"""),1162.83)</f>
        <v>1162.83</v>
      </c>
      <c r="F3296" s="1">
        <f>IFERROR(__xludf.DUMMYFUNCTION("""COMPUTED_VALUE"""),1.21546872E8)</f>
        <v>121546872</v>
      </c>
    </row>
    <row r="3297">
      <c r="A3297" s="2">
        <f>IFERROR(__xludf.DUMMYFUNCTION("""COMPUTED_VALUE"""),36145.666666666664)</f>
        <v>36145.66667</v>
      </c>
      <c r="B3297" s="1">
        <f>IFERROR(__xludf.DUMMYFUNCTION("""COMPUTED_VALUE"""),1162.83)</f>
        <v>1162.83</v>
      </c>
      <c r="C3297" s="1">
        <f>IFERROR(__xludf.DUMMYFUNCTION("""COMPUTED_VALUE"""),1166.29)</f>
        <v>1166.29</v>
      </c>
      <c r="D3297" s="1">
        <f>IFERROR(__xludf.DUMMYFUNCTION("""COMPUTED_VALUE"""),1154.69)</f>
        <v>1154.69</v>
      </c>
      <c r="E3297" s="1">
        <f>IFERROR(__xludf.DUMMYFUNCTION("""COMPUTED_VALUE"""),1161.97)</f>
        <v>1161.97</v>
      </c>
      <c r="F3297" s="1">
        <f>IFERROR(__xludf.DUMMYFUNCTION("""COMPUTED_VALUE"""),1.13359376E8)</f>
        <v>113359376</v>
      </c>
    </row>
    <row r="3298">
      <c r="A3298" s="2">
        <f>IFERROR(__xludf.DUMMYFUNCTION("""COMPUTED_VALUE"""),36146.666666666664)</f>
        <v>36146.66667</v>
      </c>
      <c r="B3298" s="1">
        <f>IFERROR(__xludf.DUMMYFUNCTION("""COMPUTED_VALUE"""),1161.94)</f>
        <v>1161.94</v>
      </c>
      <c r="C3298" s="1">
        <f>IFERROR(__xludf.DUMMYFUNCTION("""COMPUTED_VALUE"""),1180.03)</f>
        <v>1180.03</v>
      </c>
      <c r="D3298" s="1">
        <f>IFERROR(__xludf.DUMMYFUNCTION("""COMPUTED_VALUE"""),1161.94)</f>
        <v>1161.94</v>
      </c>
      <c r="E3298" s="1">
        <f>IFERROR(__xludf.DUMMYFUNCTION("""COMPUTED_VALUE"""),1179.98)</f>
        <v>1179.98</v>
      </c>
      <c r="F3298" s="1">
        <f>IFERROR(__xludf.DUMMYFUNCTION("""COMPUTED_VALUE"""),1.15531248E8)</f>
        <v>115531248</v>
      </c>
    </row>
    <row r="3299">
      <c r="A3299" s="2">
        <f>IFERROR(__xludf.DUMMYFUNCTION("""COMPUTED_VALUE"""),36147.666666666664)</f>
        <v>36147.66667</v>
      </c>
      <c r="B3299" s="1">
        <f>IFERROR(__xludf.DUMMYFUNCTION("""COMPUTED_VALUE"""),1179.98)</f>
        <v>1179.98</v>
      </c>
      <c r="C3299" s="1">
        <f>IFERROR(__xludf.DUMMYFUNCTION("""COMPUTED_VALUE"""),1188.89)</f>
        <v>1188.89</v>
      </c>
      <c r="D3299" s="1">
        <f>IFERROR(__xludf.DUMMYFUNCTION("""COMPUTED_VALUE"""),1178.27)</f>
        <v>1178.27</v>
      </c>
      <c r="E3299" s="1">
        <f>IFERROR(__xludf.DUMMYFUNCTION("""COMPUTED_VALUE"""),1188.03)</f>
        <v>1188.03</v>
      </c>
      <c r="F3299" s="1">
        <f>IFERROR(__xludf.DUMMYFUNCTION("""COMPUTED_VALUE"""),1.31187504E8)</f>
        <v>131187504</v>
      </c>
    </row>
    <row r="3300">
      <c r="A3300" s="2">
        <f>IFERROR(__xludf.DUMMYFUNCTION("""COMPUTED_VALUE"""),36150.666666666664)</f>
        <v>36150.66667</v>
      </c>
      <c r="B3300" s="1">
        <f>IFERROR(__xludf.DUMMYFUNCTION("""COMPUTED_VALUE"""),1202.84)</f>
        <v>1202.84</v>
      </c>
      <c r="C3300" s="1">
        <f>IFERROR(__xludf.DUMMYFUNCTION("""COMPUTED_VALUE"""),1210.75)</f>
        <v>1210.75</v>
      </c>
      <c r="D3300" s="1">
        <f>IFERROR(__xludf.DUMMYFUNCTION("""COMPUTED_VALUE"""),1188.68)</f>
        <v>1188.68</v>
      </c>
      <c r="E3300" s="1">
        <f>IFERROR(__xludf.DUMMYFUNCTION("""COMPUTED_VALUE"""),1202.84)</f>
        <v>1202.84</v>
      </c>
      <c r="F3300" s="1">
        <f>IFERROR(__xludf.DUMMYFUNCTION("""COMPUTED_VALUE"""),1.16375E8)</f>
        <v>116375000</v>
      </c>
    </row>
    <row r="3301">
      <c r="A3301" s="2">
        <f>IFERROR(__xludf.DUMMYFUNCTION("""COMPUTED_VALUE"""),36151.666666666664)</f>
        <v>36151.66667</v>
      </c>
      <c r="B3301" s="1">
        <f>IFERROR(__xludf.DUMMYFUNCTION("""COMPUTED_VALUE"""),1202.84)</f>
        <v>1202.84</v>
      </c>
      <c r="C3301" s="1">
        <f>IFERROR(__xludf.DUMMYFUNCTION("""COMPUTED_VALUE"""),1209.22)</f>
        <v>1209.22</v>
      </c>
      <c r="D3301" s="1">
        <f>IFERROR(__xludf.DUMMYFUNCTION("""COMPUTED_VALUE"""),1192.81)</f>
        <v>1192.81</v>
      </c>
      <c r="E3301" s="1">
        <f>IFERROR(__xludf.DUMMYFUNCTION("""COMPUTED_VALUE"""),1203.57)</f>
        <v>1203.57</v>
      </c>
      <c r="F3301" s="1">
        <f>IFERROR(__xludf.DUMMYFUNCTION("""COMPUTED_VALUE"""),1.06328128E8)</f>
        <v>106328128</v>
      </c>
    </row>
    <row r="3302">
      <c r="A3302" s="2">
        <f>IFERROR(__xludf.DUMMYFUNCTION("""COMPUTED_VALUE"""),36152.666666666664)</f>
        <v>36152.66667</v>
      </c>
      <c r="B3302" s="1">
        <f>IFERROR(__xludf.DUMMYFUNCTION("""COMPUTED_VALUE"""),1203.57)</f>
        <v>1203.57</v>
      </c>
      <c r="C3302" s="1">
        <f>IFERROR(__xludf.DUMMYFUNCTION("""COMPUTED_VALUE"""),1229.68)</f>
        <v>1229.68</v>
      </c>
      <c r="D3302" s="1">
        <f>IFERROR(__xludf.DUMMYFUNCTION("""COMPUTED_VALUE"""),1203.57)</f>
        <v>1203.57</v>
      </c>
      <c r="E3302" s="1">
        <f>IFERROR(__xludf.DUMMYFUNCTION("""COMPUTED_VALUE"""),1228.54)</f>
        <v>1228.54</v>
      </c>
      <c r="F3302" s="1">
        <f>IFERROR(__xludf.DUMMYFUNCTION("""COMPUTED_VALUE"""),1.08984376E8)</f>
        <v>108984376</v>
      </c>
    </row>
    <row r="3303">
      <c r="A3303" s="2">
        <f>IFERROR(__xludf.DUMMYFUNCTION("""COMPUTED_VALUE"""),36153.666666666664)</f>
        <v>36153.66667</v>
      </c>
      <c r="B3303" s="1">
        <f>IFERROR(__xludf.DUMMYFUNCTION("""COMPUTED_VALUE"""),1228.54)</f>
        <v>1228.54</v>
      </c>
      <c r="C3303" s="1">
        <f>IFERROR(__xludf.DUMMYFUNCTION("""COMPUTED_VALUE"""),1229.72)</f>
        <v>1229.72</v>
      </c>
      <c r="D3303" s="1">
        <f>IFERROR(__xludf.DUMMYFUNCTION("""COMPUTED_VALUE"""),1224.85)</f>
        <v>1224.85</v>
      </c>
      <c r="E3303" s="1">
        <f>IFERROR(__xludf.DUMMYFUNCTION("""COMPUTED_VALUE"""),1226.27)</f>
        <v>1226.27</v>
      </c>
      <c r="F3303" s="1">
        <f>IFERROR(__xludf.DUMMYFUNCTION("""COMPUTED_VALUE"""),3.8590624E7)</f>
        <v>38590624</v>
      </c>
    </row>
    <row r="3304">
      <c r="A3304" s="2">
        <f>IFERROR(__xludf.DUMMYFUNCTION("""COMPUTED_VALUE"""),36157.666666666664)</f>
        <v>36157.66667</v>
      </c>
      <c r="B3304" s="1">
        <f>IFERROR(__xludf.DUMMYFUNCTION("""COMPUTED_VALUE"""),1226.27)</f>
        <v>1226.27</v>
      </c>
      <c r="C3304" s="1">
        <f>IFERROR(__xludf.DUMMYFUNCTION("""COMPUTED_VALUE"""),1231.52)</f>
        <v>1231.52</v>
      </c>
      <c r="D3304" s="1">
        <f>IFERROR(__xludf.DUMMYFUNCTION("""COMPUTED_VALUE"""),1221.17)</f>
        <v>1221.17</v>
      </c>
      <c r="E3304" s="1">
        <f>IFERROR(__xludf.DUMMYFUNCTION("""COMPUTED_VALUE"""),1225.49)</f>
        <v>1225.49</v>
      </c>
      <c r="F3304" s="1">
        <f>IFERROR(__xludf.DUMMYFUNCTION("""COMPUTED_VALUE"""),8.3056248E7)</f>
        <v>83056248</v>
      </c>
    </row>
    <row r="3305">
      <c r="A3305" s="2">
        <f>IFERROR(__xludf.DUMMYFUNCTION("""COMPUTED_VALUE"""),36158.666666666664)</f>
        <v>36158.66667</v>
      </c>
      <c r="B3305" s="1">
        <f>IFERROR(__xludf.DUMMYFUNCTION("""COMPUTED_VALUE"""),1225.49)</f>
        <v>1225.49</v>
      </c>
      <c r="C3305" s="1">
        <f>IFERROR(__xludf.DUMMYFUNCTION("""COMPUTED_VALUE"""),1241.86)</f>
        <v>1241.86</v>
      </c>
      <c r="D3305" s="1">
        <f>IFERROR(__xludf.DUMMYFUNCTION("""COMPUTED_VALUE"""),1220.78)</f>
        <v>1220.78</v>
      </c>
      <c r="E3305" s="1">
        <f>IFERROR(__xludf.DUMMYFUNCTION("""COMPUTED_VALUE"""),1241.81)</f>
        <v>1241.81</v>
      </c>
      <c r="F3305" s="1">
        <f>IFERROR(__xludf.DUMMYFUNCTION("""COMPUTED_VALUE"""),9.1639064E7)</f>
        <v>91639064</v>
      </c>
    </row>
    <row r="3306">
      <c r="A3306" s="2">
        <f>IFERROR(__xludf.DUMMYFUNCTION("""COMPUTED_VALUE"""),36159.666666666664)</f>
        <v>36159.66667</v>
      </c>
      <c r="B3306" s="1">
        <f>IFERROR(__xludf.DUMMYFUNCTION("""COMPUTED_VALUE"""),1241.81)</f>
        <v>1241.81</v>
      </c>
      <c r="C3306" s="1">
        <f>IFERROR(__xludf.DUMMYFUNCTION("""COMPUTED_VALUE"""),1244.93)</f>
        <v>1244.93</v>
      </c>
      <c r="D3306" s="1">
        <f>IFERROR(__xludf.DUMMYFUNCTION("""COMPUTED_VALUE"""),1231.2)</f>
        <v>1231.2</v>
      </c>
      <c r="E3306" s="1">
        <f>IFERROR(__xludf.DUMMYFUNCTION("""COMPUTED_VALUE"""),1231.93)</f>
        <v>1231.93</v>
      </c>
      <c r="F3306" s="1">
        <f>IFERROR(__xludf.DUMMYFUNCTION("""COMPUTED_VALUE"""),9.2846872E7)</f>
        <v>92846872</v>
      </c>
    </row>
    <row r="3307">
      <c r="A3307" s="2">
        <f>IFERROR(__xludf.DUMMYFUNCTION("""COMPUTED_VALUE"""),36160.666666666664)</f>
        <v>36160.66667</v>
      </c>
      <c r="B3307" s="1">
        <f>IFERROR(__xludf.DUMMYFUNCTION("""COMPUTED_VALUE"""),1231.93)</f>
        <v>1231.93</v>
      </c>
      <c r="C3307" s="1">
        <f>IFERROR(__xludf.DUMMYFUNCTION("""COMPUTED_VALUE"""),1237.18)</f>
        <v>1237.18</v>
      </c>
      <c r="D3307" s="1">
        <f>IFERROR(__xludf.DUMMYFUNCTION("""COMPUTED_VALUE"""),1224.96)</f>
        <v>1224.96</v>
      </c>
      <c r="E3307" s="1">
        <f>IFERROR(__xludf.DUMMYFUNCTION("""COMPUTED_VALUE"""),1229.23)</f>
        <v>1229.23</v>
      </c>
      <c r="F3307" s="1">
        <f>IFERROR(__xludf.DUMMYFUNCTION("""COMPUTED_VALUE"""),1.12375E8)</f>
        <v>112375000</v>
      </c>
    </row>
    <row r="3308">
      <c r="A3308" s="2">
        <f>IFERROR(__xludf.DUMMYFUNCTION("""COMPUTED_VALUE"""),36164.666666666664)</f>
        <v>36164.66667</v>
      </c>
      <c r="B3308" s="1">
        <f>IFERROR(__xludf.DUMMYFUNCTION("""COMPUTED_VALUE"""),1229.23)</f>
        <v>1229.23</v>
      </c>
      <c r="C3308" s="1">
        <f>IFERROR(__xludf.DUMMYFUNCTION("""COMPUTED_VALUE"""),1248.81)</f>
        <v>1248.81</v>
      </c>
      <c r="D3308" s="1">
        <f>IFERROR(__xludf.DUMMYFUNCTION("""COMPUTED_VALUE"""),1219.1)</f>
        <v>1219.1</v>
      </c>
      <c r="E3308" s="1">
        <f>IFERROR(__xludf.DUMMYFUNCTION("""COMPUTED_VALUE"""),1228.1)</f>
        <v>1228.1</v>
      </c>
      <c r="F3308" s="1">
        <f>IFERROR(__xludf.DUMMYFUNCTION("""COMPUTED_VALUE"""),1.37031248E8)</f>
        <v>137031248</v>
      </c>
    </row>
    <row r="3309">
      <c r="A3309" s="2">
        <f>IFERROR(__xludf.DUMMYFUNCTION("""COMPUTED_VALUE"""),36165.666666666664)</f>
        <v>36165.66667</v>
      </c>
      <c r="B3309" s="1">
        <f>IFERROR(__xludf.DUMMYFUNCTION("""COMPUTED_VALUE"""),1228.1)</f>
        <v>1228.1</v>
      </c>
      <c r="C3309" s="1">
        <f>IFERROR(__xludf.DUMMYFUNCTION("""COMPUTED_VALUE"""),1246.11)</f>
        <v>1246.11</v>
      </c>
      <c r="D3309" s="1">
        <f>IFERROR(__xludf.DUMMYFUNCTION("""COMPUTED_VALUE"""),1228.1)</f>
        <v>1228.1</v>
      </c>
      <c r="E3309" s="1">
        <f>IFERROR(__xludf.DUMMYFUNCTION("""COMPUTED_VALUE"""),1244.78)</f>
        <v>1244.78</v>
      </c>
      <c r="F3309" s="1">
        <f>IFERROR(__xludf.DUMMYFUNCTION("""COMPUTED_VALUE"""),1.21093752E8)</f>
        <v>121093752</v>
      </c>
    </row>
    <row r="3310">
      <c r="A3310" s="2">
        <f>IFERROR(__xludf.DUMMYFUNCTION("""COMPUTED_VALUE"""),36166.666666666664)</f>
        <v>36166.66667</v>
      </c>
      <c r="B3310" s="1">
        <f>IFERROR(__xludf.DUMMYFUNCTION("""COMPUTED_VALUE"""),1244.78)</f>
        <v>1244.78</v>
      </c>
      <c r="C3310" s="1">
        <f>IFERROR(__xludf.DUMMYFUNCTION("""COMPUTED_VALUE"""),1272.5)</f>
        <v>1272.5</v>
      </c>
      <c r="D3310" s="1">
        <f>IFERROR(__xludf.DUMMYFUNCTION("""COMPUTED_VALUE"""),1244.78)</f>
        <v>1244.78</v>
      </c>
      <c r="E3310" s="1">
        <f>IFERROR(__xludf.DUMMYFUNCTION("""COMPUTED_VALUE"""),1272.34)</f>
        <v>1272.34</v>
      </c>
      <c r="F3310" s="1">
        <f>IFERROR(__xludf.DUMMYFUNCTION("""COMPUTED_VALUE"""),1.5420312E8)</f>
        <v>154203120</v>
      </c>
    </row>
    <row r="3311">
      <c r="A3311" s="2">
        <f>IFERROR(__xludf.DUMMYFUNCTION("""COMPUTED_VALUE"""),36167.666666666664)</f>
        <v>36167.66667</v>
      </c>
      <c r="B3311" s="1">
        <f>IFERROR(__xludf.DUMMYFUNCTION("""COMPUTED_VALUE"""),1272.34)</f>
        <v>1272.34</v>
      </c>
      <c r="C3311" s="1">
        <f>IFERROR(__xludf.DUMMYFUNCTION("""COMPUTED_VALUE"""),1272.34)</f>
        <v>1272.34</v>
      </c>
      <c r="D3311" s="1">
        <f>IFERROR(__xludf.DUMMYFUNCTION("""COMPUTED_VALUE"""),1257.68)</f>
        <v>1257.68</v>
      </c>
      <c r="E3311" s="1">
        <f>IFERROR(__xludf.DUMMYFUNCTION("""COMPUTED_VALUE"""),1269.73)</f>
        <v>1269.73</v>
      </c>
      <c r="F3311" s="1">
        <f>IFERROR(__xludf.DUMMYFUNCTION("""COMPUTED_VALUE"""),1.34843744E8)</f>
        <v>134843744</v>
      </c>
    </row>
    <row r="3312">
      <c r="A3312" s="2">
        <f>IFERROR(__xludf.DUMMYFUNCTION("""COMPUTED_VALUE"""),36168.666666666664)</f>
        <v>36168.66667</v>
      </c>
      <c r="B3312" s="1">
        <f>IFERROR(__xludf.DUMMYFUNCTION("""COMPUTED_VALUE"""),1269.73)</f>
        <v>1269.73</v>
      </c>
      <c r="C3312" s="1">
        <f>IFERROR(__xludf.DUMMYFUNCTION("""COMPUTED_VALUE"""),1278.05)</f>
        <v>1278.05</v>
      </c>
      <c r="D3312" s="1">
        <f>IFERROR(__xludf.DUMMYFUNCTION("""COMPUTED_VALUE"""),1261.85)</f>
        <v>1261.85</v>
      </c>
      <c r="E3312" s="1">
        <f>IFERROR(__xludf.DUMMYFUNCTION("""COMPUTED_VALUE"""),1275.09)</f>
        <v>1275.09</v>
      </c>
      <c r="F3312" s="1">
        <f>IFERROR(__xludf.DUMMYFUNCTION("""COMPUTED_VALUE"""),1.46531248E8)</f>
        <v>146531248</v>
      </c>
    </row>
    <row r="3313">
      <c r="A3313" s="2">
        <f>IFERROR(__xludf.DUMMYFUNCTION("""COMPUTED_VALUE"""),36171.666666666664)</f>
        <v>36171.66667</v>
      </c>
      <c r="B3313" s="1">
        <f>IFERROR(__xludf.DUMMYFUNCTION("""COMPUTED_VALUE"""),1275.09)</f>
        <v>1275.09</v>
      </c>
      <c r="C3313" s="1">
        <f>IFERROR(__xludf.DUMMYFUNCTION("""COMPUTED_VALUE"""),1276.22)</f>
        <v>1276.22</v>
      </c>
      <c r="D3313" s="1">
        <f>IFERROR(__xludf.DUMMYFUNCTION("""COMPUTED_VALUE"""),1253.43)</f>
        <v>1253.43</v>
      </c>
      <c r="E3313" s="1">
        <f>IFERROR(__xludf.DUMMYFUNCTION("""COMPUTED_VALUE"""),1263.88)</f>
        <v>1263.88</v>
      </c>
      <c r="F3313" s="1">
        <f>IFERROR(__xludf.DUMMYFUNCTION("""COMPUTED_VALUE"""),1.27812496E8)</f>
        <v>127812496</v>
      </c>
    </row>
    <row r="3314">
      <c r="A3314" s="2">
        <f>IFERROR(__xludf.DUMMYFUNCTION("""COMPUTED_VALUE"""),36172.666666666664)</f>
        <v>36172.66667</v>
      </c>
      <c r="B3314" s="1">
        <f>IFERROR(__xludf.DUMMYFUNCTION("""COMPUTED_VALUE"""),1263.88)</f>
        <v>1263.88</v>
      </c>
      <c r="C3314" s="1">
        <f>IFERROR(__xludf.DUMMYFUNCTION("""COMPUTED_VALUE"""),1264.45)</f>
        <v>1264.45</v>
      </c>
      <c r="D3314" s="1">
        <f>IFERROR(__xludf.DUMMYFUNCTION("""COMPUTED_VALUE"""),1238.25)</f>
        <v>1238.25</v>
      </c>
      <c r="E3314" s="1">
        <f>IFERROR(__xludf.DUMMYFUNCTION("""COMPUTED_VALUE"""),1239.51)</f>
        <v>1239.51</v>
      </c>
      <c r="F3314" s="1">
        <f>IFERROR(__xludf.DUMMYFUNCTION("""COMPUTED_VALUE"""),1.25031248E8)</f>
        <v>125031248</v>
      </c>
    </row>
    <row r="3315">
      <c r="A3315" s="2">
        <f>IFERROR(__xludf.DUMMYFUNCTION("""COMPUTED_VALUE"""),36173.666666666664)</f>
        <v>36173.66667</v>
      </c>
      <c r="B3315" s="1">
        <f>IFERROR(__xludf.DUMMYFUNCTION("""COMPUTED_VALUE"""),1239.51)</f>
        <v>1239.51</v>
      </c>
      <c r="C3315" s="1">
        <f>IFERROR(__xludf.DUMMYFUNCTION("""COMPUTED_VALUE"""),1247.66)</f>
        <v>1247.66</v>
      </c>
      <c r="D3315" s="1">
        <f>IFERROR(__xludf.DUMMYFUNCTION("""COMPUTED_VALUE"""),1206.59)</f>
        <v>1206.59</v>
      </c>
      <c r="E3315" s="1">
        <f>IFERROR(__xludf.DUMMYFUNCTION("""COMPUTED_VALUE"""),1234.4)</f>
        <v>1234.4</v>
      </c>
      <c r="F3315" s="1">
        <f>IFERROR(__xludf.DUMMYFUNCTION("""COMPUTED_VALUE"""),1.4554688E8)</f>
        <v>145546880</v>
      </c>
    </row>
    <row r="3316">
      <c r="A3316" s="2">
        <f>IFERROR(__xludf.DUMMYFUNCTION("""COMPUTED_VALUE"""),36174.666666666664)</f>
        <v>36174.66667</v>
      </c>
      <c r="B3316" s="1">
        <f>IFERROR(__xludf.DUMMYFUNCTION("""COMPUTED_VALUE"""),1234.4)</f>
        <v>1234.4</v>
      </c>
      <c r="C3316" s="1">
        <f>IFERROR(__xludf.DUMMYFUNCTION("""COMPUTED_VALUE"""),1236.97)</f>
        <v>1236.97</v>
      </c>
      <c r="D3316" s="1">
        <f>IFERROR(__xludf.DUMMYFUNCTION("""COMPUTED_VALUE"""),1209.48)</f>
        <v>1209.48</v>
      </c>
      <c r="E3316" s="1">
        <f>IFERROR(__xludf.DUMMYFUNCTION("""COMPUTED_VALUE"""),1212.19)</f>
        <v>1212.19</v>
      </c>
      <c r="F3316" s="1">
        <f>IFERROR(__xludf.DUMMYFUNCTION("""COMPUTED_VALUE"""),1.24562496E8)</f>
        <v>124562496</v>
      </c>
    </row>
    <row r="3317">
      <c r="A3317" s="2">
        <f>IFERROR(__xludf.DUMMYFUNCTION("""COMPUTED_VALUE"""),36175.666666666664)</f>
        <v>36175.66667</v>
      </c>
      <c r="B3317" s="1">
        <f>IFERROR(__xludf.DUMMYFUNCTION("""COMPUTED_VALUE"""),1243.26)</f>
        <v>1243.26</v>
      </c>
      <c r="C3317" s="1">
        <f>IFERROR(__xludf.DUMMYFUNCTION("""COMPUTED_VALUE"""),1243.27)</f>
        <v>1243.27</v>
      </c>
      <c r="D3317" s="1">
        <f>IFERROR(__xludf.DUMMYFUNCTION("""COMPUTED_VALUE"""),1212.61)</f>
        <v>1212.61</v>
      </c>
      <c r="E3317" s="1">
        <f>IFERROR(__xludf.DUMMYFUNCTION("""COMPUTED_VALUE"""),1243.26)</f>
        <v>1243.26</v>
      </c>
      <c r="F3317" s="1">
        <f>IFERROR(__xludf.DUMMYFUNCTION("""COMPUTED_VALUE"""),1.24703128E8)</f>
        <v>124703128</v>
      </c>
    </row>
    <row r="3318">
      <c r="A3318" s="2">
        <f>IFERROR(__xludf.DUMMYFUNCTION("""COMPUTED_VALUE"""),36179.666666666664)</f>
        <v>36179.66667</v>
      </c>
      <c r="B3318" s="1">
        <f>IFERROR(__xludf.DUMMYFUNCTION("""COMPUTED_VALUE"""),1243.26)</f>
        <v>1243.26</v>
      </c>
      <c r="C3318" s="1">
        <f>IFERROR(__xludf.DUMMYFUNCTION("""COMPUTED_VALUE"""),1253.27)</f>
        <v>1253.27</v>
      </c>
      <c r="D3318" s="1">
        <f>IFERROR(__xludf.DUMMYFUNCTION("""COMPUTED_VALUE"""),1234.91)</f>
        <v>1234.91</v>
      </c>
      <c r="E3318" s="1">
        <f>IFERROR(__xludf.DUMMYFUNCTION("""COMPUTED_VALUE"""),1250.89)</f>
        <v>1250.89</v>
      </c>
      <c r="F3318" s="1">
        <f>IFERROR(__xludf.DUMMYFUNCTION("""COMPUTED_VALUE"""),1.22734376E8)</f>
        <v>122734376</v>
      </c>
    </row>
    <row r="3319">
      <c r="A3319" s="2">
        <f>IFERROR(__xludf.DUMMYFUNCTION("""COMPUTED_VALUE"""),36180.666666666664)</f>
        <v>36180.66667</v>
      </c>
      <c r="B3319" s="1">
        <f>IFERROR(__xludf.DUMMYFUNCTION("""COMPUTED_VALUE"""),1252.0)</f>
        <v>1252</v>
      </c>
      <c r="C3319" s="1">
        <f>IFERROR(__xludf.DUMMYFUNCTION("""COMPUTED_VALUE"""),1274.08)</f>
        <v>1274.08</v>
      </c>
      <c r="D3319" s="1">
        <f>IFERROR(__xludf.DUMMYFUNCTION("""COMPUTED_VALUE"""),1251.33)</f>
        <v>1251.33</v>
      </c>
      <c r="E3319" s="1">
        <f>IFERROR(__xludf.DUMMYFUNCTION("""COMPUTED_VALUE"""),1256.62)</f>
        <v>1256.62</v>
      </c>
      <c r="F3319" s="1">
        <f>IFERROR(__xludf.DUMMYFUNCTION("""COMPUTED_VALUE"""),1.41515632E8)</f>
        <v>141515632</v>
      </c>
    </row>
    <row r="3320">
      <c r="A3320" s="2">
        <f>IFERROR(__xludf.DUMMYFUNCTION("""COMPUTED_VALUE"""),36181.666666666664)</f>
        <v>36181.66667</v>
      </c>
      <c r="B3320" s="1">
        <f>IFERROR(__xludf.DUMMYFUNCTION("""COMPUTED_VALUE"""),1256.62)</f>
        <v>1256.62</v>
      </c>
      <c r="C3320" s="1">
        <f>IFERROR(__xludf.DUMMYFUNCTION("""COMPUTED_VALUE"""),1256.94)</f>
        <v>1256.94</v>
      </c>
      <c r="D3320" s="1">
        <f>IFERROR(__xludf.DUMMYFUNCTION("""COMPUTED_VALUE"""),1232.19)</f>
        <v>1232.19</v>
      </c>
      <c r="E3320" s="1">
        <f>IFERROR(__xludf.DUMMYFUNCTION("""COMPUTED_VALUE"""),1235.16)</f>
        <v>1235.16</v>
      </c>
      <c r="F3320" s="1">
        <f>IFERROR(__xludf.DUMMYFUNCTION("""COMPUTED_VALUE"""),1.36218752E8)</f>
        <v>136218752</v>
      </c>
    </row>
    <row r="3321">
      <c r="A3321" s="2">
        <f>IFERROR(__xludf.DUMMYFUNCTION("""COMPUTED_VALUE"""),36182.666666666664)</f>
        <v>36182.66667</v>
      </c>
      <c r="B3321" s="1">
        <f>IFERROR(__xludf.DUMMYFUNCTION("""COMPUTED_VALUE"""),1235.16)</f>
        <v>1235.16</v>
      </c>
      <c r="C3321" s="1">
        <f>IFERROR(__xludf.DUMMYFUNCTION("""COMPUTED_VALUE"""),1236.53)</f>
        <v>1236.53</v>
      </c>
      <c r="D3321" s="1">
        <f>IFERROR(__xludf.DUMMYFUNCTION("""COMPUTED_VALUE"""),1218.0)</f>
        <v>1218</v>
      </c>
      <c r="E3321" s="1">
        <f>IFERROR(__xludf.DUMMYFUNCTION("""COMPUTED_VALUE"""),1225.19)</f>
        <v>1225.19</v>
      </c>
      <c r="F3321" s="1">
        <f>IFERROR(__xludf.DUMMYFUNCTION("""COMPUTED_VALUE"""),1.22796872E8)</f>
        <v>122796872</v>
      </c>
    </row>
    <row r="3322">
      <c r="A3322" s="2">
        <f>IFERROR(__xludf.DUMMYFUNCTION("""COMPUTED_VALUE"""),36185.666666666664)</f>
        <v>36185.66667</v>
      </c>
      <c r="B3322" s="1">
        <f>IFERROR(__xludf.DUMMYFUNCTION("""COMPUTED_VALUE"""),1225.19)</f>
        <v>1225.19</v>
      </c>
      <c r="C3322" s="1">
        <f>IFERROR(__xludf.DUMMYFUNCTION("""COMPUTED_VALUE"""),1233.98)</f>
        <v>1233.98</v>
      </c>
      <c r="D3322" s="1">
        <f>IFERROR(__xludf.DUMMYFUNCTION("""COMPUTED_VALUE"""),1219.46)</f>
        <v>1219.46</v>
      </c>
      <c r="E3322" s="1">
        <f>IFERROR(__xludf.DUMMYFUNCTION("""COMPUTED_VALUE"""),1233.98)</f>
        <v>1233.98</v>
      </c>
      <c r="F3322" s="1">
        <f>IFERROR(__xludf.DUMMYFUNCTION("""COMPUTED_VALUE"""),1.13109376E8)</f>
        <v>113109376</v>
      </c>
    </row>
    <row r="3323">
      <c r="A3323" s="2">
        <f>IFERROR(__xludf.DUMMYFUNCTION("""COMPUTED_VALUE"""),36186.666666666664)</f>
        <v>36186.66667</v>
      </c>
      <c r="B3323" s="1">
        <f>IFERROR(__xludf.DUMMYFUNCTION("""COMPUTED_VALUE"""),1233.98)</f>
        <v>1233.98</v>
      </c>
      <c r="C3323" s="1">
        <f>IFERROR(__xludf.DUMMYFUNCTION("""COMPUTED_VALUE"""),1253.27)</f>
        <v>1253.27</v>
      </c>
      <c r="D3323" s="1">
        <f>IFERROR(__xludf.DUMMYFUNCTION("""COMPUTED_VALUE"""),1233.98)</f>
        <v>1233.98</v>
      </c>
      <c r="E3323" s="1">
        <f>IFERROR(__xludf.DUMMYFUNCTION("""COMPUTED_VALUE"""),1252.31)</f>
        <v>1252.31</v>
      </c>
      <c r="F3323" s="1">
        <f>IFERROR(__xludf.DUMMYFUNCTION("""COMPUTED_VALUE"""),1.40062496E8)</f>
        <v>140062496</v>
      </c>
    </row>
    <row r="3324">
      <c r="A3324" s="2">
        <f>IFERROR(__xludf.DUMMYFUNCTION("""COMPUTED_VALUE"""),36187.666666666664)</f>
        <v>36187.66667</v>
      </c>
      <c r="B3324" s="1">
        <f>IFERROR(__xludf.DUMMYFUNCTION("""COMPUTED_VALUE"""),1252.31)</f>
        <v>1252.31</v>
      </c>
      <c r="C3324" s="1">
        <f>IFERROR(__xludf.DUMMYFUNCTION("""COMPUTED_VALUE"""),1262.62)</f>
        <v>1262.62</v>
      </c>
      <c r="D3324" s="1">
        <f>IFERROR(__xludf.DUMMYFUNCTION("""COMPUTED_VALUE"""),1242.82)</f>
        <v>1242.82</v>
      </c>
      <c r="E3324" s="1">
        <f>IFERROR(__xludf.DUMMYFUNCTION("""COMPUTED_VALUE"""),1243.19)</f>
        <v>1243.19</v>
      </c>
      <c r="F3324" s="1">
        <f>IFERROR(__xludf.DUMMYFUNCTION("""COMPUTED_VALUE"""),1.39656256E8)</f>
        <v>139656256</v>
      </c>
    </row>
    <row r="3325">
      <c r="A3325" s="2">
        <f>IFERROR(__xludf.DUMMYFUNCTION("""COMPUTED_VALUE"""),36188.666666666664)</f>
        <v>36188.66667</v>
      </c>
      <c r="B3325" s="1">
        <f>IFERROR(__xludf.DUMMYFUNCTION("""COMPUTED_VALUE"""),1243.17)</f>
        <v>1243.17</v>
      </c>
      <c r="C3325" s="1">
        <f>IFERROR(__xludf.DUMMYFUNCTION("""COMPUTED_VALUE"""),1266.32)</f>
        <v>1266.32</v>
      </c>
      <c r="D3325" s="1">
        <f>IFERROR(__xludf.DUMMYFUNCTION("""COMPUTED_VALUE"""),1243.17)</f>
        <v>1243.17</v>
      </c>
      <c r="E3325" s="1">
        <f>IFERROR(__xludf.DUMMYFUNCTION("""COMPUTED_VALUE"""),1265.37)</f>
        <v>1265.37</v>
      </c>
      <c r="F3325" s="1">
        <f>IFERROR(__xludf.DUMMYFUNCTION("""COMPUTED_VALUE"""),1.32625E8)</f>
        <v>132625000</v>
      </c>
    </row>
    <row r="3326">
      <c r="A3326" s="2">
        <f>IFERROR(__xludf.DUMMYFUNCTION("""COMPUTED_VALUE"""),36189.666666666664)</f>
        <v>36189.66667</v>
      </c>
      <c r="B3326" s="1">
        <f>IFERROR(__xludf.DUMMYFUNCTION("""COMPUTED_VALUE"""),1265.37)</f>
        <v>1265.37</v>
      </c>
      <c r="C3326" s="1">
        <f>IFERROR(__xludf.DUMMYFUNCTION("""COMPUTED_VALUE"""),1280.4)</f>
        <v>1280.4</v>
      </c>
      <c r="D3326" s="1">
        <f>IFERROR(__xludf.DUMMYFUNCTION("""COMPUTED_VALUE"""),1255.2)</f>
        <v>1255.2</v>
      </c>
      <c r="E3326" s="1">
        <f>IFERROR(__xludf.DUMMYFUNCTION("""COMPUTED_VALUE"""),1279.64)</f>
        <v>1279.64</v>
      </c>
      <c r="F3326" s="1">
        <f>IFERROR(__xludf.DUMMYFUNCTION("""COMPUTED_VALUE"""),1.43281248E8)</f>
        <v>143281248</v>
      </c>
    </row>
    <row r="3327">
      <c r="A3327" s="2">
        <f>IFERROR(__xludf.DUMMYFUNCTION("""COMPUTED_VALUE"""),36192.666666666664)</f>
        <v>36192.66667</v>
      </c>
      <c r="B3327" s="1">
        <f>IFERROR(__xludf.DUMMYFUNCTION("""COMPUTED_VALUE"""),1279.64)</f>
        <v>1279.64</v>
      </c>
      <c r="C3327" s="1">
        <f>IFERROR(__xludf.DUMMYFUNCTION("""COMPUTED_VALUE"""),1283.64)</f>
        <v>1283.64</v>
      </c>
      <c r="D3327" s="1">
        <f>IFERROR(__xludf.DUMMYFUNCTION("""COMPUTED_VALUE"""),1271.29)</f>
        <v>1271.29</v>
      </c>
      <c r="E3327" s="1">
        <f>IFERROR(__xludf.DUMMYFUNCTION("""COMPUTED_VALUE"""),1273.03)</f>
        <v>1273.03</v>
      </c>
      <c r="F3327" s="1">
        <f>IFERROR(__xludf.DUMMYFUNCTION("""COMPUTED_VALUE"""),1.24906248E8)</f>
        <v>124906248</v>
      </c>
    </row>
    <row r="3328">
      <c r="A3328" s="2">
        <f>IFERROR(__xludf.DUMMYFUNCTION("""COMPUTED_VALUE"""),36193.666666666664)</f>
        <v>36193.66667</v>
      </c>
      <c r="B3328" s="1">
        <f>IFERROR(__xludf.DUMMYFUNCTION("""COMPUTED_VALUE"""),1273.0)</f>
        <v>1273</v>
      </c>
      <c r="C3328" s="1">
        <f>IFERROR(__xludf.DUMMYFUNCTION("""COMPUTED_VALUE"""),1273.34)</f>
        <v>1273.34</v>
      </c>
      <c r="D3328" s="1">
        <f>IFERROR(__xludf.DUMMYFUNCTION("""COMPUTED_VALUE"""),1247.62)</f>
        <v>1247.62</v>
      </c>
      <c r="E3328" s="1">
        <f>IFERROR(__xludf.DUMMYFUNCTION("""COMPUTED_VALUE"""),1261.99)</f>
        <v>1261.99</v>
      </c>
      <c r="F3328" s="1">
        <f>IFERROR(__xludf.DUMMYFUNCTION("""COMPUTED_VALUE"""),1.32109376E8)</f>
        <v>132109376</v>
      </c>
    </row>
    <row r="3329">
      <c r="A3329" s="2">
        <f>IFERROR(__xludf.DUMMYFUNCTION("""COMPUTED_VALUE"""),36194.666666666664)</f>
        <v>36194.66667</v>
      </c>
      <c r="B3329" s="1">
        <f>IFERROR(__xludf.DUMMYFUNCTION("""COMPUTED_VALUE"""),1261.99)</f>
        <v>1261.99</v>
      </c>
      <c r="C3329" s="1">
        <f>IFERROR(__xludf.DUMMYFUNCTION("""COMPUTED_VALUE"""),1276.08)</f>
        <v>1276.08</v>
      </c>
      <c r="D3329" s="1">
        <f>IFERROR(__xludf.DUMMYFUNCTION("""COMPUTED_VALUE"""),1255.27)</f>
        <v>1255.27</v>
      </c>
      <c r="E3329" s="1">
        <f>IFERROR(__xludf.DUMMYFUNCTION("""COMPUTED_VALUE"""),1272.07)</f>
        <v>1272.07</v>
      </c>
      <c r="F3329" s="1">
        <f>IFERROR(__xludf.DUMMYFUNCTION("""COMPUTED_VALUE"""),1.3695312E8)</f>
        <v>136953120</v>
      </c>
    </row>
    <row r="3330">
      <c r="A3330" s="2">
        <f>IFERROR(__xludf.DUMMYFUNCTION("""COMPUTED_VALUE"""),36195.666666666664)</f>
        <v>36195.66667</v>
      </c>
      <c r="B3330" s="1">
        <f>IFERROR(__xludf.DUMMYFUNCTION("""COMPUTED_VALUE"""),1272.07)</f>
        <v>1272.07</v>
      </c>
      <c r="C3330" s="1">
        <f>IFERROR(__xludf.DUMMYFUNCTION("""COMPUTED_VALUE"""),1272.16)</f>
        <v>1272.16</v>
      </c>
      <c r="D3330" s="1">
        <f>IFERROR(__xludf.DUMMYFUNCTION("""COMPUTED_VALUE"""),1248.37)</f>
        <v>1248.37</v>
      </c>
      <c r="E3330" s="1">
        <f>IFERROR(__xludf.DUMMYFUNCTION("""COMPUTED_VALUE"""),1248.49)</f>
        <v>1248.49</v>
      </c>
      <c r="F3330" s="1">
        <f>IFERROR(__xludf.DUMMYFUNCTION("""COMPUTED_VALUE"""),1.335E8)</f>
        <v>133500000</v>
      </c>
    </row>
    <row r="3331">
      <c r="A3331" s="2">
        <f>IFERROR(__xludf.DUMMYFUNCTION("""COMPUTED_VALUE"""),36196.666666666664)</f>
        <v>36196.66667</v>
      </c>
      <c r="B3331" s="1">
        <f>IFERROR(__xludf.DUMMYFUNCTION("""COMPUTED_VALUE"""),1248.49)</f>
        <v>1248.49</v>
      </c>
      <c r="C3331" s="1">
        <f>IFERROR(__xludf.DUMMYFUNCTION("""COMPUTED_VALUE"""),1251.84)</f>
        <v>1251.84</v>
      </c>
      <c r="D3331" s="1">
        <f>IFERROR(__xludf.DUMMYFUNCTION("""COMPUTED_VALUE"""),1232.33)</f>
        <v>1232.33</v>
      </c>
      <c r="E3331" s="1">
        <f>IFERROR(__xludf.DUMMYFUNCTION("""COMPUTED_VALUE"""),1239.4)</f>
        <v>1239.4</v>
      </c>
      <c r="F3331" s="1">
        <f>IFERROR(__xludf.DUMMYFUNCTION("""COMPUTED_VALUE"""),1.3625E8)</f>
        <v>136250000</v>
      </c>
    </row>
    <row r="3332">
      <c r="A3332" s="2">
        <f>IFERROR(__xludf.DUMMYFUNCTION("""COMPUTED_VALUE"""),36199.666666666664)</f>
        <v>36199.66667</v>
      </c>
      <c r="B3332" s="1">
        <f>IFERROR(__xludf.DUMMYFUNCTION("""COMPUTED_VALUE"""),1239.4)</f>
        <v>1239.4</v>
      </c>
      <c r="C3332" s="1">
        <f>IFERROR(__xludf.DUMMYFUNCTION("""COMPUTED_VALUE"""),1246.71)</f>
        <v>1246.71</v>
      </c>
      <c r="D3332" s="1">
        <f>IFERROR(__xludf.DUMMYFUNCTION("""COMPUTED_VALUE"""),1231.94)</f>
        <v>1231.94</v>
      </c>
      <c r="E3332" s="1">
        <f>IFERROR(__xludf.DUMMYFUNCTION("""COMPUTED_VALUE"""),1243.77)</f>
        <v>1243.77</v>
      </c>
      <c r="F3332" s="1">
        <f>IFERROR(__xludf.DUMMYFUNCTION("""COMPUTED_VALUE"""),1.10218752E8)</f>
        <v>110218752</v>
      </c>
    </row>
    <row r="3333">
      <c r="A3333" s="2">
        <f>IFERROR(__xludf.DUMMYFUNCTION("""COMPUTED_VALUE"""),36200.666666666664)</f>
        <v>36200.66667</v>
      </c>
      <c r="B3333" s="1">
        <f>IFERROR(__xludf.DUMMYFUNCTION("""COMPUTED_VALUE"""),1243.77)</f>
        <v>1243.77</v>
      </c>
      <c r="C3333" s="1">
        <f>IFERROR(__xludf.DUMMYFUNCTION("""COMPUTED_VALUE"""),1244.06)</f>
        <v>1244.06</v>
      </c>
      <c r="D3333" s="1">
        <f>IFERROR(__xludf.DUMMYFUNCTION("""COMPUTED_VALUE"""),1215.58)</f>
        <v>1215.58</v>
      </c>
      <c r="E3333" s="1">
        <f>IFERROR(__xludf.DUMMYFUNCTION("""COMPUTED_VALUE"""),1216.14)</f>
        <v>1216.14</v>
      </c>
      <c r="F3333" s="1">
        <f>IFERROR(__xludf.DUMMYFUNCTION("""COMPUTED_VALUE"""),1.15E8)</f>
        <v>115000000</v>
      </c>
    </row>
    <row r="3334">
      <c r="A3334" s="2">
        <f>IFERROR(__xludf.DUMMYFUNCTION("""COMPUTED_VALUE"""),36201.666666666664)</f>
        <v>36201.66667</v>
      </c>
      <c r="B3334" s="1">
        <f>IFERROR(__xludf.DUMMYFUNCTION("""COMPUTED_VALUE"""),1216.14)</f>
        <v>1216.14</v>
      </c>
      <c r="C3334" s="1">
        <f>IFERROR(__xludf.DUMMYFUNCTION("""COMPUTED_VALUE"""),1226.78)</f>
        <v>1226.78</v>
      </c>
      <c r="D3334" s="1">
        <f>IFERROR(__xludf.DUMMYFUNCTION("""COMPUTED_VALUE"""),1211.89)</f>
        <v>1211.89</v>
      </c>
      <c r="E3334" s="1">
        <f>IFERROR(__xludf.DUMMYFUNCTION("""COMPUTED_VALUE"""),1223.55)</f>
        <v>1223.55</v>
      </c>
      <c r="F3334" s="1">
        <f>IFERROR(__xludf.DUMMYFUNCTION("""COMPUTED_VALUE"""),1.12718752E8)</f>
        <v>112718752</v>
      </c>
    </row>
    <row r="3335">
      <c r="A3335" s="2">
        <f>IFERROR(__xludf.DUMMYFUNCTION("""COMPUTED_VALUE"""),36202.666666666664)</f>
        <v>36202.66667</v>
      </c>
      <c r="B3335" s="1">
        <f>IFERROR(__xludf.DUMMYFUNCTION("""COMPUTED_VALUE"""),1236.75)</f>
        <v>1236.75</v>
      </c>
      <c r="C3335" s="1">
        <f>IFERROR(__xludf.DUMMYFUNCTION("""COMPUTED_VALUE"""),1254.05)</f>
        <v>1254.05</v>
      </c>
      <c r="D3335" s="1">
        <f>IFERROR(__xludf.DUMMYFUNCTION("""COMPUTED_VALUE"""),1223.36)</f>
        <v>1223.36</v>
      </c>
      <c r="E3335" s="1">
        <f>IFERROR(__xludf.DUMMYFUNCTION("""COMPUTED_VALUE"""),1254.04)</f>
        <v>1254.04</v>
      </c>
      <c r="F3335" s="1">
        <f>IFERROR(__xludf.DUMMYFUNCTION("""COMPUTED_VALUE"""),1.27468752E8)</f>
        <v>127468752</v>
      </c>
    </row>
    <row r="3336">
      <c r="A3336" s="2">
        <f>IFERROR(__xludf.DUMMYFUNCTION("""COMPUTED_VALUE"""),36203.666666666664)</f>
        <v>36203.66667</v>
      </c>
      <c r="B3336" s="1">
        <f>IFERROR(__xludf.DUMMYFUNCTION("""COMPUTED_VALUE"""),1254.04)</f>
        <v>1254.04</v>
      </c>
      <c r="C3336" s="1">
        <f>IFERROR(__xludf.DUMMYFUNCTION("""COMPUTED_VALUE"""),1254.04)</f>
        <v>1254.04</v>
      </c>
      <c r="D3336" s="1">
        <f>IFERROR(__xludf.DUMMYFUNCTION("""COMPUTED_VALUE"""),1225.53)</f>
        <v>1225.53</v>
      </c>
      <c r="E3336" s="1">
        <f>IFERROR(__xludf.DUMMYFUNCTION("""COMPUTED_VALUE"""),1230.13)</f>
        <v>1230.13</v>
      </c>
      <c r="F3336" s="1">
        <f>IFERROR(__xludf.DUMMYFUNCTION("""COMPUTED_VALUE"""),1.08046872E8)</f>
        <v>108046872</v>
      </c>
    </row>
    <row r="3337">
      <c r="A3337" s="2">
        <f>IFERROR(__xludf.DUMMYFUNCTION("""COMPUTED_VALUE"""),36207.666666666664)</f>
        <v>36207.66667</v>
      </c>
      <c r="B3337" s="1">
        <f>IFERROR(__xludf.DUMMYFUNCTION("""COMPUTED_VALUE"""),1230.13)</f>
        <v>1230.13</v>
      </c>
      <c r="C3337" s="1">
        <f>IFERROR(__xludf.DUMMYFUNCTION("""COMPUTED_VALUE"""),1252.27)</f>
        <v>1252.27</v>
      </c>
      <c r="D3337" s="1">
        <f>IFERROR(__xludf.DUMMYFUNCTION("""COMPUTED_VALUE"""),1230.13)</f>
        <v>1230.13</v>
      </c>
      <c r="E3337" s="1">
        <f>IFERROR(__xludf.DUMMYFUNCTION("""COMPUTED_VALUE"""),1241.87)</f>
        <v>1241.87</v>
      </c>
      <c r="F3337" s="1">
        <f>IFERROR(__xludf.DUMMYFUNCTION("""COMPUTED_VALUE"""),1.0215E8)</f>
        <v>102150000</v>
      </c>
    </row>
    <row r="3338">
      <c r="A3338" s="2">
        <f>IFERROR(__xludf.DUMMYFUNCTION("""COMPUTED_VALUE"""),36208.666666666664)</f>
        <v>36208.66667</v>
      </c>
      <c r="B3338" s="1">
        <f>IFERROR(__xludf.DUMMYFUNCTION("""COMPUTED_VALUE"""),1241.87)</f>
        <v>1241.87</v>
      </c>
      <c r="C3338" s="1">
        <f>IFERROR(__xludf.DUMMYFUNCTION("""COMPUTED_VALUE"""),1249.29)</f>
        <v>1249.29</v>
      </c>
      <c r="D3338" s="1">
        <f>IFERROR(__xludf.DUMMYFUNCTION("""COMPUTED_VALUE"""),1220.94)</f>
        <v>1220.94</v>
      </c>
      <c r="E3338" s="1">
        <f>IFERROR(__xludf.DUMMYFUNCTION("""COMPUTED_VALUE"""),1224.03)</f>
        <v>1224.03</v>
      </c>
      <c r="F3338" s="1">
        <f>IFERROR(__xludf.DUMMYFUNCTION("""COMPUTED_VALUE"""),1.14859376E8)</f>
        <v>114859376</v>
      </c>
    </row>
    <row r="3339">
      <c r="A3339" s="2">
        <f>IFERROR(__xludf.DUMMYFUNCTION("""COMPUTED_VALUE"""),36209.666666666664)</f>
        <v>36209.66667</v>
      </c>
      <c r="B3339" s="1">
        <f>IFERROR(__xludf.DUMMYFUNCTION("""COMPUTED_VALUE"""),1224.03)</f>
        <v>1224.03</v>
      </c>
      <c r="C3339" s="1">
        <f>IFERROR(__xludf.DUMMYFUNCTION("""COMPUTED_VALUE"""),1239.07)</f>
        <v>1239.07</v>
      </c>
      <c r="D3339" s="1">
        <f>IFERROR(__xludf.DUMMYFUNCTION("""COMPUTED_VALUE"""),1220.53)</f>
        <v>1220.53</v>
      </c>
      <c r="E3339" s="1">
        <f>IFERROR(__xludf.DUMMYFUNCTION("""COMPUTED_VALUE"""),1237.28)</f>
        <v>1237.28</v>
      </c>
      <c r="F3339" s="1">
        <f>IFERROR(__xludf.DUMMYFUNCTION("""COMPUTED_VALUE"""),1.16E8)</f>
        <v>116000000</v>
      </c>
    </row>
    <row r="3340">
      <c r="A3340" s="2">
        <f>IFERROR(__xludf.DUMMYFUNCTION("""COMPUTED_VALUE"""),36210.666666666664)</f>
        <v>36210.66667</v>
      </c>
      <c r="B3340" s="1">
        <f>IFERROR(__xludf.DUMMYFUNCTION("""COMPUTED_VALUE"""),1237.28)</f>
        <v>1237.28</v>
      </c>
      <c r="C3340" s="1">
        <f>IFERROR(__xludf.DUMMYFUNCTION("""COMPUTED_VALUE"""),1247.94)</f>
        <v>1247.94</v>
      </c>
      <c r="D3340" s="1">
        <f>IFERROR(__xludf.DUMMYFUNCTION("""COMPUTED_VALUE"""),1232.03)</f>
        <v>1232.03</v>
      </c>
      <c r="E3340" s="1">
        <f>IFERROR(__xludf.DUMMYFUNCTION("""COMPUTED_VALUE"""),1239.19)</f>
        <v>1239.19</v>
      </c>
      <c r="F3340" s="1">
        <f>IFERROR(__xludf.DUMMYFUNCTION("""COMPUTED_VALUE"""),1.09375E8)</f>
        <v>109375000</v>
      </c>
    </row>
    <row r="3341">
      <c r="A3341" s="2">
        <f>IFERROR(__xludf.DUMMYFUNCTION("""COMPUTED_VALUE"""),36213.666666666664)</f>
        <v>36213.66667</v>
      </c>
      <c r="B3341" s="1">
        <f>IFERROR(__xludf.DUMMYFUNCTION("""COMPUTED_VALUE"""),1239.22)</f>
        <v>1239.22</v>
      </c>
      <c r="C3341" s="1">
        <f>IFERROR(__xludf.DUMMYFUNCTION("""COMPUTED_VALUE"""),1272.22)</f>
        <v>1272.22</v>
      </c>
      <c r="D3341" s="1">
        <f>IFERROR(__xludf.DUMMYFUNCTION("""COMPUTED_VALUE"""),1239.22)</f>
        <v>1239.22</v>
      </c>
      <c r="E3341" s="1">
        <f>IFERROR(__xludf.DUMMYFUNCTION("""COMPUTED_VALUE"""),1272.14)</f>
        <v>1272.14</v>
      </c>
      <c r="F3341" s="1">
        <f>IFERROR(__xludf.DUMMYFUNCTION("""COMPUTED_VALUE"""),1.12265624E8)</f>
        <v>112265624</v>
      </c>
    </row>
    <row r="3342">
      <c r="A3342" s="2">
        <f>IFERROR(__xludf.DUMMYFUNCTION("""COMPUTED_VALUE"""),36214.666666666664)</f>
        <v>36214.66667</v>
      </c>
      <c r="B3342" s="1">
        <f>IFERROR(__xludf.DUMMYFUNCTION("""COMPUTED_VALUE"""),1272.14)</f>
        <v>1272.14</v>
      </c>
      <c r="C3342" s="1">
        <f>IFERROR(__xludf.DUMMYFUNCTION("""COMPUTED_VALUE"""),1280.43)</f>
        <v>1280.43</v>
      </c>
      <c r="D3342" s="1">
        <f>IFERROR(__xludf.DUMMYFUNCTION("""COMPUTED_VALUE"""),1263.35)</f>
        <v>1263.35</v>
      </c>
      <c r="E3342" s="1">
        <f>IFERROR(__xludf.DUMMYFUNCTION("""COMPUTED_VALUE"""),1271.18)</f>
        <v>1271.18</v>
      </c>
      <c r="F3342" s="1">
        <f>IFERROR(__xludf.DUMMYFUNCTION("""COMPUTED_VALUE"""),1.22046872E8)</f>
        <v>122046872</v>
      </c>
    </row>
    <row r="3343">
      <c r="A3343" s="2">
        <f>IFERROR(__xludf.DUMMYFUNCTION("""COMPUTED_VALUE"""),36215.666666666664)</f>
        <v>36215.66667</v>
      </c>
      <c r="B3343" s="1">
        <f>IFERROR(__xludf.DUMMYFUNCTION("""COMPUTED_VALUE"""),1271.18)</f>
        <v>1271.18</v>
      </c>
      <c r="C3343" s="1">
        <f>IFERROR(__xludf.DUMMYFUNCTION("""COMPUTED_VALUE"""),1283.91)</f>
        <v>1283.91</v>
      </c>
      <c r="D3343" s="1">
        <f>IFERROR(__xludf.DUMMYFUNCTION("""COMPUTED_VALUE"""),1251.97)</f>
        <v>1251.97</v>
      </c>
      <c r="E3343" s="1">
        <f>IFERROR(__xludf.DUMMYFUNCTION("""COMPUTED_VALUE"""),1253.41)</f>
        <v>1253.41</v>
      </c>
      <c r="F3343" s="1">
        <f>IFERROR(__xludf.DUMMYFUNCTION("""COMPUTED_VALUE"""),1.22187504E8)</f>
        <v>122187504</v>
      </c>
    </row>
    <row r="3344">
      <c r="A3344" s="2">
        <f>IFERROR(__xludf.DUMMYFUNCTION("""COMPUTED_VALUE"""),36216.666666666664)</f>
        <v>36216.66667</v>
      </c>
      <c r="B3344" s="1">
        <f>IFERROR(__xludf.DUMMYFUNCTION("""COMPUTED_VALUE"""),1245.02)</f>
        <v>1245.02</v>
      </c>
      <c r="C3344" s="1">
        <f>IFERROR(__xludf.DUMMYFUNCTION("""COMPUTED_VALUE"""),1252.71)</f>
        <v>1252.71</v>
      </c>
      <c r="D3344" s="1">
        <f>IFERROR(__xludf.DUMMYFUNCTION("""COMPUTED_VALUE"""),1225.01)</f>
        <v>1225.01</v>
      </c>
      <c r="E3344" s="1">
        <f>IFERROR(__xludf.DUMMYFUNCTION("""COMPUTED_VALUE"""),1245.02)</f>
        <v>1245.02</v>
      </c>
      <c r="F3344" s="1">
        <f>IFERROR(__xludf.DUMMYFUNCTION("""COMPUTED_VALUE"""),1.15703128E8)</f>
        <v>115703128</v>
      </c>
    </row>
    <row r="3345">
      <c r="A3345" s="2">
        <f>IFERROR(__xludf.DUMMYFUNCTION("""COMPUTED_VALUE"""),36217.666666666664)</f>
        <v>36217.66667</v>
      </c>
      <c r="B3345" s="1">
        <f>IFERROR(__xludf.DUMMYFUNCTION("""COMPUTED_VALUE"""),1245.02)</f>
        <v>1245.02</v>
      </c>
      <c r="C3345" s="1">
        <f>IFERROR(__xludf.DUMMYFUNCTION("""COMPUTED_VALUE"""),1246.54)</f>
        <v>1246.54</v>
      </c>
      <c r="D3345" s="1">
        <f>IFERROR(__xludf.DUMMYFUNCTION("""COMPUTED_VALUE"""),1226.25)</f>
        <v>1226.25</v>
      </c>
      <c r="E3345" s="1">
        <f>IFERROR(__xludf.DUMMYFUNCTION("""COMPUTED_VALUE"""),1238.33)</f>
        <v>1238.33</v>
      </c>
      <c r="F3345" s="1">
        <f>IFERROR(__xludf.DUMMYFUNCTION("""COMPUTED_VALUE"""),1.22593752E8)</f>
        <v>122593752</v>
      </c>
    </row>
    <row r="3346">
      <c r="A3346" s="2">
        <f>IFERROR(__xludf.DUMMYFUNCTION("""COMPUTED_VALUE"""),36220.666666666664)</f>
        <v>36220.66667</v>
      </c>
      <c r="B3346" s="1">
        <f>IFERROR(__xludf.DUMMYFUNCTION("""COMPUTED_VALUE"""),1238.33)</f>
        <v>1238.33</v>
      </c>
      <c r="C3346" s="1">
        <f>IFERROR(__xludf.DUMMYFUNCTION("""COMPUTED_VALUE"""),1238.6)</f>
        <v>1238.6</v>
      </c>
      <c r="D3346" s="1">
        <f>IFERROR(__xludf.DUMMYFUNCTION("""COMPUTED_VALUE"""),1222.02)</f>
        <v>1222.02</v>
      </c>
      <c r="E3346" s="1">
        <f>IFERROR(__xludf.DUMMYFUNCTION("""COMPUTED_VALUE"""),1236.16)</f>
        <v>1236.16</v>
      </c>
      <c r="F3346" s="1">
        <f>IFERROR(__xludf.DUMMYFUNCTION("""COMPUTED_VALUE"""),1.09296872E8)</f>
        <v>109296872</v>
      </c>
    </row>
    <row r="3347">
      <c r="A3347" s="2">
        <f>IFERROR(__xludf.DUMMYFUNCTION("""COMPUTED_VALUE"""),36221.666666666664)</f>
        <v>36221.66667</v>
      </c>
      <c r="B3347" s="1">
        <f>IFERROR(__xludf.DUMMYFUNCTION("""COMPUTED_VALUE"""),1236.16)</f>
        <v>1236.16</v>
      </c>
      <c r="C3347" s="1">
        <f>IFERROR(__xludf.DUMMYFUNCTION("""COMPUTED_VALUE"""),1248.31)</f>
        <v>1248.31</v>
      </c>
      <c r="D3347" s="1">
        <f>IFERROR(__xludf.DUMMYFUNCTION("""COMPUTED_VALUE"""),1221.87)</f>
        <v>1221.87</v>
      </c>
      <c r="E3347" s="1">
        <f>IFERROR(__xludf.DUMMYFUNCTION("""COMPUTED_VALUE"""),1225.5)</f>
        <v>1225.5</v>
      </c>
      <c r="F3347" s="1">
        <f>IFERROR(__xludf.DUMMYFUNCTION("""COMPUTED_VALUE"""),1.1775E8)</f>
        <v>117750000</v>
      </c>
    </row>
    <row r="3348">
      <c r="A3348" s="2">
        <f>IFERROR(__xludf.DUMMYFUNCTION("""COMPUTED_VALUE"""),36222.666666666664)</f>
        <v>36222.66667</v>
      </c>
      <c r="B3348" s="1">
        <f>IFERROR(__xludf.DUMMYFUNCTION("""COMPUTED_VALUE"""),1225.5)</f>
        <v>1225.5</v>
      </c>
      <c r="C3348" s="1">
        <f>IFERROR(__xludf.DUMMYFUNCTION("""COMPUTED_VALUE"""),1231.69)</f>
        <v>1231.69</v>
      </c>
      <c r="D3348" s="1">
        <f>IFERROR(__xludf.DUMMYFUNCTION("""COMPUTED_VALUE"""),1216.03)</f>
        <v>1216.03</v>
      </c>
      <c r="E3348" s="1">
        <f>IFERROR(__xludf.DUMMYFUNCTION("""COMPUTED_VALUE"""),1227.7)</f>
        <v>1227.7</v>
      </c>
      <c r="F3348" s="1">
        <f>IFERROR(__xludf.DUMMYFUNCTION("""COMPUTED_VALUE"""),1.17453128E8)</f>
        <v>117453128</v>
      </c>
    </row>
    <row r="3349">
      <c r="A3349" s="2">
        <f>IFERROR(__xludf.DUMMYFUNCTION("""COMPUTED_VALUE"""),36223.666666666664)</f>
        <v>36223.66667</v>
      </c>
      <c r="B3349" s="1">
        <f>IFERROR(__xludf.DUMMYFUNCTION("""COMPUTED_VALUE"""),1227.7)</f>
        <v>1227.7</v>
      </c>
      <c r="C3349" s="1">
        <f>IFERROR(__xludf.DUMMYFUNCTION("""COMPUTED_VALUE"""),1247.91)</f>
        <v>1247.91</v>
      </c>
      <c r="D3349" s="1">
        <f>IFERROR(__xludf.DUMMYFUNCTION("""COMPUTED_VALUE"""),1227.7)</f>
        <v>1227.7</v>
      </c>
      <c r="E3349" s="1">
        <f>IFERROR(__xludf.DUMMYFUNCTION("""COMPUTED_VALUE"""),1246.64)</f>
        <v>1246.64</v>
      </c>
      <c r="F3349" s="1">
        <f>IFERROR(__xludf.DUMMYFUNCTION("""COMPUTED_VALUE"""),1.20453128E8)</f>
        <v>120453128</v>
      </c>
    </row>
    <row r="3350">
      <c r="A3350" s="2">
        <f>IFERROR(__xludf.DUMMYFUNCTION("""COMPUTED_VALUE"""),36224.666666666664)</f>
        <v>36224.66667</v>
      </c>
      <c r="B3350" s="1">
        <f>IFERROR(__xludf.DUMMYFUNCTION("""COMPUTED_VALUE"""),1246.64)</f>
        <v>1246.64</v>
      </c>
      <c r="C3350" s="1">
        <f>IFERROR(__xludf.DUMMYFUNCTION("""COMPUTED_VALUE"""),1275.68)</f>
        <v>1275.68</v>
      </c>
      <c r="D3350" s="1">
        <f>IFERROR(__xludf.DUMMYFUNCTION("""COMPUTED_VALUE"""),1246.64)</f>
        <v>1246.64</v>
      </c>
      <c r="E3350" s="1">
        <f>IFERROR(__xludf.DUMMYFUNCTION("""COMPUTED_VALUE"""),1275.47)</f>
        <v>1275.47</v>
      </c>
      <c r="F3350" s="1">
        <f>IFERROR(__xludf.DUMMYFUNCTION("""COMPUTED_VALUE"""),1.30453128E8)</f>
        <v>130453128</v>
      </c>
    </row>
    <row r="3351">
      <c r="A3351" s="2">
        <f>IFERROR(__xludf.DUMMYFUNCTION("""COMPUTED_VALUE"""),36227.666666666664)</f>
        <v>36227.66667</v>
      </c>
      <c r="B3351" s="1">
        <f>IFERROR(__xludf.DUMMYFUNCTION("""COMPUTED_VALUE"""),1275.47)</f>
        <v>1275.47</v>
      </c>
      <c r="C3351" s="1">
        <f>IFERROR(__xludf.DUMMYFUNCTION("""COMPUTED_VALUE"""),1282.73)</f>
        <v>1282.73</v>
      </c>
      <c r="D3351" s="1">
        <f>IFERROR(__xludf.DUMMYFUNCTION("""COMPUTED_VALUE"""),1271.61)</f>
        <v>1271.61</v>
      </c>
      <c r="E3351" s="1">
        <f>IFERROR(__xludf.DUMMYFUNCTION("""COMPUTED_VALUE"""),1282.73)</f>
        <v>1282.73</v>
      </c>
      <c r="F3351" s="1">
        <f>IFERROR(__xludf.DUMMYFUNCTION("""COMPUTED_VALUE"""),1.11656248E8)</f>
        <v>111656248</v>
      </c>
    </row>
    <row r="3352">
      <c r="A3352" s="2">
        <f>IFERROR(__xludf.DUMMYFUNCTION("""COMPUTED_VALUE"""),36228.666666666664)</f>
        <v>36228.66667</v>
      </c>
      <c r="B3352" s="1">
        <f>IFERROR(__xludf.DUMMYFUNCTION("""COMPUTED_VALUE"""),1282.73)</f>
        <v>1282.73</v>
      </c>
      <c r="C3352" s="1">
        <f>IFERROR(__xludf.DUMMYFUNCTION("""COMPUTED_VALUE"""),1293.74)</f>
        <v>1293.74</v>
      </c>
      <c r="D3352" s="1">
        <f>IFERROR(__xludf.DUMMYFUNCTION("""COMPUTED_VALUE"""),1274.76)</f>
        <v>1274.76</v>
      </c>
      <c r="E3352" s="1">
        <f>IFERROR(__xludf.DUMMYFUNCTION("""COMPUTED_VALUE"""),1279.84)</f>
        <v>1279.84</v>
      </c>
      <c r="F3352" s="1">
        <f>IFERROR(__xludf.DUMMYFUNCTION("""COMPUTED_VALUE"""),1.25578128E8)</f>
        <v>125578128</v>
      </c>
    </row>
    <row r="3353">
      <c r="A3353" s="2">
        <f>IFERROR(__xludf.DUMMYFUNCTION("""COMPUTED_VALUE"""),36229.666666666664)</f>
        <v>36229.66667</v>
      </c>
      <c r="B3353" s="1">
        <f>IFERROR(__xludf.DUMMYFUNCTION("""COMPUTED_VALUE"""),1279.84)</f>
        <v>1279.84</v>
      </c>
      <c r="C3353" s="1">
        <f>IFERROR(__xludf.DUMMYFUNCTION("""COMPUTED_VALUE"""),1287.03)</f>
        <v>1287.03</v>
      </c>
      <c r="D3353" s="1">
        <f>IFERROR(__xludf.DUMMYFUNCTION("""COMPUTED_VALUE"""),1275.17)</f>
        <v>1275.17</v>
      </c>
      <c r="E3353" s="1">
        <f>IFERROR(__xludf.DUMMYFUNCTION("""COMPUTED_VALUE"""),1286.84)</f>
        <v>1286.84</v>
      </c>
      <c r="F3353" s="1">
        <f>IFERROR(__xludf.DUMMYFUNCTION("""COMPUTED_VALUE"""),1.31546872E8)</f>
        <v>131546872</v>
      </c>
    </row>
    <row r="3354">
      <c r="A3354" s="2">
        <f>IFERROR(__xludf.DUMMYFUNCTION("""COMPUTED_VALUE"""),36230.666666666664)</f>
        <v>36230.66667</v>
      </c>
      <c r="B3354" s="1">
        <f>IFERROR(__xludf.DUMMYFUNCTION("""COMPUTED_VALUE"""),1297.68)</f>
        <v>1297.68</v>
      </c>
      <c r="C3354" s="1">
        <f>IFERROR(__xludf.DUMMYFUNCTION("""COMPUTED_VALUE"""),1306.41)</f>
        <v>1306.41</v>
      </c>
      <c r="D3354" s="1">
        <f>IFERROR(__xludf.DUMMYFUNCTION("""COMPUTED_VALUE"""),1286.9)</f>
        <v>1286.9</v>
      </c>
      <c r="E3354" s="1">
        <f>IFERROR(__xludf.DUMMYFUNCTION("""COMPUTED_VALUE"""),1297.68)</f>
        <v>1297.68</v>
      </c>
      <c r="F3354" s="1">
        <f>IFERROR(__xludf.DUMMYFUNCTION("""COMPUTED_VALUE"""),1.41375008E8)</f>
        <v>141375008</v>
      </c>
    </row>
    <row r="3355">
      <c r="A3355" s="2">
        <f>IFERROR(__xludf.DUMMYFUNCTION("""COMPUTED_VALUE"""),36231.666666666664)</f>
        <v>36231.66667</v>
      </c>
      <c r="B3355" s="1">
        <f>IFERROR(__xludf.DUMMYFUNCTION("""COMPUTED_VALUE"""),1297.68)</f>
        <v>1297.68</v>
      </c>
      <c r="C3355" s="1">
        <f>IFERROR(__xludf.DUMMYFUNCTION("""COMPUTED_VALUE"""),1304.09)</f>
        <v>1304.09</v>
      </c>
      <c r="D3355" s="1">
        <f>IFERROR(__xludf.DUMMYFUNCTION("""COMPUTED_VALUE"""),1289.21)</f>
        <v>1289.21</v>
      </c>
      <c r="E3355" s="1">
        <f>IFERROR(__xludf.DUMMYFUNCTION("""COMPUTED_VALUE"""),1294.59)</f>
        <v>1294.59</v>
      </c>
      <c r="F3355" s="1">
        <f>IFERROR(__xludf.DUMMYFUNCTION("""COMPUTED_VALUE"""),1.29031248E8)</f>
        <v>129031248</v>
      </c>
    </row>
    <row r="3356">
      <c r="A3356" s="2">
        <f>IFERROR(__xludf.DUMMYFUNCTION("""COMPUTED_VALUE"""),36234.666666666664)</f>
        <v>36234.66667</v>
      </c>
      <c r="B3356" s="1">
        <f>IFERROR(__xludf.DUMMYFUNCTION("""COMPUTED_VALUE"""),1294.59)</f>
        <v>1294.59</v>
      </c>
      <c r="C3356" s="1">
        <f>IFERROR(__xludf.DUMMYFUNCTION("""COMPUTED_VALUE"""),1307.54)</f>
        <v>1307.54</v>
      </c>
      <c r="D3356" s="1">
        <f>IFERROR(__xludf.DUMMYFUNCTION("""COMPUTED_VALUE"""),1290.99)</f>
        <v>1290.99</v>
      </c>
      <c r="E3356" s="1">
        <f>IFERROR(__xludf.DUMMYFUNCTION("""COMPUTED_VALUE"""),1307.26)</f>
        <v>1307.26</v>
      </c>
      <c r="F3356" s="1">
        <f>IFERROR(__xludf.DUMMYFUNCTION("""COMPUTED_VALUE"""),1.13625E8)</f>
        <v>113625000</v>
      </c>
    </row>
    <row r="3357">
      <c r="A3357" s="2">
        <f>IFERROR(__xludf.DUMMYFUNCTION("""COMPUTED_VALUE"""),36235.666666666664)</f>
        <v>36235.66667</v>
      </c>
      <c r="B3357" s="1">
        <f>IFERROR(__xludf.DUMMYFUNCTION("""COMPUTED_VALUE"""),1307.26)</f>
        <v>1307.26</v>
      </c>
      <c r="C3357" s="1">
        <f>IFERROR(__xludf.DUMMYFUNCTION("""COMPUTED_VALUE"""),1311.13)</f>
        <v>1311.13</v>
      </c>
      <c r="D3357" s="1">
        <f>IFERROR(__xludf.DUMMYFUNCTION("""COMPUTED_VALUE"""),1302.37)</f>
        <v>1302.37</v>
      </c>
      <c r="E3357" s="1">
        <f>IFERROR(__xludf.DUMMYFUNCTION("""COMPUTED_VALUE"""),1306.36)</f>
        <v>1306.36</v>
      </c>
      <c r="F3357" s="1">
        <f>IFERROR(__xludf.DUMMYFUNCTION("""COMPUTED_VALUE"""),1.17484376E8)</f>
        <v>117484376</v>
      </c>
    </row>
    <row r="3358">
      <c r="A3358" s="2">
        <f>IFERROR(__xludf.DUMMYFUNCTION("""COMPUTED_VALUE"""),36236.666666666664)</f>
        <v>36236.66667</v>
      </c>
      <c r="B3358" s="1">
        <f>IFERROR(__xludf.DUMMYFUNCTION("""COMPUTED_VALUE"""),1306.38)</f>
        <v>1306.38</v>
      </c>
      <c r="C3358" s="1">
        <f>IFERROR(__xludf.DUMMYFUNCTION("""COMPUTED_VALUE"""),1306.77)</f>
        <v>1306.77</v>
      </c>
      <c r="D3358" s="1">
        <f>IFERROR(__xludf.DUMMYFUNCTION("""COMPUTED_VALUE"""),1292.61)</f>
        <v>1292.61</v>
      </c>
      <c r="E3358" s="1">
        <f>IFERROR(__xludf.DUMMYFUNCTION("""COMPUTED_VALUE"""),1297.82)</f>
        <v>1297.82</v>
      </c>
      <c r="F3358" s="1">
        <f>IFERROR(__xludf.DUMMYFUNCTION("""COMPUTED_VALUE"""),1.17546872E8)</f>
        <v>117546872</v>
      </c>
    </row>
    <row r="3359">
      <c r="A3359" s="2">
        <f>IFERROR(__xludf.DUMMYFUNCTION("""COMPUTED_VALUE"""),36237.666666666664)</f>
        <v>36237.66667</v>
      </c>
      <c r="B3359" s="1">
        <f>IFERROR(__xludf.DUMMYFUNCTION("""COMPUTED_VALUE"""),1297.82)</f>
        <v>1297.82</v>
      </c>
      <c r="C3359" s="1">
        <f>IFERROR(__xludf.DUMMYFUNCTION("""COMPUTED_VALUE"""),1317.41)</f>
        <v>1317.41</v>
      </c>
      <c r="D3359" s="1">
        <f>IFERROR(__xludf.DUMMYFUNCTION("""COMPUTED_VALUE"""),1294.74)</f>
        <v>1294.74</v>
      </c>
      <c r="E3359" s="1">
        <f>IFERROR(__xludf.DUMMYFUNCTION("""COMPUTED_VALUE"""),1316.55)</f>
        <v>1316.55</v>
      </c>
      <c r="F3359" s="1">
        <f>IFERROR(__xludf.DUMMYFUNCTION("""COMPUTED_VALUE"""),1.29843752E8)</f>
        <v>129843752</v>
      </c>
    </row>
    <row r="3360">
      <c r="A3360" s="2">
        <f>IFERROR(__xludf.DUMMYFUNCTION("""COMPUTED_VALUE"""),36238.666666666664)</f>
        <v>36238.66667</v>
      </c>
      <c r="B3360" s="1">
        <f>IFERROR(__xludf.DUMMYFUNCTION("""COMPUTED_VALUE"""),1316.55)</f>
        <v>1316.55</v>
      </c>
      <c r="C3360" s="1">
        <f>IFERROR(__xludf.DUMMYFUNCTION("""COMPUTED_VALUE"""),1322.1)</f>
        <v>1322.1</v>
      </c>
      <c r="D3360" s="1">
        <f>IFERROR(__xludf.DUMMYFUNCTION("""COMPUTED_VALUE"""),1298.98)</f>
        <v>1298.98</v>
      </c>
      <c r="E3360" s="1">
        <f>IFERROR(__xludf.DUMMYFUNCTION("""COMPUTED_VALUE"""),1299.29)</f>
        <v>1299.29</v>
      </c>
      <c r="F3360" s="1">
        <f>IFERROR(__xludf.DUMMYFUNCTION("""COMPUTED_VALUE"""),1.42921872E8)</f>
        <v>142921872</v>
      </c>
    </row>
    <row r="3361">
      <c r="A3361" s="2">
        <f>IFERROR(__xludf.DUMMYFUNCTION("""COMPUTED_VALUE"""),36241.666666666664)</f>
        <v>36241.66667</v>
      </c>
      <c r="B3361" s="1">
        <f>IFERROR(__xludf.DUMMYFUNCTION("""COMPUTED_VALUE"""),1299.29)</f>
        <v>1299.29</v>
      </c>
      <c r="C3361" s="1">
        <f>IFERROR(__xludf.DUMMYFUNCTION("""COMPUTED_VALUE"""),1303.89)</f>
        <v>1303.89</v>
      </c>
      <c r="D3361" s="1">
        <f>IFERROR(__xludf.DUMMYFUNCTION("""COMPUTED_VALUE"""),1294.22)</f>
        <v>1294.22</v>
      </c>
      <c r="E3361" s="1">
        <f>IFERROR(__xludf.DUMMYFUNCTION("""COMPUTED_VALUE"""),1297.01)</f>
        <v>1297.01</v>
      </c>
      <c r="F3361" s="1">
        <f>IFERROR(__xludf.DUMMYFUNCTION("""COMPUTED_VALUE"""),1.02843752E8)</f>
        <v>102843752</v>
      </c>
    </row>
    <row r="3362">
      <c r="A3362" s="2">
        <f>IFERROR(__xludf.DUMMYFUNCTION("""COMPUTED_VALUE"""),36242.666666666664)</f>
        <v>36242.66667</v>
      </c>
      <c r="B3362" s="1">
        <f>IFERROR(__xludf.DUMMYFUNCTION("""COMPUTED_VALUE"""),1262.14)</f>
        <v>1262.14</v>
      </c>
      <c r="C3362" s="1">
        <f>IFERROR(__xludf.DUMMYFUNCTION("""COMPUTED_VALUE"""),1296.25)</f>
        <v>1296.25</v>
      </c>
      <c r="D3362" s="1">
        <f>IFERROR(__xludf.DUMMYFUNCTION("""COMPUTED_VALUE"""),1257.5)</f>
        <v>1257.5</v>
      </c>
      <c r="E3362" s="1">
        <f>IFERROR(__xludf.DUMMYFUNCTION("""COMPUTED_VALUE"""),1262.14)</f>
        <v>1262.14</v>
      </c>
      <c r="F3362" s="1">
        <f>IFERROR(__xludf.DUMMYFUNCTION("""COMPUTED_VALUE"""),1.26765624E8)</f>
        <v>126765624</v>
      </c>
    </row>
    <row r="3363">
      <c r="A3363" s="2">
        <f>IFERROR(__xludf.DUMMYFUNCTION("""COMPUTED_VALUE"""),36243.666666666664)</f>
        <v>36243.66667</v>
      </c>
      <c r="B3363" s="1">
        <f>IFERROR(__xludf.DUMMYFUNCTION("""COMPUTED_VALUE"""),1262.14)</f>
        <v>1262.14</v>
      </c>
      <c r="C3363" s="1">
        <f>IFERROR(__xludf.DUMMYFUNCTION("""COMPUTED_VALUE"""),1269.02)</f>
        <v>1269.02</v>
      </c>
      <c r="D3363" s="1">
        <f>IFERROR(__xludf.DUMMYFUNCTION("""COMPUTED_VALUE"""),1256.52)</f>
        <v>1256.52</v>
      </c>
      <c r="E3363" s="1">
        <f>IFERROR(__xludf.DUMMYFUNCTION("""COMPUTED_VALUE"""),1268.59)</f>
        <v>1268.59</v>
      </c>
      <c r="F3363" s="1">
        <f>IFERROR(__xludf.DUMMYFUNCTION("""COMPUTED_VALUE"""),1.19046872E8)</f>
        <v>119046872</v>
      </c>
    </row>
    <row r="3364">
      <c r="A3364" s="2">
        <f>IFERROR(__xludf.DUMMYFUNCTION("""COMPUTED_VALUE"""),36244.666666666664)</f>
        <v>36244.66667</v>
      </c>
      <c r="B3364" s="1">
        <f>IFERROR(__xludf.DUMMYFUNCTION("""COMPUTED_VALUE"""),1289.99)</f>
        <v>1289.99</v>
      </c>
      <c r="C3364" s="1">
        <f>IFERROR(__xludf.DUMMYFUNCTION("""COMPUTED_VALUE"""),1290.01)</f>
        <v>1290.01</v>
      </c>
      <c r="D3364" s="1">
        <f>IFERROR(__xludf.DUMMYFUNCTION("""COMPUTED_VALUE"""),1270.18)</f>
        <v>1270.18</v>
      </c>
      <c r="E3364" s="1">
        <f>IFERROR(__xludf.DUMMYFUNCTION("""COMPUTED_VALUE"""),1289.99)</f>
        <v>1289.99</v>
      </c>
      <c r="F3364" s="1">
        <f>IFERROR(__xludf.DUMMYFUNCTION("""COMPUTED_VALUE"""),1.22531248E8)</f>
        <v>122531248</v>
      </c>
    </row>
    <row r="3365">
      <c r="A3365" s="2">
        <f>IFERROR(__xludf.DUMMYFUNCTION("""COMPUTED_VALUE"""),36245.666666666664)</f>
        <v>36245.66667</v>
      </c>
      <c r="B3365" s="1">
        <f>IFERROR(__xludf.DUMMYFUNCTION("""COMPUTED_VALUE"""),1282.8)</f>
        <v>1282.8</v>
      </c>
      <c r="C3365" s="1">
        <f>IFERROR(__xludf.DUMMYFUNCTION("""COMPUTED_VALUE"""),1289.46)</f>
        <v>1289.46</v>
      </c>
      <c r="D3365" s="1">
        <f>IFERROR(__xludf.DUMMYFUNCTION("""COMPUTED_VALUE"""),1277.29)</f>
        <v>1277.29</v>
      </c>
      <c r="E3365" s="1">
        <f>IFERROR(__xludf.DUMMYFUNCTION("""COMPUTED_VALUE"""),1282.8)</f>
        <v>1282.8</v>
      </c>
      <c r="F3365" s="1">
        <f>IFERROR(__xludf.DUMMYFUNCTION("""COMPUTED_VALUE"""),1.105E8)</f>
        <v>110500000</v>
      </c>
    </row>
    <row r="3366">
      <c r="A3366" s="2">
        <f>IFERROR(__xludf.DUMMYFUNCTION("""COMPUTED_VALUE"""),36248.666666666664)</f>
        <v>36248.66667</v>
      </c>
      <c r="B3366" s="1">
        <f>IFERROR(__xludf.DUMMYFUNCTION("""COMPUTED_VALUE"""),1310.17)</f>
        <v>1310.17</v>
      </c>
      <c r="C3366" s="1">
        <f>IFERROR(__xludf.DUMMYFUNCTION("""COMPUTED_VALUE"""),1311.8)</f>
        <v>1311.8</v>
      </c>
      <c r="D3366" s="1">
        <f>IFERROR(__xludf.DUMMYFUNCTION("""COMPUTED_VALUE"""),1282.8)</f>
        <v>1282.8</v>
      </c>
      <c r="E3366" s="1">
        <f>IFERROR(__xludf.DUMMYFUNCTION("""COMPUTED_VALUE"""),1310.17)</f>
        <v>1310.17</v>
      </c>
      <c r="F3366" s="1">
        <f>IFERROR(__xludf.DUMMYFUNCTION("""COMPUTED_VALUE"""),1.16859376E8)</f>
        <v>116859376</v>
      </c>
    </row>
    <row r="3367">
      <c r="A3367" s="2">
        <f>IFERROR(__xludf.DUMMYFUNCTION("""COMPUTED_VALUE"""),36249.666666666664)</f>
        <v>36249.66667</v>
      </c>
      <c r="B3367" s="1">
        <f>IFERROR(__xludf.DUMMYFUNCTION("""COMPUTED_VALUE"""),1310.17)</f>
        <v>1310.17</v>
      </c>
      <c r="C3367" s="1">
        <f>IFERROR(__xludf.DUMMYFUNCTION("""COMPUTED_VALUE"""),1310.8)</f>
        <v>1310.8</v>
      </c>
      <c r="D3367" s="1">
        <f>IFERROR(__xludf.DUMMYFUNCTION("""COMPUTED_VALUE"""),1295.53)</f>
        <v>1295.53</v>
      </c>
      <c r="E3367" s="1">
        <f>IFERROR(__xludf.DUMMYFUNCTION("""COMPUTED_VALUE"""),1300.75)</f>
        <v>1300.75</v>
      </c>
      <c r="F3367" s="1">
        <f>IFERROR(__xludf.DUMMYFUNCTION("""COMPUTED_VALUE"""),1.13906248E8)</f>
        <v>113906248</v>
      </c>
    </row>
    <row r="3368">
      <c r="A3368" s="2">
        <f>IFERROR(__xludf.DUMMYFUNCTION("""COMPUTED_VALUE"""),36250.666666666664)</f>
        <v>36250.66667</v>
      </c>
      <c r="B3368" s="1">
        <f>IFERROR(__xludf.DUMMYFUNCTION("""COMPUTED_VALUE"""),1300.75)</f>
        <v>1300.75</v>
      </c>
      <c r="C3368" s="1">
        <f>IFERROR(__xludf.DUMMYFUNCTION("""COMPUTED_VALUE"""),1313.53)</f>
        <v>1313.53</v>
      </c>
      <c r="D3368" s="1">
        <f>IFERROR(__xludf.DUMMYFUNCTION("""COMPUTED_VALUE"""),1285.75)</f>
        <v>1285.75</v>
      </c>
      <c r="E3368" s="1">
        <f>IFERROR(__xludf.DUMMYFUNCTION("""COMPUTED_VALUE"""),1286.37)</f>
        <v>1286.37</v>
      </c>
      <c r="F3368" s="1">
        <f>IFERROR(__xludf.DUMMYFUNCTION("""COMPUTED_VALUE"""),1.44421872E8)</f>
        <v>144421872</v>
      </c>
    </row>
    <row r="3369">
      <c r="A3369" s="2">
        <f>IFERROR(__xludf.DUMMYFUNCTION("""COMPUTED_VALUE"""),36251.666666666664)</f>
        <v>36251.66667</v>
      </c>
      <c r="B3369" s="1">
        <f>IFERROR(__xludf.DUMMYFUNCTION("""COMPUTED_VALUE"""),1286.37)</f>
        <v>1286.37</v>
      </c>
      <c r="C3369" s="1">
        <f>IFERROR(__xludf.DUMMYFUNCTION("""COMPUTED_VALUE"""),1294.44)</f>
        <v>1294.44</v>
      </c>
      <c r="D3369" s="1">
        <f>IFERROR(__xludf.DUMMYFUNCTION("""COMPUTED_VALUE"""),1282.55)</f>
        <v>1282.55</v>
      </c>
      <c r="E3369" s="1">
        <f>IFERROR(__xludf.DUMMYFUNCTION("""COMPUTED_VALUE"""),1293.72)</f>
        <v>1293.72</v>
      </c>
      <c r="F3369" s="1">
        <f>IFERROR(__xludf.DUMMYFUNCTION("""COMPUTED_VALUE"""),1.09843752E8)</f>
        <v>109843752</v>
      </c>
    </row>
    <row r="3370">
      <c r="A3370" s="2">
        <f>IFERROR(__xludf.DUMMYFUNCTION("""COMPUTED_VALUE"""),36255.666666666664)</f>
        <v>36255.66667</v>
      </c>
      <c r="B3370" s="1">
        <f>IFERROR(__xludf.DUMMYFUNCTION("""COMPUTED_VALUE"""),1317.64)</f>
        <v>1317.64</v>
      </c>
      <c r="C3370" s="1">
        <f>IFERROR(__xludf.DUMMYFUNCTION("""COMPUTED_VALUE"""),1321.12)</f>
        <v>1321.12</v>
      </c>
      <c r="D3370" s="1">
        <f>IFERROR(__xludf.DUMMYFUNCTION("""COMPUTED_VALUE"""),1293.72)</f>
        <v>1293.72</v>
      </c>
      <c r="E3370" s="1">
        <f>IFERROR(__xludf.DUMMYFUNCTION("""COMPUTED_VALUE"""),1321.12)</f>
        <v>1321.12</v>
      </c>
      <c r="F3370" s="1">
        <f>IFERROR(__xludf.DUMMYFUNCTION("""COMPUTED_VALUE"""),1.08718752E8)</f>
        <v>108718752</v>
      </c>
    </row>
    <row r="3371">
      <c r="A3371" s="2">
        <f>IFERROR(__xludf.DUMMYFUNCTION("""COMPUTED_VALUE"""),36256.666666666664)</f>
        <v>36256.66667</v>
      </c>
      <c r="B3371" s="1">
        <f>IFERROR(__xludf.DUMMYFUNCTION("""COMPUTED_VALUE"""),1324.49)</f>
        <v>1324.49</v>
      </c>
      <c r="C3371" s="1">
        <f>IFERROR(__xludf.DUMMYFUNCTION("""COMPUTED_VALUE"""),1326.76)</f>
        <v>1326.76</v>
      </c>
      <c r="D3371" s="1">
        <f>IFERROR(__xludf.DUMMYFUNCTION("""COMPUTED_VALUE"""),1311.07)</f>
        <v>1311.07</v>
      </c>
      <c r="E3371" s="1">
        <f>IFERROR(__xludf.DUMMYFUNCTION("""COMPUTED_VALUE"""),1317.89)</f>
        <v>1317.89</v>
      </c>
      <c r="F3371" s="1">
        <f>IFERROR(__xludf.DUMMYFUNCTION("""COMPUTED_VALUE"""),1.23046872E8)</f>
        <v>123046872</v>
      </c>
    </row>
    <row r="3372">
      <c r="A3372" s="2">
        <f>IFERROR(__xludf.DUMMYFUNCTION("""COMPUTED_VALUE"""),36257.666666666664)</f>
        <v>36257.66667</v>
      </c>
      <c r="B3372" s="1">
        <f>IFERROR(__xludf.DUMMYFUNCTION("""COMPUTED_VALUE"""),1317.89)</f>
        <v>1317.89</v>
      </c>
      <c r="C3372" s="1">
        <f>IFERROR(__xludf.DUMMYFUNCTION("""COMPUTED_VALUE"""),1329.65)</f>
        <v>1329.65</v>
      </c>
      <c r="D3372" s="1">
        <f>IFERROR(__xludf.DUMMYFUNCTION("""COMPUTED_VALUE"""),1312.56)</f>
        <v>1312.56</v>
      </c>
      <c r="E3372" s="1">
        <f>IFERROR(__xludf.DUMMYFUNCTION("""COMPUTED_VALUE"""),1326.89)</f>
        <v>1326.89</v>
      </c>
      <c r="F3372" s="1">
        <f>IFERROR(__xludf.DUMMYFUNCTION("""COMPUTED_VALUE"""),1.27562496E8)</f>
        <v>127562496</v>
      </c>
    </row>
    <row r="3373">
      <c r="A3373" s="2">
        <f>IFERROR(__xludf.DUMMYFUNCTION("""COMPUTED_VALUE"""),36258.666666666664)</f>
        <v>36258.66667</v>
      </c>
      <c r="B3373" s="1">
        <f>IFERROR(__xludf.DUMMYFUNCTION("""COMPUTED_VALUE"""),1326.89)</f>
        <v>1326.89</v>
      </c>
      <c r="C3373" s="1">
        <f>IFERROR(__xludf.DUMMYFUNCTION("""COMPUTED_VALUE"""),1344.08)</f>
        <v>1344.08</v>
      </c>
      <c r="D3373" s="1">
        <f>IFERROR(__xludf.DUMMYFUNCTION("""COMPUTED_VALUE"""),1321.61)</f>
        <v>1321.61</v>
      </c>
      <c r="E3373" s="1">
        <f>IFERROR(__xludf.DUMMYFUNCTION("""COMPUTED_VALUE"""),1343.98)</f>
        <v>1343.98</v>
      </c>
      <c r="F3373" s="1">
        <f>IFERROR(__xludf.DUMMYFUNCTION("""COMPUTED_VALUE"""),1.32890624E8)</f>
        <v>132890624</v>
      </c>
    </row>
    <row r="3374">
      <c r="A3374" s="2">
        <f>IFERROR(__xludf.DUMMYFUNCTION("""COMPUTED_VALUE"""),36259.666666666664)</f>
        <v>36259.66667</v>
      </c>
      <c r="B3374" s="1">
        <f>IFERROR(__xludf.DUMMYFUNCTION("""COMPUTED_VALUE"""),1343.98)</f>
        <v>1343.98</v>
      </c>
      <c r="C3374" s="1">
        <f>IFERROR(__xludf.DUMMYFUNCTION("""COMPUTED_VALUE"""),1351.18)</f>
        <v>1351.18</v>
      </c>
      <c r="D3374" s="1">
        <f>IFERROR(__xludf.DUMMYFUNCTION("""COMPUTED_VALUE"""),1335.23)</f>
        <v>1335.23</v>
      </c>
      <c r="E3374" s="1">
        <f>IFERROR(__xludf.DUMMYFUNCTION("""COMPUTED_VALUE"""),1348.35)</f>
        <v>1348.35</v>
      </c>
      <c r="F3374" s="1">
        <f>IFERROR(__xludf.DUMMYFUNCTION("""COMPUTED_VALUE"""),1.11890624E8)</f>
        <v>111890624</v>
      </c>
    </row>
    <row r="3375">
      <c r="A3375" s="2">
        <f>IFERROR(__xludf.DUMMYFUNCTION("""COMPUTED_VALUE"""),36262.666666666664)</f>
        <v>36262.66667</v>
      </c>
      <c r="B3375" s="1">
        <f>IFERROR(__xludf.DUMMYFUNCTION("""COMPUTED_VALUE"""),1348.35)</f>
        <v>1348.35</v>
      </c>
      <c r="C3375" s="1">
        <f>IFERROR(__xludf.DUMMYFUNCTION("""COMPUTED_VALUE"""),1358.69)</f>
        <v>1358.69</v>
      </c>
      <c r="D3375" s="1">
        <f>IFERROR(__xludf.DUMMYFUNCTION("""COMPUTED_VALUE"""),1333.07)</f>
        <v>1333.07</v>
      </c>
      <c r="E3375" s="1">
        <f>IFERROR(__xludf.DUMMYFUNCTION("""COMPUTED_VALUE"""),1358.63)</f>
        <v>1358.63</v>
      </c>
      <c r="F3375" s="1">
        <f>IFERROR(__xludf.DUMMYFUNCTION("""COMPUTED_VALUE"""),1.26687504E8)</f>
        <v>126687504</v>
      </c>
    </row>
    <row r="3376">
      <c r="A3376" s="2">
        <f>IFERROR(__xludf.DUMMYFUNCTION("""COMPUTED_VALUE"""),36263.666666666664)</f>
        <v>36263.66667</v>
      </c>
      <c r="B3376" s="1">
        <f>IFERROR(__xludf.DUMMYFUNCTION("""COMPUTED_VALUE"""),1358.64)</f>
        <v>1358.64</v>
      </c>
      <c r="C3376" s="1">
        <f>IFERROR(__xludf.DUMMYFUNCTION("""COMPUTED_VALUE"""),1362.38)</f>
        <v>1362.38</v>
      </c>
      <c r="D3376" s="1">
        <f>IFERROR(__xludf.DUMMYFUNCTION("""COMPUTED_VALUE"""),1344.03)</f>
        <v>1344.03</v>
      </c>
      <c r="E3376" s="1">
        <f>IFERROR(__xludf.DUMMYFUNCTION("""COMPUTED_VALUE"""),1349.82)</f>
        <v>1349.82</v>
      </c>
      <c r="F3376" s="1">
        <f>IFERROR(__xludf.DUMMYFUNCTION("""COMPUTED_VALUE"""),1.26703128E8)</f>
        <v>126703128</v>
      </c>
    </row>
    <row r="3377">
      <c r="A3377" s="2">
        <f>IFERROR(__xludf.DUMMYFUNCTION("""COMPUTED_VALUE"""),36264.666666666664)</f>
        <v>36264.66667</v>
      </c>
      <c r="B3377" s="1">
        <f>IFERROR(__xludf.DUMMYFUNCTION("""COMPUTED_VALUE"""),1349.82)</f>
        <v>1349.82</v>
      </c>
      <c r="C3377" s="1">
        <f>IFERROR(__xludf.DUMMYFUNCTION("""COMPUTED_VALUE"""),1357.08)</f>
        <v>1357.08</v>
      </c>
      <c r="D3377" s="1">
        <f>IFERROR(__xludf.DUMMYFUNCTION("""COMPUTED_VALUE"""),1326.41)</f>
        <v>1326.41</v>
      </c>
      <c r="E3377" s="1">
        <f>IFERROR(__xludf.DUMMYFUNCTION("""COMPUTED_VALUE"""),1328.44)</f>
        <v>1328.44</v>
      </c>
      <c r="F3377" s="1">
        <f>IFERROR(__xludf.DUMMYFUNCTION("""COMPUTED_VALUE"""),1.4875E8)</f>
        <v>148750000</v>
      </c>
    </row>
    <row r="3378">
      <c r="A3378" s="2">
        <f>IFERROR(__xludf.DUMMYFUNCTION("""COMPUTED_VALUE"""),36265.666666666664)</f>
        <v>36265.66667</v>
      </c>
      <c r="B3378" s="1">
        <f>IFERROR(__xludf.DUMMYFUNCTION("""COMPUTED_VALUE"""),1328.44)</f>
        <v>1328.44</v>
      </c>
      <c r="C3378" s="1">
        <f>IFERROR(__xludf.DUMMYFUNCTION("""COMPUTED_VALUE"""),1333.6)</f>
        <v>1333.6</v>
      </c>
      <c r="D3378" s="1">
        <f>IFERROR(__xludf.DUMMYFUNCTION("""COMPUTED_VALUE"""),1308.38)</f>
        <v>1308.38</v>
      </c>
      <c r="E3378" s="1">
        <f>IFERROR(__xludf.DUMMYFUNCTION("""COMPUTED_VALUE"""),1322.85)</f>
        <v>1322.85</v>
      </c>
      <c r="F3378" s="1">
        <f>IFERROR(__xludf.DUMMYFUNCTION("""COMPUTED_VALUE"""),1.70281248E8)</f>
        <v>170281248</v>
      </c>
    </row>
    <row r="3379">
      <c r="A3379" s="2">
        <f>IFERROR(__xludf.DUMMYFUNCTION("""COMPUTED_VALUE"""),36266.666666666664)</f>
        <v>36266.66667</v>
      </c>
      <c r="B3379" s="1">
        <f>IFERROR(__xludf.DUMMYFUNCTION("""COMPUTED_VALUE"""),1322.86)</f>
        <v>1322.86</v>
      </c>
      <c r="C3379" s="1">
        <f>IFERROR(__xludf.DUMMYFUNCTION("""COMPUTED_VALUE"""),1325.12)</f>
        <v>1325.12</v>
      </c>
      <c r="D3379" s="1">
        <f>IFERROR(__xludf.DUMMYFUNCTION("""COMPUTED_VALUE"""),1311.1)</f>
        <v>1311.1</v>
      </c>
      <c r="E3379" s="1">
        <f>IFERROR(__xludf.DUMMYFUNCTION("""COMPUTED_VALUE"""),1319.0)</f>
        <v>1319</v>
      </c>
      <c r="F3379" s="1">
        <f>IFERROR(__xludf.DUMMYFUNCTION("""COMPUTED_VALUE"""),1.56609376E8)</f>
        <v>156609376</v>
      </c>
    </row>
    <row r="3380">
      <c r="A3380" s="2">
        <f>IFERROR(__xludf.DUMMYFUNCTION("""COMPUTED_VALUE"""),36269.666666666664)</f>
        <v>36269.66667</v>
      </c>
      <c r="B3380" s="1">
        <f>IFERROR(__xludf.DUMMYFUNCTION("""COMPUTED_VALUE"""),1319.0)</f>
        <v>1319</v>
      </c>
      <c r="C3380" s="1">
        <f>IFERROR(__xludf.DUMMYFUNCTION("""COMPUTED_VALUE"""),1340.02)</f>
        <v>1340.02</v>
      </c>
      <c r="D3380" s="1">
        <f>IFERROR(__xludf.DUMMYFUNCTION("""COMPUTED_VALUE"""),1284.59)</f>
        <v>1284.59</v>
      </c>
      <c r="E3380" s="1">
        <f>IFERROR(__xludf.DUMMYFUNCTION("""COMPUTED_VALUE"""),1289.48)</f>
        <v>1289.48</v>
      </c>
      <c r="F3380" s="1">
        <f>IFERROR(__xludf.DUMMYFUNCTION("""COMPUTED_VALUE"""),1.8975E8)</f>
        <v>189750000</v>
      </c>
    </row>
    <row r="3381">
      <c r="A3381" s="2">
        <f>IFERROR(__xludf.DUMMYFUNCTION("""COMPUTED_VALUE"""),36270.666666666664)</f>
        <v>36270.66667</v>
      </c>
      <c r="B3381" s="1">
        <f>IFERROR(__xludf.DUMMYFUNCTION("""COMPUTED_VALUE"""),1289.48)</f>
        <v>1289.48</v>
      </c>
      <c r="C3381" s="1">
        <f>IFERROR(__xludf.DUMMYFUNCTION("""COMPUTED_VALUE"""),1306.25)</f>
        <v>1306.25</v>
      </c>
      <c r="D3381" s="1">
        <f>IFERROR(__xludf.DUMMYFUNCTION("""COMPUTED_VALUE"""),1288.28)</f>
        <v>1288.28</v>
      </c>
      <c r="E3381" s="1">
        <f>IFERROR(__xludf.DUMMYFUNCTION("""COMPUTED_VALUE"""),1306.17)</f>
        <v>1306.17</v>
      </c>
      <c r="F3381" s="1">
        <f>IFERROR(__xludf.DUMMYFUNCTION("""COMPUTED_VALUE"""),1.53968752E8)</f>
        <v>153968752</v>
      </c>
    </row>
    <row r="3382">
      <c r="A3382" s="2">
        <f>IFERROR(__xludf.DUMMYFUNCTION("""COMPUTED_VALUE"""),36271.666666666664)</f>
        <v>36271.66667</v>
      </c>
      <c r="B3382" s="1">
        <f>IFERROR(__xludf.DUMMYFUNCTION("""COMPUTED_VALUE"""),1306.17)</f>
        <v>1306.17</v>
      </c>
      <c r="C3382" s="1">
        <f>IFERROR(__xludf.DUMMYFUNCTION("""COMPUTED_VALUE"""),1336.12)</f>
        <v>1336.12</v>
      </c>
      <c r="D3382" s="1">
        <f>IFERROR(__xludf.DUMMYFUNCTION("""COMPUTED_VALUE"""),1301.83)</f>
        <v>1301.83</v>
      </c>
      <c r="E3382" s="1">
        <f>IFERROR(__xludf.DUMMYFUNCTION("""COMPUTED_VALUE"""),1336.12)</f>
        <v>1336.12</v>
      </c>
      <c r="F3382" s="1">
        <f>IFERROR(__xludf.DUMMYFUNCTION("""COMPUTED_VALUE"""),1.4375E8)</f>
        <v>143750000</v>
      </c>
    </row>
    <row r="3383">
      <c r="A3383" s="2">
        <f>IFERROR(__xludf.DUMMYFUNCTION("""COMPUTED_VALUE"""),36272.666666666664)</f>
        <v>36272.66667</v>
      </c>
      <c r="B3383" s="1">
        <f>IFERROR(__xludf.DUMMYFUNCTION("""COMPUTED_VALUE"""),1336.12)</f>
        <v>1336.12</v>
      </c>
      <c r="C3383" s="1">
        <f>IFERROR(__xludf.DUMMYFUNCTION("""COMPUTED_VALUE"""),1358.96)</f>
        <v>1358.96</v>
      </c>
      <c r="D3383" s="1">
        <f>IFERROR(__xludf.DUMMYFUNCTION("""COMPUTED_VALUE"""),1336.12)</f>
        <v>1336.12</v>
      </c>
      <c r="E3383" s="1">
        <f>IFERROR(__xludf.DUMMYFUNCTION("""COMPUTED_VALUE"""),1358.83)</f>
        <v>1358.83</v>
      </c>
      <c r="F3383" s="1">
        <f>IFERROR(__xludf.DUMMYFUNCTION("""COMPUTED_VALUE"""),1.44984368E8)</f>
        <v>144984368</v>
      </c>
    </row>
    <row r="3384">
      <c r="A3384" s="2">
        <f>IFERROR(__xludf.DUMMYFUNCTION("""COMPUTED_VALUE"""),36273.666666666664)</f>
        <v>36273.66667</v>
      </c>
      <c r="B3384" s="1">
        <f>IFERROR(__xludf.DUMMYFUNCTION("""COMPUTED_VALUE"""),1358.83)</f>
        <v>1358.83</v>
      </c>
      <c r="C3384" s="1">
        <f>IFERROR(__xludf.DUMMYFUNCTION("""COMPUTED_VALUE"""),1363.7)</f>
        <v>1363.7</v>
      </c>
      <c r="D3384" s="1">
        <f>IFERROR(__xludf.DUMMYFUNCTION("""COMPUTED_VALUE"""),1348.47)</f>
        <v>1348.47</v>
      </c>
      <c r="E3384" s="1">
        <f>IFERROR(__xludf.DUMMYFUNCTION("""COMPUTED_VALUE"""),1356.85)</f>
        <v>1356.85</v>
      </c>
      <c r="F3384" s="1">
        <f>IFERROR(__xludf.DUMMYFUNCTION("""COMPUTED_VALUE"""),1.16390624E8)</f>
        <v>116390624</v>
      </c>
    </row>
    <row r="3385">
      <c r="A3385" s="2">
        <f>IFERROR(__xludf.DUMMYFUNCTION("""COMPUTED_VALUE"""),36276.666666666664)</f>
        <v>36276.66667</v>
      </c>
      <c r="B3385" s="1">
        <f>IFERROR(__xludf.DUMMYFUNCTION("""COMPUTED_VALUE"""),1356.85)</f>
        <v>1356.85</v>
      </c>
      <c r="C3385" s="1">
        <f>IFERROR(__xludf.DUMMYFUNCTION("""COMPUTED_VALUE"""),1363.58)</f>
        <v>1363.58</v>
      </c>
      <c r="D3385" s="1">
        <f>IFERROR(__xludf.DUMMYFUNCTION("""COMPUTED_VALUE"""),1353.76)</f>
        <v>1353.76</v>
      </c>
      <c r="E3385" s="1">
        <f>IFERROR(__xludf.DUMMYFUNCTION("""COMPUTED_VALUE"""),1360.04)</f>
        <v>1360.04</v>
      </c>
      <c r="F3385" s="1">
        <f>IFERROR(__xludf.DUMMYFUNCTION("""COMPUTED_VALUE"""),1.1125E8)</f>
        <v>111250000</v>
      </c>
    </row>
    <row r="3386">
      <c r="A3386" s="2">
        <f>IFERROR(__xludf.DUMMYFUNCTION("""COMPUTED_VALUE"""),36277.666666666664)</f>
        <v>36277.66667</v>
      </c>
      <c r="B3386" s="1">
        <f>IFERROR(__xludf.DUMMYFUNCTION("""COMPUTED_VALUE"""),1360.04)</f>
        <v>1360.04</v>
      </c>
      <c r="C3386" s="1">
        <f>IFERROR(__xludf.DUMMYFUNCTION("""COMPUTED_VALUE"""),1371.67)</f>
        <v>1371.67</v>
      </c>
      <c r="D3386" s="1">
        <f>IFERROR(__xludf.DUMMYFUNCTION("""COMPUTED_VALUE"""),1356.61)</f>
        <v>1356.61</v>
      </c>
      <c r="E3386" s="1">
        <f>IFERROR(__xludf.DUMMYFUNCTION("""COMPUTED_VALUE"""),1362.8)</f>
        <v>1362.8</v>
      </c>
      <c r="F3386" s="1">
        <f>IFERROR(__xludf.DUMMYFUNCTION("""COMPUTED_VALUE"""),1.39328128E8)</f>
        <v>139328128</v>
      </c>
    </row>
    <row r="3387">
      <c r="A3387" s="2">
        <f>IFERROR(__xludf.DUMMYFUNCTION("""COMPUTED_VALUE"""),36278.666666666664)</f>
        <v>36278.66667</v>
      </c>
      <c r="B3387" s="1">
        <f>IFERROR(__xludf.DUMMYFUNCTION("""COMPUTED_VALUE"""),1362.8)</f>
        <v>1362.8</v>
      </c>
      <c r="C3387" s="1">
        <f>IFERROR(__xludf.DUMMYFUNCTION("""COMPUTED_VALUE"""),1368.76)</f>
        <v>1368.76</v>
      </c>
      <c r="D3387" s="1">
        <f>IFERROR(__xludf.DUMMYFUNCTION("""COMPUTED_VALUE"""),1348.38)</f>
        <v>1348.38</v>
      </c>
      <c r="E3387" s="1">
        <f>IFERROR(__xludf.DUMMYFUNCTION("""COMPUTED_VALUE"""),1350.91)</f>
        <v>1350.91</v>
      </c>
      <c r="F3387" s="1">
        <f>IFERROR(__xludf.DUMMYFUNCTION("""COMPUTED_VALUE"""),1.4870312E8)</f>
        <v>148703120</v>
      </c>
    </row>
    <row r="3388">
      <c r="A3388" s="2">
        <f>IFERROR(__xludf.DUMMYFUNCTION("""COMPUTED_VALUE"""),36279.666666666664)</f>
        <v>36279.66667</v>
      </c>
      <c r="B3388" s="1">
        <f>IFERROR(__xludf.DUMMYFUNCTION("""COMPUTED_VALUE"""),1350.91)</f>
        <v>1350.91</v>
      </c>
      <c r="C3388" s="1">
        <f>IFERROR(__xludf.DUMMYFUNCTION("""COMPUTED_VALUE"""),1356.86)</f>
        <v>1356.86</v>
      </c>
      <c r="D3388" s="1">
        <f>IFERROR(__xludf.DUMMYFUNCTION("""COMPUTED_VALUE"""),1336.71)</f>
        <v>1336.71</v>
      </c>
      <c r="E3388" s="1">
        <f>IFERROR(__xludf.DUMMYFUNCTION("""COMPUTED_VALUE"""),1342.83)</f>
        <v>1342.83</v>
      </c>
      <c r="F3388" s="1">
        <f>IFERROR(__xludf.DUMMYFUNCTION("""COMPUTED_VALUE"""),1.56812496E8)</f>
        <v>156812496</v>
      </c>
    </row>
    <row r="3389">
      <c r="A3389" s="2">
        <f>IFERROR(__xludf.DUMMYFUNCTION("""COMPUTED_VALUE"""),36280.666666666664)</f>
        <v>36280.66667</v>
      </c>
      <c r="B3389" s="1">
        <f>IFERROR(__xludf.DUMMYFUNCTION("""COMPUTED_VALUE"""),1342.83)</f>
        <v>1342.83</v>
      </c>
      <c r="C3389" s="1">
        <f>IFERROR(__xludf.DUMMYFUNCTION("""COMPUTED_VALUE"""),1351.83)</f>
        <v>1351.83</v>
      </c>
      <c r="D3389" s="1">
        <f>IFERROR(__xludf.DUMMYFUNCTION("""COMPUTED_VALUE"""),1314.59)</f>
        <v>1314.59</v>
      </c>
      <c r="E3389" s="1">
        <f>IFERROR(__xludf.DUMMYFUNCTION("""COMPUTED_VALUE"""),1335.18)</f>
        <v>1335.18</v>
      </c>
      <c r="F3389" s="1">
        <f>IFERROR(__xludf.DUMMYFUNCTION("""COMPUTED_VALUE"""),1.46328128E8)</f>
        <v>146328128</v>
      </c>
    </row>
    <row r="3390">
      <c r="A3390" s="2">
        <f>IFERROR(__xludf.DUMMYFUNCTION("""COMPUTED_VALUE"""),36283.666666666664)</f>
        <v>36283.66667</v>
      </c>
      <c r="B3390" s="1">
        <f>IFERROR(__xludf.DUMMYFUNCTION("""COMPUTED_VALUE"""),1335.18)</f>
        <v>1335.18</v>
      </c>
      <c r="C3390" s="1">
        <f>IFERROR(__xludf.DUMMYFUNCTION("""COMPUTED_VALUE"""),1354.63)</f>
        <v>1354.63</v>
      </c>
      <c r="D3390" s="1">
        <f>IFERROR(__xludf.DUMMYFUNCTION("""COMPUTED_VALUE"""),1329.83)</f>
        <v>1329.83</v>
      </c>
      <c r="E3390" s="1">
        <f>IFERROR(__xludf.DUMMYFUNCTION("""COMPUTED_VALUE"""),1354.63)</f>
        <v>1354.63</v>
      </c>
      <c r="F3390" s="1">
        <f>IFERROR(__xludf.DUMMYFUNCTION("""COMPUTED_VALUE"""),1.26781248E8)</f>
        <v>126781248</v>
      </c>
    </row>
    <row r="3391">
      <c r="A3391" s="2">
        <f>IFERROR(__xludf.DUMMYFUNCTION("""COMPUTED_VALUE"""),36284.666666666664)</f>
        <v>36284.66667</v>
      </c>
      <c r="B3391" s="1">
        <f>IFERROR(__xludf.DUMMYFUNCTION("""COMPUTED_VALUE"""),1354.63)</f>
        <v>1354.63</v>
      </c>
      <c r="C3391" s="1">
        <f>IFERROR(__xludf.DUMMYFUNCTION("""COMPUTED_VALUE"""),1354.63)</f>
        <v>1354.63</v>
      </c>
      <c r="D3391" s="1">
        <f>IFERROR(__xludf.DUMMYFUNCTION("""COMPUTED_VALUE"""),1330.59)</f>
        <v>1330.59</v>
      </c>
      <c r="E3391" s="1">
        <f>IFERROR(__xludf.DUMMYFUNCTION("""COMPUTED_VALUE"""),1332.0)</f>
        <v>1332</v>
      </c>
      <c r="F3391" s="1">
        <f>IFERROR(__xludf.DUMMYFUNCTION("""COMPUTED_VALUE"""),1.4579688E8)</f>
        <v>145796880</v>
      </c>
    </row>
    <row r="3392">
      <c r="A3392" s="2">
        <f>IFERROR(__xludf.DUMMYFUNCTION("""COMPUTED_VALUE"""),36285.666666666664)</f>
        <v>36285.66667</v>
      </c>
      <c r="B3392" s="1">
        <f>IFERROR(__xludf.DUMMYFUNCTION("""COMPUTED_VALUE"""),1332.0)</f>
        <v>1332</v>
      </c>
      <c r="C3392" s="1">
        <f>IFERROR(__xludf.DUMMYFUNCTION("""COMPUTED_VALUE"""),1347.32)</f>
        <v>1347.32</v>
      </c>
      <c r="D3392" s="1">
        <f>IFERROR(__xludf.DUMMYFUNCTION("""COMPUTED_VALUE"""),1317.41)</f>
        <v>1317.41</v>
      </c>
      <c r="E3392" s="1">
        <f>IFERROR(__xludf.DUMMYFUNCTION("""COMPUTED_VALUE"""),1347.31)</f>
        <v>1347.31</v>
      </c>
      <c r="F3392" s="1">
        <f>IFERROR(__xludf.DUMMYFUNCTION("""COMPUTED_VALUE"""),1.42734368E8)</f>
        <v>142734368</v>
      </c>
    </row>
    <row r="3393">
      <c r="A3393" s="2">
        <f>IFERROR(__xludf.DUMMYFUNCTION("""COMPUTED_VALUE"""),36286.666666666664)</f>
        <v>36286.66667</v>
      </c>
      <c r="B3393" s="1">
        <f>IFERROR(__xludf.DUMMYFUNCTION("""COMPUTED_VALUE"""),1347.31)</f>
        <v>1347.31</v>
      </c>
      <c r="C3393" s="1">
        <f>IFERROR(__xludf.DUMMYFUNCTION("""COMPUTED_VALUE"""),1348.35)</f>
        <v>1348.35</v>
      </c>
      <c r="D3393" s="1">
        <f>IFERROR(__xludf.DUMMYFUNCTION("""COMPUTED_VALUE"""),1322.56)</f>
        <v>1322.56</v>
      </c>
      <c r="E3393" s="1">
        <f>IFERROR(__xludf.DUMMYFUNCTION("""COMPUTED_VALUE"""),1332.05)</f>
        <v>1332.05</v>
      </c>
      <c r="F3393" s="1">
        <f>IFERROR(__xludf.DUMMYFUNCTION("""COMPUTED_VALUE"""),1.36781248E8)</f>
        <v>136781248</v>
      </c>
    </row>
    <row r="3394">
      <c r="A3394" s="2">
        <f>IFERROR(__xludf.DUMMYFUNCTION("""COMPUTED_VALUE"""),36287.666666666664)</f>
        <v>36287.66667</v>
      </c>
      <c r="B3394" s="1">
        <f>IFERROR(__xludf.DUMMYFUNCTION("""COMPUTED_VALUE"""),1332.05)</f>
        <v>1332.05</v>
      </c>
      <c r="C3394" s="1">
        <f>IFERROR(__xludf.DUMMYFUNCTION("""COMPUTED_VALUE"""),1345.99)</f>
        <v>1345.99</v>
      </c>
      <c r="D3394" s="1">
        <f>IFERROR(__xludf.DUMMYFUNCTION("""COMPUTED_VALUE"""),1332.05)</f>
        <v>1332.05</v>
      </c>
      <c r="E3394" s="1">
        <f>IFERROR(__xludf.DUMMYFUNCTION("""COMPUTED_VALUE"""),1345.0)</f>
        <v>1345</v>
      </c>
      <c r="F3394" s="1">
        <f>IFERROR(__xludf.DUMMYFUNCTION("""COMPUTED_VALUE"""),1.27328128E8)</f>
        <v>127328128</v>
      </c>
    </row>
    <row r="3395">
      <c r="A3395" s="2">
        <f>IFERROR(__xludf.DUMMYFUNCTION("""COMPUTED_VALUE"""),36290.666666666664)</f>
        <v>36290.66667</v>
      </c>
      <c r="B3395" s="1">
        <f>IFERROR(__xludf.DUMMYFUNCTION("""COMPUTED_VALUE"""),1345.0)</f>
        <v>1345</v>
      </c>
      <c r="C3395" s="1">
        <f>IFERROR(__xludf.DUMMYFUNCTION("""COMPUTED_VALUE"""),1352.01)</f>
        <v>1352.01</v>
      </c>
      <c r="D3395" s="1">
        <f>IFERROR(__xludf.DUMMYFUNCTION("""COMPUTED_VALUE"""),1334.0)</f>
        <v>1334</v>
      </c>
      <c r="E3395" s="1">
        <f>IFERROR(__xludf.DUMMYFUNCTION("""COMPUTED_VALUE"""),1340.3)</f>
        <v>1340.3</v>
      </c>
      <c r="F3395" s="1">
        <f>IFERROR(__xludf.DUMMYFUNCTION("""COMPUTED_VALUE"""),1.20828128E8)</f>
        <v>120828128</v>
      </c>
    </row>
    <row r="3396">
      <c r="A3396" s="2">
        <f>IFERROR(__xludf.DUMMYFUNCTION("""COMPUTED_VALUE"""),36291.666666666664)</f>
        <v>36291.66667</v>
      </c>
      <c r="B3396" s="1">
        <f>IFERROR(__xludf.DUMMYFUNCTION("""COMPUTED_VALUE"""),1355.61)</f>
        <v>1355.61</v>
      </c>
      <c r="C3396" s="1">
        <f>IFERROR(__xludf.DUMMYFUNCTION("""COMPUTED_VALUE"""),1360.03)</f>
        <v>1360.03</v>
      </c>
      <c r="D3396" s="1">
        <f>IFERROR(__xludf.DUMMYFUNCTION("""COMPUTED_VALUE"""),1340.3)</f>
        <v>1340.3</v>
      </c>
      <c r="E3396" s="1">
        <f>IFERROR(__xludf.DUMMYFUNCTION("""COMPUTED_VALUE"""),1355.61)</f>
        <v>1355.61</v>
      </c>
      <c r="F3396" s="1">
        <f>IFERROR(__xludf.DUMMYFUNCTION("""COMPUTED_VALUE"""),1.30640624E8)</f>
        <v>130640624</v>
      </c>
    </row>
    <row r="3397">
      <c r="A3397" s="2">
        <f>IFERROR(__xludf.DUMMYFUNCTION("""COMPUTED_VALUE"""),36292.666666666664)</f>
        <v>36292.66667</v>
      </c>
      <c r="B3397" s="1">
        <f>IFERROR(__xludf.DUMMYFUNCTION("""COMPUTED_VALUE"""),1355.61)</f>
        <v>1355.61</v>
      </c>
      <c r="C3397" s="1">
        <f>IFERROR(__xludf.DUMMYFUNCTION("""COMPUTED_VALUE"""),1366.95)</f>
        <v>1366.95</v>
      </c>
      <c r="D3397" s="1">
        <f>IFERROR(__xludf.DUMMYFUNCTION("""COMPUTED_VALUE"""),1332.95)</f>
        <v>1332.95</v>
      </c>
      <c r="E3397" s="1">
        <f>IFERROR(__xludf.DUMMYFUNCTION("""COMPUTED_VALUE"""),1364.0)</f>
        <v>1364</v>
      </c>
      <c r="F3397" s="1">
        <f>IFERROR(__xludf.DUMMYFUNCTION("""COMPUTED_VALUE"""),1.28984376E8)</f>
        <v>128984376</v>
      </c>
    </row>
    <row r="3398">
      <c r="A3398" s="2">
        <f>IFERROR(__xludf.DUMMYFUNCTION("""COMPUTED_VALUE"""),36293.666666666664)</f>
        <v>36293.66667</v>
      </c>
      <c r="B3398" s="1">
        <f>IFERROR(__xludf.DUMMYFUNCTION("""COMPUTED_VALUE"""),1364.0)</f>
        <v>1364</v>
      </c>
      <c r="C3398" s="1">
        <f>IFERROR(__xludf.DUMMYFUNCTION("""COMPUTED_VALUE"""),1375.98)</f>
        <v>1375.98</v>
      </c>
      <c r="D3398" s="1">
        <f>IFERROR(__xludf.DUMMYFUNCTION("""COMPUTED_VALUE"""),1364.0)</f>
        <v>1364</v>
      </c>
      <c r="E3398" s="1">
        <f>IFERROR(__xludf.DUMMYFUNCTION("""COMPUTED_VALUE"""),1367.56)</f>
        <v>1367.56</v>
      </c>
      <c r="F3398" s="1">
        <f>IFERROR(__xludf.DUMMYFUNCTION("""COMPUTED_VALUE"""),1.24515624E8)</f>
        <v>124515624</v>
      </c>
    </row>
    <row r="3399">
      <c r="A3399" s="2">
        <f>IFERROR(__xludf.DUMMYFUNCTION("""COMPUTED_VALUE"""),36294.666666666664)</f>
        <v>36294.66667</v>
      </c>
      <c r="B3399" s="1">
        <f>IFERROR(__xludf.DUMMYFUNCTION("""COMPUTED_VALUE"""),1367.56)</f>
        <v>1367.56</v>
      </c>
      <c r="C3399" s="1">
        <f>IFERROR(__xludf.DUMMYFUNCTION("""COMPUTED_VALUE"""),1367.56)</f>
        <v>1367.56</v>
      </c>
      <c r="D3399" s="1">
        <f>IFERROR(__xludf.DUMMYFUNCTION("""COMPUTED_VALUE"""),1332.71)</f>
        <v>1332.71</v>
      </c>
      <c r="E3399" s="1">
        <f>IFERROR(__xludf.DUMMYFUNCTION("""COMPUTED_VALUE"""),1337.8)</f>
        <v>1337.8</v>
      </c>
      <c r="F3399" s="1">
        <f>IFERROR(__xludf.DUMMYFUNCTION("""COMPUTED_VALUE"""),1.13718752E8)</f>
        <v>113718752</v>
      </c>
    </row>
    <row r="3400">
      <c r="A3400" s="2">
        <f>IFERROR(__xludf.DUMMYFUNCTION("""COMPUTED_VALUE"""),36297.666666666664)</f>
        <v>36297.66667</v>
      </c>
      <c r="B3400" s="1">
        <f>IFERROR(__xludf.DUMMYFUNCTION("""COMPUTED_VALUE"""),1337.8)</f>
        <v>1337.8</v>
      </c>
      <c r="C3400" s="1">
        <f>IFERROR(__xludf.DUMMYFUNCTION("""COMPUTED_VALUE"""),1339.84)</f>
        <v>1339.84</v>
      </c>
      <c r="D3400" s="1">
        <f>IFERROR(__xludf.DUMMYFUNCTION("""COMPUTED_VALUE"""),1321.18)</f>
        <v>1321.18</v>
      </c>
      <c r="E3400" s="1">
        <f>IFERROR(__xludf.DUMMYFUNCTION("""COMPUTED_VALUE"""),1339.49)</f>
        <v>1339.49</v>
      </c>
      <c r="F3400" s="1">
        <f>IFERROR(__xludf.DUMMYFUNCTION("""COMPUTED_VALUE"""),1.03984376E8)</f>
        <v>103984376</v>
      </c>
    </row>
    <row r="3401">
      <c r="A3401" s="2">
        <f>IFERROR(__xludf.DUMMYFUNCTION("""COMPUTED_VALUE"""),36298.666666666664)</f>
        <v>36298.66667</v>
      </c>
      <c r="B3401" s="1">
        <f>IFERROR(__xludf.DUMMYFUNCTION("""COMPUTED_VALUE"""),1339.49)</f>
        <v>1339.49</v>
      </c>
      <c r="C3401" s="1">
        <f>IFERROR(__xludf.DUMMYFUNCTION("""COMPUTED_VALUE"""),1345.46)</f>
        <v>1345.46</v>
      </c>
      <c r="D3401" s="1">
        <f>IFERROR(__xludf.DUMMYFUNCTION("""COMPUTED_VALUE"""),1323.37)</f>
        <v>1323.37</v>
      </c>
      <c r="E3401" s="1">
        <f>IFERROR(__xludf.DUMMYFUNCTION("""COMPUTED_VALUE"""),1333.32)</f>
        <v>1333.32</v>
      </c>
      <c r="F3401" s="1">
        <f>IFERROR(__xludf.DUMMYFUNCTION("""COMPUTED_VALUE"""),1.17718752E8)</f>
        <v>117718752</v>
      </c>
    </row>
    <row r="3402">
      <c r="A3402" s="2">
        <f>IFERROR(__xludf.DUMMYFUNCTION("""COMPUTED_VALUE"""),36299.666666666664)</f>
        <v>36299.66667</v>
      </c>
      <c r="B3402" s="1">
        <f>IFERROR(__xludf.DUMMYFUNCTION("""COMPUTED_VALUE"""),1333.32)</f>
        <v>1333.32</v>
      </c>
      <c r="C3402" s="1">
        <f>IFERROR(__xludf.DUMMYFUNCTION("""COMPUTED_VALUE"""),1344.23)</f>
        <v>1344.23</v>
      </c>
      <c r="D3402" s="1">
        <f>IFERROR(__xludf.DUMMYFUNCTION("""COMPUTED_VALUE"""),1328.27)</f>
        <v>1328.27</v>
      </c>
      <c r="E3402" s="1">
        <f>IFERROR(__xludf.DUMMYFUNCTION("""COMPUTED_VALUE"""),1344.23)</f>
        <v>1344.23</v>
      </c>
      <c r="F3402" s="1">
        <f>IFERROR(__xludf.DUMMYFUNCTION("""COMPUTED_VALUE"""),1.25171872E8)</f>
        <v>125171872</v>
      </c>
    </row>
    <row r="3403">
      <c r="A3403" s="2">
        <f>IFERROR(__xludf.DUMMYFUNCTION("""COMPUTED_VALUE"""),36300.666666666664)</f>
        <v>36300.66667</v>
      </c>
      <c r="B3403" s="1">
        <f>IFERROR(__xludf.DUMMYFUNCTION("""COMPUTED_VALUE"""),1344.23)</f>
        <v>1344.23</v>
      </c>
      <c r="C3403" s="1">
        <f>IFERROR(__xludf.DUMMYFUNCTION("""COMPUTED_VALUE"""),1350.5)</f>
        <v>1350.5</v>
      </c>
      <c r="D3403" s="1">
        <f>IFERROR(__xludf.DUMMYFUNCTION("""COMPUTED_VALUE"""),1338.83)</f>
        <v>1338.83</v>
      </c>
      <c r="E3403" s="1">
        <f>IFERROR(__xludf.DUMMYFUNCTION("""COMPUTED_VALUE"""),1338.83)</f>
        <v>1338.83</v>
      </c>
      <c r="F3403" s="1">
        <f>IFERROR(__xludf.DUMMYFUNCTION("""COMPUTED_VALUE"""),1.17531248E8)</f>
        <v>117531248</v>
      </c>
    </row>
    <row r="3404">
      <c r="A3404" s="2">
        <f>IFERROR(__xludf.DUMMYFUNCTION("""COMPUTED_VALUE"""),36301.666666666664)</f>
        <v>36301.66667</v>
      </c>
      <c r="B3404" s="1">
        <f>IFERROR(__xludf.DUMMYFUNCTION("""COMPUTED_VALUE"""),1338.83)</f>
        <v>1338.83</v>
      </c>
      <c r="C3404" s="1">
        <f>IFERROR(__xludf.DUMMYFUNCTION("""COMPUTED_VALUE"""),1340.9)</f>
        <v>1340.9</v>
      </c>
      <c r="D3404" s="1">
        <f>IFERROR(__xludf.DUMMYFUNCTION("""COMPUTED_VALUE"""),1326.24)</f>
        <v>1326.24</v>
      </c>
      <c r="E3404" s="1">
        <f>IFERROR(__xludf.DUMMYFUNCTION("""COMPUTED_VALUE"""),1330.29)</f>
        <v>1330.29</v>
      </c>
      <c r="F3404" s="1">
        <f>IFERROR(__xludf.DUMMYFUNCTION("""COMPUTED_VALUE"""),1.07281248E8)</f>
        <v>107281248</v>
      </c>
    </row>
    <row r="3405">
      <c r="A3405" s="2">
        <f>IFERROR(__xludf.DUMMYFUNCTION("""COMPUTED_VALUE"""),36304.666666666664)</f>
        <v>36304.66667</v>
      </c>
      <c r="B3405" s="1">
        <f>IFERROR(__xludf.DUMMYFUNCTION("""COMPUTED_VALUE"""),1330.29)</f>
        <v>1330.29</v>
      </c>
      <c r="C3405" s="1">
        <f>IFERROR(__xludf.DUMMYFUNCTION("""COMPUTED_VALUE"""),1332.96)</f>
        <v>1332.96</v>
      </c>
      <c r="D3405" s="1">
        <f>IFERROR(__xludf.DUMMYFUNCTION("""COMPUTED_VALUE"""),1303.46)</f>
        <v>1303.46</v>
      </c>
      <c r="E3405" s="1">
        <f>IFERROR(__xludf.DUMMYFUNCTION("""COMPUTED_VALUE"""),1306.65)</f>
        <v>1306.65</v>
      </c>
      <c r="F3405" s="1">
        <f>IFERROR(__xludf.DUMMYFUNCTION("""COMPUTED_VALUE"""),1.17921872E8)</f>
        <v>117921872</v>
      </c>
    </row>
    <row r="3406">
      <c r="A3406" s="2">
        <f>IFERROR(__xludf.DUMMYFUNCTION("""COMPUTED_VALUE"""),36305.666666666664)</f>
        <v>36305.66667</v>
      </c>
      <c r="B3406" s="1">
        <f>IFERROR(__xludf.DUMMYFUNCTION("""COMPUTED_VALUE"""),1306.65)</f>
        <v>1306.65</v>
      </c>
      <c r="C3406" s="1">
        <f>IFERROR(__xludf.DUMMYFUNCTION("""COMPUTED_VALUE"""),1317.48)</f>
        <v>1317.48</v>
      </c>
      <c r="D3406" s="1">
        <f>IFERROR(__xludf.DUMMYFUNCTION("""COMPUTED_VALUE"""),1284.38)</f>
        <v>1284.38</v>
      </c>
      <c r="E3406" s="1">
        <f>IFERROR(__xludf.DUMMYFUNCTION("""COMPUTED_VALUE"""),1284.4)</f>
        <v>1284.4</v>
      </c>
      <c r="F3406" s="1">
        <f>IFERROR(__xludf.DUMMYFUNCTION("""COMPUTED_VALUE"""),1.29171872E8)</f>
        <v>129171872</v>
      </c>
    </row>
    <row r="3407">
      <c r="A3407" s="2">
        <f>IFERROR(__xludf.DUMMYFUNCTION("""COMPUTED_VALUE"""),36306.666666666664)</f>
        <v>36306.66667</v>
      </c>
      <c r="B3407" s="1">
        <f>IFERROR(__xludf.DUMMYFUNCTION("""COMPUTED_VALUE"""),1284.4)</f>
        <v>1284.4</v>
      </c>
      <c r="C3407" s="1">
        <f>IFERROR(__xludf.DUMMYFUNCTION("""COMPUTED_VALUE"""),1304.83)</f>
        <v>1304.83</v>
      </c>
      <c r="D3407" s="1">
        <f>IFERROR(__xludf.DUMMYFUNCTION("""COMPUTED_VALUE"""),1278.53)</f>
        <v>1278.53</v>
      </c>
      <c r="E3407" s="1">
        <f>IFERROR(__xludf.DUMMYFUNCTION("""COMPUTED_VALUE"""),1304.76)</f>
        <v>1304.76</v>
      </c>
      <c r="F3407" s="1">
        <f>IFERROR(__xludf.DUMMYFUNCTION("""COMPUTED_VALUE"""),1.36062496E8)</f>
        <v>136062496</v>
      </c>
    </row>
    <row r="3408">
      <c r="A3408" s="2">
        <f>IFERROR(__xludf.DUMMYFUNCTION("""COMPUTED_VALUE"""),36307.666666666664)</f>
        <v>36307.66667</v>
      </c>
      <c r="B3408" s="1">
        <f>IFERROR(__xludf.DUMMYFUNCTION("""COMPUTED_VALUE"""),1304.76)</f>
        <v>1304.76</v>
      </c>
      <c r="C3408" s="1">
        <f>IFERROR(__xludf.DUMMYFUNCTION("""COMPUTED_VALUE"""),1304.76)</f>
        <v>1304.76</v>
      </c>
      <c r="D3408" s="1">
        <f>IFERROR(__xludf.DUMMYFUNCTION("""COMPUTED_VALUE"""),1277.31)</f>
        <v>1277.31</v>
      </c>
      <c r="E3408" s="1">
        <f>IFERROR(__xludf.DUMMYFUNCTION("""COMPUTED_VALUE"""),1281.41)</f>
        <v>1281.41</v>
      </c>
      <c r="F3408" s="1">
        <f>IFERROR(__xludf.DUMMYFUNCTION("""COMPUTED_VALUE"""),1.26781248E8)</f>
        <v>126781248</v>
      </c>
    </row>
    <row r="3409">
      <c r="A3409" s="2">
        <f>IFERROR(__xludf.DUMMYFUNCTION("""COMPUTED_VALUE"""),36308.666666666664)</f>
        <v>36308.66667</v>
      </c>
      <c r="B3409" s="1">
        <f>IFERROR(__xludf.DUMMYFUNCTION("""COMPUTED_VALUE"""),1281.4)</f>
        <v>1281.4</v>
      </c>
      <c r="C3409" s="1">
        <f>IFERROR(__xludf.DUMMYFUNCTION("""COMPUTED_VALUE"""),1303.94)</f>
        <v>1303.94</v>
      </c>
      <c r="D3409" s="1">
        <f>IFERROR(__xludf.DUMMYFUNCTION("""COMPUTED_VALUE"""),1281.4)</f>
        <v>1281.4</v>
      </c>
      <c r="E3409" s="1">
        <f>IFERROR(__xludf.DUMMYFUNCTION("""COMPUTED_VALUE"""),1301.84)</f>
        <v>1301.84</v>
      </c>
      <c r="F3409" s="1">
        <f>IFERROR(__xludf.DUMMYFUNCTION("""COMPUTED_VALUE"""),1.01556248E8)</f>
        <v>101556248</v>
      </c>
    </row>
    <row r="3410">
      <c r="A3410" s="2">
        <f>IFERROR(__xludf.DUMMYFUNCTION("""COMPUTED_VALUE"""),36312.666666666664)</f>
        <v>36312.66667</v>
      </c>
      <c r="B3410" s="1">
        <f>IFERROR(__xludf.DUMMYFUNCTION("""COMPUTED_VALUE"""),1301.84)</f>
        <v>1301.84</v>
      </c>
      <c r="C3410" s="1">
        <f>IFERROR(__xludf.DUMMYFUNCTION("""COMPUTED_VALUE"""),1301.84)</f>
        <v>1301.84</v>
      </c>
      <c r="D3410" s="1">
        <f>IFERROR(__xludf.DUMMYFUNCTION("""COMPUTED_VALUE"""),1281.49)</f>
        <v>1281.49</v>
      </c>
      <c r="E3410" s="1">
        <f>IFERROR(__xludf.DUMMYFUNCTION("""COMPUTED_VALUE"""),1294.26)</f>
        <v>1294.26</v>
      </c>
      <c r="F3410" s="1">
        <f>IFERROR(__xludf.DUMMYFUNCTION("""COMPUTED_VALUE"""),1.06843752E8)</f>
        <v>106843752</v>
      </c>
    </row>
    <row r="3411">
      <c r="A3411" s="2">
        <f>IFERROR(__xludf.DUMMYFUNCTION("""COMPUTED_VALUE"""),36313.666666666664)</f>
        <v>36313.66667</v>
      </c>
      <c r="B3411" s="1">
        <f>IFERROR(__xludf.DUMMYFUNCTION("""COMPUTED_VALUE"""),1294.26)</f>
        <v>1294.26</v>
      </c>
      <c r="C3411" s="1">
        <f>IFERROR(__xludf.DUMMYFUNCTION("""COMPUTED_VALUE"""),1297.07)</f>
        <v>1297.07</v>
      </c>
      <c r="D3411" s="1">
        <f>IFERROR(__xludf.DUMMYFUNCTION("""COMPUTED_VALUE"""),1277.51)</f>
        <v>1277.51</v>
      </c>
      <c r="E3411" s="1">
        <f>IFERROR(__xludf.DUMMYFUNCTION("""COMPUTED_VALUE"""),1294.81)</f>
        <v>1294.81</v>
      </c>
      <c r="F3411" s="1">
        <f>IFERROR(__xludf.DUMMYFUNCTION("""COMPUTED_VALUE"""),1.1375E8)</f>
        <v>113750000</v>
      </c>
    </row>
    <row r="3412">
      <c r="A3412" s="2">
        <f>IFERROR(__xludf.DUMMYFUNCTION("""COMPUTED_VALUE"""),36314.666666666664)</f>
        <v>36314.66667</v>
      </c>
      <c r="B3412" s="1">
        <f>IFERROR(__xludf.DUMMYFUNCTION("""COMPUTED_VALUE"""),1294.81)</f>
        <v>1294.81</v>
      </c>
      <c r="C3412" s="1">
        <f>IFERROR(__xludf.DUMMYFUNCTION("""COMPUTED_VALUE"""),1304.12)</f>
        <v>1304.12</v>
      </c>
      <c r="D3412" s="1">
        <f>IFERROR(__xludf.DUMMYFUNCTION("""COMPUTED_VALUE"""),1294.23)</f>
        <v>1294.23</v>
      </c>
      <c r="E3412" s="1">
        <f>IFERROR(__xludf.DUMMYFUNCTION("""COMPUTED_VALUE"""),1299.54)</f>
        <v>1299.54</v>
      </c>
      <c r="F3412" s="1">
        <f>IFERROR(__xludf.DUMMYFUNCTION("""COMPUTED_VALUE"""),1.12437504E8)</f>
        <v>112437504</v>
      </c>
    </row>
    <row r="3413">
      <c r="A3413" s="2">
        <f>IFERROR(__xludf.DUMMYFUNCTION("""COMPUTED_VALUE"""),36315.666666666664)</f>
        <v>36315.66667</v>
      </c>
      <c r="B3413" s="1">
        <f>IFERROR(__xludf.DUMMYFUNCTION("""COMPUTED_VALUE"""),1299.54)</f>
        <v>1299.54</v>
      </c>
      <c r="C3413" s="1">
        <f>IFERROR(__xludf.DUMMYFUNCTION("""COMPUTED_VALUE"""),1327.75)</f>
        <v>1327.75</v>
      </c>
      <c r="D3413" s="1">
        <f>IFERROR(__xludf.DUMMYFUNCTION("""COMPUTED_VALUE"""),1299.54)</f>
        <v>1299.54</v>
      </c>
      <c r="E3413" s="1">
        <f>IFERROR(__xludf.DUMMYFUNCTION("""COMPUTED_VALUE"""),1327.75)</f>
        <v>1327.75</v>
      </c>
      <c r="F3413" s="1">
        <f>IFERROR(__xludf.DUMMYFUNCTION("""COMPUTED_VALUE"""),1.08515624E8)</f>
        <v>108515624</v>
      </c>
    </row>
    <row r="3414">
      <c r="A3414" s="2">
        <f>IFERROR(__xludf.DUMMYFUNCTION("""COMPUTED_VALUE"""),36318.666666666664)</f>
        <v>36318.66667</v>
      </c>
      <c r="B3414" s="1">
        <f>IFERROR(__xludf.DUMMYFUNCTION("""COMPUTED_VALUE"""),1327.75)</f>
        <v>1327.75</v>
      </c>
      <c r="C3414" s="1">
        <f>IFERROR(__xludf.DUMMYFUNCTION("""COMPUTED_VALUE"""),1336.43)</f>
        <v>1336.43</v>
      </c>
      <c r="D3414" s="1">
        <f>IFERROR(__xludf.DUMMYFUNCTION("""COMPUTED_VALUE"""),1325.89)</f>
        <v>1325.89</v>
      </c>
      <c r="E3414" s="1">
        <f>IFERROR(__xludf.DUMMYFUNCTION("""COMPUTED_VALUE"""),1334.52)</f>
        <v>1334.52</v>
      </c>
      <c r="F3414" s="1">
        <f>IFERROR(__xludf.DUMMYFUNCTION("""COMPUTED_VALUE"""),1.03796872E8)</f>
        <v>103796872</v>
      </c>
    </row>
    <row r="3415">
      <c r="A3415" s="2">
        <f>IFERROR(__xludf.DUMMYFUNCTION("""COMPUTED_VALUE"""),36319.666666666664)</f>
        <v>36319.66667</v>
      </c>
      <c r="B3415" s="1">
        <f>IFERROR(__xludf.DUMMYFUNCTION("""COMPUTED_VALUE"""),1334.52)</f>
        <v>1334.52</v>
      </c>
      <c r="C3415" s="1">
        <f>IFERROR(__xludf.DUMMYFUNCTION("""COMPUTED_VALUE"""),1334.52)</f>
        <v>1334.52</v>
      </c>
      <c r="D3415" s="1">
        <f>IFERROR(__xludf.DUMMYFUNCTION("""COMPUTED_VALUE"""),1312.93)</f>
        <v>1312.93</v>
      </c>
      <c r="E3415" s="1">
        <f>IFERROR(__xludf.DUMMYFUNCTION("""COMPUTED_VALUE"""),1317.33)</f>
        <v>1317.33</v>
      </c>
      <c r="F3415" s="1">
        <f>IFERROR(__xludf.DUMMYFUNCTION("""COMPUTED_VALUE"""),1.07171872E8)</f>
        <v>107171872</v>
      </c>
    </row>
    <row r="3416">
      <c r="A3416" s="2">
        <f>IFERROR(__xludf.DUMMYFUNCTION("""COMPUTED_VALUE"""),36320.666666666664)</f>
        <v>36320.66667</v>
      </c>
      <c r="B3416" s="1">
        <f>IFERROR(__xludf.DUMMYFUNCTION("""COMPUTED_VALUE"""),1317.33)</f>
        <v>1317.33</v>
      </c>
      <c r="C3416" s="1">
        <f>IFERROR(__xludf.DUMMYFUNCTION("""COMPUTED_VALUE"""),1325.95)</f>
        <v>1325.95</v>
      </c>
      <c r="D3416" s="1">
        <f>IFERROR(__xludf.DUMMYFUNCTION("""COMPUTED_VALUE"""),1314.73)</f>
        <v>1314.73</v>
      </c>
      <c r="E3416" s="1">
        <f>IFERROR(__xludf.DUMMYFUNCTION("""COMPUTED_VALUE"""),1318.64)</f>
        <v>1318.64</v>
      </c>
      <c r="F3416" s="1">
        <f>IFERROR(__xludf.DUMMYFUNCTION("""COMPUTED_VALUE"""),1.03437504E8)</f>
        <v>103437504</v>
      </c>
    </row>
    <row r="3417">
      <c r="A3417" s="2">
        <f>IFERROR(__xludf.DUMMYFUNCTION("""COMPUTED_VALUE"""),36321.666666666664)</f>
        <v>36321.66667</v>
      </c>
      <c r="B3417" s="1">
        <f>IFERROR(__xludf.DUMMYFUNCTION("""COMPUTED_VALUE"""),1318.64)</f>
        <v>1318.64</v>
      </c>
      <c r="C3417" s="1">
        <f>IFERROR(__xludf.DUMMYFUNCTION("""COMPUTED_VALUE"""),1318.64)</f>
        <v>1318.64</v>
      </c>
      <c r="D3417" s="1">
        <f>IFERROR(__xludf.DUMMYFUNCTION("""COMPUTED_VALUE"""),1293.08)</f>
        <v>1293.08</v>
      </c>
      <c r="E3417" s="1">
        <f>IFERROR(__xludf.DUMMYFUNCTION("""COMPUTED_VALUE"""),1302.82)</f>
        <v>1302.82</v>
      </c>
      <c r="F3417" s="1">
        <f>IFERROR(__xludf.DUMMYFUNCTION("""COMPUTED_VALUE"""),1.11953128E8)</f>
        <v>111953128</v>
      </c>
    </row>
    <row r="3418">
      <c r="A3418" s="2">
        <f>IFERROR(__xludf.DUMMYFUNCTION("""COMPUTED_VALUE"""),36322.666666666664)</f>
        <v>36322.66667</v>
      </c>
      <c r="B3418" s="1">
        <f>IFERROR(__xludf.DUMMYFUNCTION("""COMPUTED_VALUE"""),1302.82)</f>
        <v>1302.82</v>
      </c>
      <c r="C3418" s="1">
        <f>IFERROR(__xludf.DUMMYFUNCTION("""COMPUTED_VALUE"""),1311.87)</f>
        <v>1311.87</v>
      </c>
      <c r="D3418" s="1">
        <f>IFERROR(__xludf.DUMMYFUNCTION("""COMPUTED_VALUE"""),1287.92)</f>
        <v>1287.92</v>
      </c>
      <c r="E3418" s="1">
        <f>IFERROR(__xludf.DUMMYFUNCTION("""COMPUTED_VALUE"""),1293.64)</f>
        <v>1293.64</v>
      </c>
      <c r="F3418" s="1">
        <f>IFERROR(__xludf.DUMMYFUNCTION("""COMPUTED_VALUE"""),1.09093752E8)</f>
        <v>109093752</v>
      </c>
    </row>
    <row r="3419">
      <c r="A3419" s="2">
        <f>IFERROR(__xludf.DUMMYFUNCTION("""COMPUTED_VALUE"""),36325.666666666664)</f>
        <v>36325.66667</v>
      </c>
      <c r="B3419" s="1">
        <f>IFERROR(__xludf.DUMMYFUNCTION("""COMPUTED_VALUE"""),1293.64)</f>
        <v>1293.64</v>
      </c>
      <c r="C3419" s="1">
        <f>IFERROR(__xludf.DUMMYFUNCTION("""COMPUTED_VALUE"""),1301.93)</f>
        <v>1301.93</v>
      </c>
      <c r="D3419" s="1">
        <f>IFERROR(__xludf.DUMMYFUNCTION("""COMPUTED_VALUE"""),1292.2)</f>
        <v>1292.2</v>
      </c>
      <c r="E3419" s="1">
        <f>IFERROR(__xludf.DUMMYFUNCTION("""COMPUTED_VALUE"""),1294.0)</f>
        <v>1294</v>
      </c>
      <c r="F3419" s="1">
        <f>IFERROR(__xludf.DUMMYFUNCTION("""COMPUTED_VALUE"""),1.04593752E8)</f>
        <v>104593752</v>
      </c>
    </row>
    <row r="3420">
      <c r="A3420" s="2">
        <f>IFERROR(__xludf.DUMMYFUNCTION("""COMPUTED_VALUE"""),36326.666666666664)</f>
        <v>36326.66667</v>
      </c>
      <c r="B3420" s="1">
        <f>IFERROR(__xludf.DUMMYFUNCTION("""COMPUTED_VALUE"""),1294.0)</f>
        <v>1294</v>
      </c>
      <c r="C3420" s="1">
        <f>IFERROR(__xludf.DUMMYFUNCTION("""COMPUTED_VALUE"""),1310.75)</f>
        <v>1310.75</v>
      </c>
      <c r="D3420" s="1">
        <f>IFERROR(__xludf.DUMMYFUNCTION("""COMPUTED_VALUE"""),1294.0)</f>
        <v>1294</v>
      </c>
      <c r="E3420" s="1">
        <f>IFERROR(__xludf.DUMMYFUNCTION("""COMPUTED_VALUE"""),1301.16)</f>
        <v>1301.16</v>
      </c>
      <c r="F3420" s="1">
        <f>IFERROR(__xludf.DUMMYFUNCTION("""COMPUTED_VALUE"""),1.08843752E8)</f>
        <v>108843752</v>
      </c>
    </row>
    <row r="3421">
      <c r="A3421" s="2">
        <f>IFERROR(__xludf.DUMMYFUNCTION("""COMPUTED_VALUE"""),36327.666666666664)</f>
        <v>36327.66667</v>
      </c>
      <c r="B3421" s="1">
        <f>IFERROR(__xludf.DUMMYFUNCTION("""COMPUTED_VALUE"""),1301.16)</f>
        <v>1301.16</v>
      </c>
      <c r="C3421" s="1">
        <f>IFERROR(__xludf.DUMMYFUNCTION("""COMPUTED_VALUE"""),1332.83)</f>
        <v>1332.83</v>
      </c>
      <c r="D3421" s="1">
        <f>IFERROR(__xludf.DUMMYFUNCTION("""COMPUTED_VALUE"""),1301.16)</f>
        <v>1301.16</v>
      </c>
      <c r="E3421" s="1">
        <f>IFERROR(__xludf.DUMMYFUNCTION("""COMPUTED_VALUE"""),1330.41)</f>
        <v>1330.41</v>
      </c>
      <c r="F3421" s="1">
        <f>IFERROR(__xludf.DUMMYFUNCTION("""COMPUTED_VALUE"""),1.26062496E8)</f>
        <v>126062496</v>
      </c>
    </row>
    <row r="3422">
      <c r="A3422" s="2">
        <f>IFERROR(__xludf.DUMMYFUNCTION("""COMPUTED_VALUE"""),36328.666666666664)</f>
        <v>36328.66667</v>
      </c>
      <c r="B3422" s="1">
        <f>IFERROR(__xludf.DUMMYFUNCTION("""COMPUTED_VALUE"""),1330.41)</f>
        <v>1330.41</v>
      </c>
      <c r="C3422" s="1">
        <f>IFERROR(__xludf.DUMMYFUNCTION("""COMPUTED_VALUE"""),1343.54)</f>
        <v>1343.54</v>
      </c>
      <c r="D3422" s="1">
        <f>IFERROR(__xludf.DUMMYFUNCTION("""COMPUTED_VALUE"""),1322.78)</f>
        <v>1322.78</v>
      </c>
      <c r="E3422" s="1">
        <f>IFERROR(__xludf.DUMMYFUNCTION("""COMPUTED_VALUE"""),1339.9)</f>
        <v>1339.9</v>
      </c>
      <c r="F3422" s="1">
        <f>IFERROR(__xludf.DUMMYFUNCTION("""COMPUTED_VALUE"""),1.09421872E8)</f>
        <v>109421872</v>
      </c>
    </row>
    <row r="3423">
      <c r="A3423" s="2">
        <f>IFERROR(__xludf.DUMMYFUNCTION("""COMPUTED_VALUE"""),36329.666666666664)</f>
        <v>36329.66667</v>
      </c>
      <c r="B3423" s="1">
        <f>IFERROR(__xludf.DUMMYFUNCTION("""COMPUTED_VALUE"""),1339.9)</f>
        <v>1339.9</v>
      </c>
      <c r="C3423" s="1">
        <f>IFERROR(__xludf.DUMMYFUNCTION("""COMPUTED_VALUE"""),1344.55)</f>
        <v>1344.55</v>
      </c>
      <c r="D3423" s="1">
        <f>IFERROR(__xludf.DUMMYFUNCTION("""COMPUTED_VALUE"""),1333.48)</f>
        <v>1333.48</v>
      </c>
      <c r="E3423" s="1">
        <f>IFERROR(__xludf.DUMMYFUNCTION("""COMPUTED_VALUE"""),1342.84)</f>
        <v>1342.84</v>
      </c>
      <c r="F3423" s="1">
        <f>IFERROR(__xludf.DUMMYFUNCTION("""COMPUTED_VALUE"""),1.42890624E8)</f>
        <v>142890624</v>
      </c>
    </row>
    <row r="3424">
      <c r="A3424" s="2">
        <f>IFERROR(__xludf.DUMMYFUNCTION("""COMPUTED_VALUE"""),36332.666666666664)</f>
        <v>36332.66667</v>
      </c>
      <c r="B3424" s="1">
        <f>IFERROR(__xludf.DUMMYFUNCTION("""COMPUTED_VALUE"""),1342.84)</f>
        <v>1342.84</v>
      </c>
      <c r="C3424" s="1">
        <f>IFERROR(__xludf.DUMMYFUNCTION("""COMPUTED_VALUE"""),1349.11)</f>
        <v>1349.11</v>
      </c>
      <c r="D3424" s="1">
        <f>IFERROR(__xludf.DUMMYFUNCTION("""COMPUTED_VALUE"""),1337.68)</f>
        <v>1337.68</v>
      </c>
      <c r="E3424" s="1">
        <f>IFERROR(__xludf.DUMMYFUNCTION("""COMPUTED_VALUE"""),1349.0)</f>
        <v>1349</v>
      </c>
      <c r="F3424" s="1">
        <f>IFERROR(__xludf.DUMMYFUNCTION("""COMPUTED_VALUE"""),1.07281248E8)</f>
        <v>107281248</v>
      </c>
    </row>
    <row r="3425">
      <c r="A3425" s="2">
        <f>IFERROR(__xludf.DUMMYFUNCTION("""COMPUTED_VALUE"""),36333.666666666664)</f>
        <v>36333.66667</v>
      </c>
      <c r="B3425" s="1">
        <f>IFERROR(__xludf.DUMMYFUNCTION("""COMPUTED_VALUE"""),1349.0)</f>
        <v>1349</v>
      </c>
      <c r="C3425" s="1">
        <f>IFERROR(__xludf.DUMMYFUNCTION("""COMPUTED_VALUE"""),1351.12)</f>
        <v>1351.12</v>
      </c>
      <c r="D3425" s="1">
        <f>IFERROR(__xludf.DUMMYFUNCTION("""COMPUTED_VALUE"""),1335.58)</f>
        <v>1335.58</v>
      </c>
      <c r="E3425" s="1">
        <f>IFERROR(__xludf.DUMMYFUNCTION("""COMPUTED_VALUE"""),1335.88)</f>
        <v>1335.88</v>
      </c>
      <c r="F3425" s="1">
        <f>IFERROR(__xludf.DUMMYFUNCTION("""COMPUTED_VALUE"""),1.11953128E8)</f>
        <v>111953128</v>
      </c>
    </row>
    <row r="3426">
      <c r="A3426" s="2">
        <f>IFERROR(__xludf.DUMMYFUNCTION("""COMPUTED_VALUE"""),36334.666666666664)</f>
        <v>36334.66667</v>
      </c>
      <c r="B3426" s="1">
        <f>IFERROR(__xludf.DUMMYFUNCTION("""COMPUTED_VALUE"""),1335.87)</f>
        <v>1335.87</v>
      </c>
      <c r="C3426" s="1">
        <f>IFERROR(__xludf.DUMMYFUNCTION("""COMPUTED_VALUE"""),1335.87)</f>
        <v>1335.87</v>
      </c>
      <c r="D3426" s="1">
        <f>IFERROR(__xludf.DUMMYFUNCTION("""COMPUTED_VALUE"""),1324.32)</f>
        <v>1324.32</v>
      </c>
      <c r="E3426" s="1">
        <f>IFERROR(__xludf.DUMMYFUNCTION("""COMPUTED_VALUE"""),1333.06)</f>
        <v>1333.06</v>
      </c>
      <c r="F3426" s="1">
        <f>IFERROR(__xludf.DUMMYFUNCTION("""COMPUTED_VALUE"""),1.14343752E8)</f>
        <v>114343752</v>
      </c>
    </row>
    <row r="3427">
      <c r="A3427" s="2">
        <f>IFERROR(__xludf.DUMMYFUNCTION("""COMPUTED_VALUE"""),36335.666666666664)</f>
        <v>36335.66667</v>
      </c>
      <c r="B3427" s="1">
        <f>IFERROR(__xludf.DUMMYFUNCTION("""COMPUTED_VALUE"""),1333.06)</f>
        <v>1333.06</v>
      </c>
      <c r="C3427" s="1">
        <f>IFERROR(__xludf.DUMMYFUNCTION("""COMPUTED_VALUE"""),1333.06)</f>
        <v>1333.06</v>
      </c>
      <c r="D3427" s="1">
        <f>IFERROR(__xludf.DUMMYFUNCTION("""COMPUTED_VALUE"""),1308.5)</f>
        <v>1308.5</v>
      </c>
      <c r="E3427" s="1">
        <f>IFERROR(__xludf.DUMMYFUNCTION("""COMPUTED_VALUE"""),1315.78)</f>
        <v>1315.78</v>
      </c>
      <c r="F3427" s="1">
        <f>IFERROR(__xludf.DUMMYFUNCTION("""COMPUTED_VALUE"""),1.07875E8)</f>
        <v>107875000</v>
      </c>
    </row>
    <row r="3428">
      <c r="A3428" s="2">
        <f>IFERROR(__xludf.DUMMYFUNCTION("""COMPUTED_VALUE"""),36336.666666666664)</f>
        <v>36336.66667</v>
      </c>
      <c r="B3428" s="1">
        <f>IFERROR(__xludf.DUMMYFUNCTION("""COMPUTED_VALUE"""),1315.78)</f>
        <v>1315.78</v>
      </c>
      <c r="C3428" s="1">
        <f>IFERROR(__xludf.DUMMYFUNCTION("""COMPUTED_VALUE"""),1329.07)</f>
        <v>1329.07</v>
      </c>
      <c r="D3428" s="1">
        <f>IFERROR(__xludf.DUMMYFUNCTION("""COMPUTED_VALUE"""),1312.64)</f>
        <v>1312.64</v>
      </c>
      <c r="E3428" s="1">
        <f>IFERROR(__xludf.DUMMYFUNCTION("""COMPUTED_VALUE"""),1315.31)</f>
        <v>1315.31</v>
      </c>
      <c r="F3428" s="1">
        <f>IFERROR(__xludf.DUMMYFUNCTION("""COMPUTED_VALUE"""),9.7415624E7)</f>
        <v>97415624</v>
      </c>
    </row>
    <row r="3429">
      <c r="A3429" s="2">
        <f>IFERROR(__xludf.DUMMYFUNCTION("""COMPUTED_VALUE"""),36339.666666666664)</f>
        <v>36339.66667</v>
      </c>
      <c r="B3429" s="1">
        <f>IFERROR(__xludf.DUMMYFUNCTION("""COMPUTED_VALUE"""),1315.31)</f>
        <v>1315.31</v>
      </c>
      <c r="C3429" s="1">
        <f>IFERROR(__xludf.DUMMYFUNCTION("""COMPUTED_VALUE"""),1338.43)</f>
        <v>1338.43</v>
      </c>
      <c r="D3429" s="1">
        <f>IFERROR(__xludf.DUMMYFUNCTION("""COMPUTED_VALUE"""),1315.31)</f>
        <v>1315.31</v>
      </c>
      <c r="E3429" s="1">
        <f>IFERROR(__xludf.DUMMYFUNCTION("""COMPUTED_VALUE"""),1331.35)</f>
        <v>1331.35</v>
      </c>
      <c r="F3429" s="1">
        <f>IFERROR(__xludf.DUMMYFUNCTION("""COMPUTED_VALUE"""),1.02017184E8)</f>
        <v>102017184</v>
      </c>
    </row>
    <row r="3430">
      <c r="A3430" s="2">
        <f>IFERROR(__xludf.DUMMYFUNCTION("""COMPUTED_VALUE"""),36340.666666666664)</f>
        <v>36340.66667</v>
      </c>
      <c r="B3430" s="1">
        <f>IFERROR(__xludf.DUMMYFUNCTION("""COMPUTED_VALUE"""),1331.35)</f>
        <v>1331.35</v>
      </c>
      <c r="C3430" s="1">
        <f>IFERROR(__xludf.DUMMYFUNCTION("""COMPUTED_VALUE"""),1351.51)</f>
        <v>1351.51</v>
      </c>
      <c r="D3430" s="1">
        <f>IFERROR(__xludf.DUMMYFUNCTION("""COMPUTED_VALUE"""),1328.4)</f>
        <v>1328.4</v>
      </c>
      <c r="E3430" s="1">
        <f>IFERROR(__xludf.DUMMYFUNCTION("""COMPUTED_VALUE"""),1351.45)</f>
        <v>1351.45</v>
      </c>
      <c r="F3430" s="1">
        <f>IFERROR(__xludf.DUMMYFUNCTION("""COMPUTED_VALUE"""),1.28140624E8)</f>
        <v>128140624</v>
      </c>
    </row>
    <row r="3431">
      <c r="A3431" s="2">
        <f>IFERROR(__xludf.DUMMYFUNCTION("""COMPUTED_VALUE"""),36341.666666666664)</f>
        <v>36341.66667</v>
      </c>
      <c r="B3431" s="1">
        <f>IFERROR(__xludf.DUMMYFUNCTION("""COMPUTED_VALUE"""),1351.45)</f>
        <v>1351.45</v>
      </c>
      <c r="C3431" s="1">
        <f>IFERROR(__xludf.DUMMYFUNCTION("""COMPUTED_VALUE"""),1372.93)</f>
        <v>1372.93</v>
      </c>
      <c r="D3431" s="1">
        <f>IFERROR(__xludf.DUMMYFUNCTION("""COMPUTED_VALUE"""),1338.8)</f>
        <v>1338.8</v>
      </c>
      <c r="E3431" s="1">
        <f>IFERROR(__xludf.DUMMYFUNCTION("""COMPUTED_VALUE"""),1372.71)</f>
        <v>1372.71</v>
      </c>
      <c r="F3431" s="1">
        <f>IFERROR(__xludf.DUMMYFUNCTION("""COMPUTED_VALUE"""),1.74531248E8)</f>
        <v>174531248</v>
      </c>
    </row>
    <row r="3432">
      <c r="A3432" s="2">
        <f>IFERROR(__xludf.DUMMYFUNCTION("""COMPUTED_VALUE"""),36342.666666666664)</f>
        <v>36342.66667</v>
      </c>
      <c r="B3432" s="1">
        <f>IFERROR(__xludf.DUMMYFUNCTION("""COMPUTED_VALUE"""),1372.71)</f>
        <v>1372.71</v>
      </c>
      <c r="C3432" s="1">
        <f>IFERROR(__xludf.DUMMYFUNCTION("""COMPUTED_VALUE"""),1382.8)</f>
        <v>1382.8</v>
      </c>
      <c r="D3432" s="1">
        <f>IFERROR(__xludf.DUMMYFUNCTION("""COMPUTED_VALUE"""),1360.76)</f>
        <v>1360.76</v>
      </c>
      <c r="E3432" s="1">
        <f>IFERROR(__xludf.DUMMYFUNCTION("""COMPUTED_VALUE"""),1380.96)</f>
        <v>1380.96</v>
      </c>
      <c r="F3432" s="1">
        <f>IFERROR(__xludf.DUMMYFUNCTION("""COMPUTED_VALUE"""),1.31781248E8)</f>
        <v>131781248</v>
      </c>
    </row>
    <row r="3433">
      <c r="A3433" s="2">
        <f>IFERROR(__xludf.DUMMYFUNCTION("""COMPUTED_VALUE"""),36343.666666666664)</f>
        <v>36343.66667</v>
      </c>
      <c r="B3433" s="1">
        <f>IFERROR(__xludf.DUMMYFUNCTION("""COMPUTED_VALUE"""),1380.96)</f>
        <v>1380.96</v>
      </c>
      <c r="C3433" s="1">
        <f>IFERROR(__xludf.DUMMYFUNCTION("""COMPUTED_VALUE"""),1391.22)</f>
        <v>1391.22</v>
      </c>
      <c r="D3433" s="1">
        <f>IFERROR(__xludf.DUMMYFUNCTION("""COMPUTED_VALUE"""),1379.5)</f>
        <v>1379.5</v>
      </c>
      <c r="E3433" s="1">
        <f>IFERROR(__xludf.DUMMYFUNCTION("""COMPUTED_VALUE"""),1391.22)</f>
        <v>1391.22</v>
      </c>
      <c r="F3433" s="1">
        <f>IFERROR(__xludf.DUMMYFUNCTION("""COMPUTED_VALUE"""),9.5870312E7)</f>
        <v>95870312</v>
      </c>
    </row>
    <row r="3434">
      <c r="A3434" s="2">
        <f>IFERROR(__xludf.DUMMYFUNCTION("""COMPUTED_VALUE"""),36347.666666666664)</f>
        <v>36347.66667</v>
      </c>
      <c r="B3434" s="1">
        <f>IFERROR(__xludf.DUMMYFUNCTION("""COMPUTED_VALUE"""),1391.22)</f>
        <v>1391.22</v>
      </c>
      <c r="C3434" s="1">
        <f>IFERROR(__xludf.DUMMYFUNCTION("""COMPUTED_VALUE"""),1405.32)</f>
        <v>1405.32</v>
      </c>
      <c r="D3434" s="1">
        <f>IFERROR(__xludf.DUMMYFUNCTION("""COMPUTED_VALUE"""),1387.14)</f>
        <v>1387.14</v>
      </c>
      <c r="E3434" s="1">
        <f>IFERROR(__xludf.DUMMYFUNCTION("""COMPUTED_VALUE"""),1388.12)</f>
        <v>1388.12</v>
      </c>
      <c r="F3434" s="1">
        <f>IFERROR(__xludf.DUMMYFUNCTION("""COMPUTED_VALUE"""),1.12953128E8)</f>
        <v>112953128</v>
      </c>
    </row>
    <row r="3435">
      <c r="A3435" s="2">
        <f>IFERROR(__xludf.DUMMYFUNCTION("""COMPUTED_VALUE"""),36348.666666666664)</f>
        <v>36348.66667</v>
      </c>
      <c r="B3435" s="1">
        <f>IFERROR(__xludf.DUMMYFUNCTION("""COMPUTED_VALUE"""),1388.12)</f>
        <v>1388.12</v>
      </c>
      <c r="C3435" s="1">
        <f>IFERROR(__xludf.DUMMYFUNCTION("""COMPUTED_VALUE"""),1395.86)</f>
        <v>1395.86</v>
      </c>
      <c r="D3435" s="1">
        <f>IFERROR(__xludf.DUMMYFUNCTION("""COMPUTED_VALUE"""),1384.99)</f>
        <v>1384.99</v>
      </c>
      <c r="E3435" s="1">
        <f>IFERROR(__xludf.DUMMYFUNCTION("""COMPUTED_VALUE"""),1395.86)</f>
        <v>1395.86</v>
      </c>
      <c r="F3435" s="1">
        <f>IFERROR(__xludf.DUMMYFUNCTION("""COMPUTED_VALUE"""),1.23625E8)</f>
        <v>123625000</v>
      </c>
    </row>
    <row r="3436">
      <c r="A3436" s="2">
        <f>IFERROR(__xludf.DUMMYFUNCTION("""COMPUTED_VALUE"""),36349.666666666664)</f>
        <v>36349.66667</v>
      </c>
      <c r="B3436" s="1">
        <f>IFERROR(__xludf.DUMMYFUNCTION("""COMPUTED_VALUE"""),1395.86)</f>
        <v>1395.86</v>
      </c>
      <c r="C3436" s="1">
        <f>IFERROR(__xludf.DUMMYFUNCTION("""COMPUTED_VALUE"""),1403.13)</f>
        <v>1403.13</v>
      </c>
      <c r="D3436" s="1">
        <f>IFERROR(__xludf.DUMMYFUNCTION("""COMPUTED_VALUE"""),1386.67)</f>
        <v>1386.67</v>
      </c>
      <c r="E3436" s="1">
        <f>IFERROR(__xludf.DUMMYFUNCTION("""COMPUTED_VALUE"""),1394.42)</f>
        <v>1394.42</v>
      </c>
      <c r="F3436" s="1">
        <f>IFERROR(__xludf.DUMMYFUNCTION("""COMPUTED_VALUE"""),1.29781248E8)</f>
        <v>129781248</v>
      </c>
    </row>
    <row r="3437">
      <c r="A3437" s="2">
        <f>IFERROR(__xludf.DUMMYFUNCTION("""COMPUTED_VALUE"""),36350.666666666664)</f>
        <v>36350.66667</v>
      </c>
      <c r="B3437" s="1">
        <f>IFERROR(__xludf.DUMMYFUNCTION("""COMPUTED_VALUE"""),1394.42)</f>
        <v>1394.42</v>
      </c>
      <c r="C3437" s="1">
        <f>IFERROR(__xludf.DUMMYFUNCTION("""COMPUTED_VALUE"""),1403.28)</f>
        <v>1403.28</v>
      </c>
      <c r="D3437" s="1">
        <f>IFERROR(__xludf.DUMMYFUNCTION("""COMPUTED_VALUE"""),1394.42)</f>
        <v>1394.42</v>
      </c>
      <c r="E3437" s="1">
        <f>IFERROR(__xludf.DUMMYFUNCTION("""COMPUTED_VALUE"""),1403.28)</f>
        <v>1403.28</v>
      </c>
      <c r="F3437" s="1">
        <f>IFERROR(__xludf.DUMMYFUNCTION("""COMPUTED_VALUE"""),1.09531248E8)</f>
        <v>109531248</v>
      </c>
    </row>
    <row r="3438">
      <c r="A3438" s="2">
        <f>IFERROR(__xludf.DUMMYFUNCTION("""COMPUTED_VALUE"""),36353.666666666664)</f>
        <v>36353.66667</v>
      </c>
      <c r="B3438" s="1">
        <f>IFERROR(__xludf.DUMMYFUNCTION("""COMPUTED_VALUE"""),1403.28)</f>
        <v>1403.28</v>
      </c>
      <c r="C3438" s="1">
        <f>IFERROR(__xludf.DUMMYFUNCTION("""COMPUTED_VALUE"""),1407.04)</f>
        <v>1407.04</v>
      </c>
      <c r="D3438" s="1">
        <f>IFERROR(__xludf.DUMMYFUNCTION("""COMPUTED_VALUE"""),1394.7)</f>
        <v>1394.7</v>
      </c>
      <c r="E3438" s="1">
        <f>IFERROR(__xludf.DUMMYFUNCTION("""COMPUTED_VALUE"""),1399.1)</f>
        <v>1399.1</v>
      </c>
      <c r="F3438" s="1">
        <f>IFERROR(__xludf.DUMMYFUNCTION("""COMPUTED_VALUE"""),1.07078128E8)</f>
        <v>107078128</v>
      </c>
    </row>
    <row r="3439">
      <c r="A3439" s="2">
        <f>IFERROR(__xludf.DUMMYFUNCTION("""COMPUTED_VALUE"""),36354.666666666664)</f>
        <v>36354.66667</v>
      </c>
      <c r="B3439" s="1">
        <f>IFERROR(__xludf.DUMMYFUNCTION("""COMPUTED_VALUE"""),1399.1)</f>
        <v>1399.1</v>
      </c>
      <c r="C3439" s="1">
        <f>IFERROR(__xludf.DUMMYFUNCTION("""COMPUTED_VALUE"""),1399.1)</f>
        <v>1399.1</v>
      </c>
      <c r="D3439" s="1">
        <f>IFERROR(__xludf.DUMMYFUNCTION("""COMPUTED_VALUE"""),1386.84)</f>
        <v>1386.84</v>
      </c>
      <c r="E3439" s="1">
        <f>IFERROR(__xludf.DUMMYFUNCTION("""COMPUTED_VALUE"""),1393.56)</f>
        <v>1393.56</v>
      </c>
      <c r="F3439" s="1">
        <f>IFERROR(__xludf.DUMMYFUNCTION("""COMPUTED_VALUE"""),1.15E8)</f>
        <v>115000000</v>
      </c>
    </row>
    <row r="3440">
      <c r="A3440" s="2">
        <f>IFERROR(__xludf.DUMMYFUNCTION("""COMPUTED_VALUE"""),36355.666666666664)</f>
        <v>36355.66667</v>
      </c>
      <c r="B3440" s="1">
        <f>IFERROR(__xludf.DUMMYFUNCTION("""COMPUTED_VALUE"""),1393.56)</f>
        <v>1393.56</v>
      </c>
      <c r="C3440" s="1">
        <f>IFERROR(__xludf.DUMMYFUNCTION("""COMPUTED_VALUE"""),1400.1)</f>
        <v>1400.1</v>
      </c>
      <c r="D3440" s="1">
        <f>IFERROR(__xludf.DUMMYFUNCTION("""COMPUTED_VALUE"""),1386.54)</f>
        <v>1386.54</v>
      </c>
      <c r="E3440" s="1">
        <f>IFERROR(__xludf.DUMMYFUNCTION("""COMPUTED_VALUE"""),1398.17)</f>
        <v>1398.17</v>
      </c>
      <c r="F3440" s="1">
        <f>IFERROR(__xludf.DUMMYFUNCTION("""COMPUTED_VALUE"""),1.18140624E8)</f>
        <v>118140624</v>
      </c>
    </row>
    <row r="3441">
      <c r="A3441" s="2">
        <f>IFERROR(__xludf.DUMMYFUNCTION("""COMPUTED_VALUE"""),36356.666666666664)</f>
        <v>36356.66667</v>
      </c>
      <c r="B3441" s="1">
        <f>IFERROR(__xludf.DUMMYFUNCTION("""COMPUTED_VALUE"""),1398.17)</f>
        <v>1398.17</v>
      </c>
      <c r="C3441" s="1">
        <f>IFERROR(__xludf.DUMMYFUNCTION("""COMPUTED_VALUE"""),1409.72)</f>
        <v>1409.72</v>
      </c>
      <c r="D3441" s="1">
        <f>IFERROR(__xludf.DUMMYFUNCTION("""COMPUTED_VALUE"""),1398.17)</f>
        <v>1398.17</v>
      </c>
      <c r="E3441" s="1">
        <f>IFERROR(__xludf.DUMMYFUNCTION("""COMPUTED_VALUE"""),1409.62)</f>
        <v>1409.62</v>
      </c>
      <c r="F3441" s="1">
        <f>IFERROR(__xludf.DUMMYFUNCTION("""COMPUTED_VALUE"""),1.27937504E8)</f>
        <v>127937504</v>
      </c>
    </row>
    <row r="3442">
      <c r="A3442" s="2">
        <f>IFERROR(__xludf.DUMMYFUNCTION("""COMPUTED_VALUE"""),36357.666666666664)</f>
        <v>36357.66667</v>
      </c>
      <c r="B3442" s="1">
        <f>IFERROR(__xludf.DUMMYFUNCTION("""COMPUTED_VALUE"""),1409.62)</f>
        <v>1409.62</v>
      </c>
      <c r="C3442" s="1">
        <f>IFERROR(__xludf.DUMMYFUNCTION("""COMPUTED_VALUE"""),1418.82)</f>
        <v>1418.82</v>
      </c>
      <c r="D3442" s="1">
        <f>IFERROR(__xludf.DUMMYFUNCTION("""COMPUTED_VALUE"""),1406.99)</f>
        <v>1406.99</v>
      </c>
      <c r="E3442" s="1">
        <f>IFERROR(__xludf.DUMMYFUNCTION("""COMPUTED_VALUE"""),1418.78)</f>
        <v>1418.78</v>
      </c>
      <c r="F3442" s="1">
        <f>IFERROR(__xludf.DUMMYFUNCTION("""COMPUTED_VALUE"""),1.11578128E8)</f>
        <v>111578128</v>
      </c>
    </row>
    <row r="3443">
      <c r="A3443" s="2">
        <f>IFERROR(__xludf.DUMMYFUNCTION("""COMPUTED_VALUE"""),36360.666666666664)</f>
        <v>36360.66667</v>
      </c>
      <c r="B3443" s="1">
        <f>IFERROR(__xludf.DUMMYFUNCTION("""COMPUTED_VALUE"""),1418.78)</f>
        <v>1418.78</v>
      </c>
      <c r="C3443" s="1">
        <f>IFERROR(__xludf.DUMMYFUNCTION("""COMPUTED_VALUE"""),1420.14)</f>
        <v>1420.14</v>
      </c>
      <c r="D3443" s="1">
        <f>IFERROR(__xludf.DUMMYFUNCTION("""COMPUTED_VALUE"""),1404.6)</f>
        <v>1404.6</v>
      </c>
      <c r="E3443" s="1">
        <f>IFERROR(__xludf.DUMMYFUNCTION("""COMPUTED_VALUE"""),1407.65)</f>
        <v>1407.65</v>
      </c>
      <c r="F3443" s="1">
        <f>IFERROR(__xludf.DUMMYFUNCTION("""COMPUTED_VALUE"""),1.00364064E8)</f>
        <v>100364064</v>
      </c>
    </row>
    <row r="3444">
      <c r="A3444" s="2">
        <f>IFERROR(__xludf.DUMMYFUNCTION("""COMPUTED_VALUE"""),36361.666666666664)</f>
        <v>36361.66667</v>
      </c>
      <c r="B3444" s="1">
        <f>IFERROR(__xludf.DUMMYFUNCTION("""COMPUTED_VALUE"""),1407.65)</f>
        <v>1407.65</v>
      </c>
      <c r="C3444" s="1">
        <f>IFERROR(__xludf.DUMMYFUNCTION("""COMPUTED_VALUE"""),1407.65)</f>
        <v>1407.65</v>
      </c>
      <c r="D3444" s="1">
        <f>IFERROR(__xludf.DUMMYFUNCTION("""COMPUTED_VALUE"""),1375.18)</f>
        <v>1375.18</v>
      </c>
      <c r="E3444" s="1">
        <f>IFERROR(__xludf.DUMMYFUNCTION("""COMPUTED_VALUE"""),1377.1)</f>
        <v>1377.1</v>
      </c>
      <c r="F3444" s="1">
        <f>IFERROR(__xludf.DUMMYFUNCTION("""COMPUTED_VALUE"""),1.17937504E8)</f>
        <v>117937504</v>
      </c>
    </row>
    <row r="3445">
      <c r="A3445" s="2">
        <f>IFERROR(__xludf.DUMMYFUNCTION("""COMPUTED_VALUE"""),36362.666666666664)</f>
        <v>36362.66667</v>
      </c>
      <c r="B3445" s="1">
        <f>IFERROR(__xludf.DUMMYFUNCTION("""COMPUTED_VALUE"""),1377.1)</f>
        <v>1377.1</v>
      </c>
      <c r="C3445" s="1">
        <f>IFERROR(__xludf.DUMMYFUNCTION("""COMPUTED_VALUE"""),1386.59)</f>
        <v>1386.59</v>
      </c>
      <c r="D3445" s="1">
        <f>IFERROR(__xludf.DUMMYFUNCTION("""COMPUTED_VALUE"""),1372.64)</f>
        <v>1372.64</v>
      </c>
      <c r="E3445" s="1">
        <f>IFERROR(__xludf.DUMMYFUNCTION("""COMPUTED_VALUE"""),1379.29)</f>
        <v>1379.29</v>
      </c>
      <c r="F3445" s="1">
        <f>IFERROR(__xludf.DUMMYFUNCTION("""COMPUTED_VALUE"""),1.22734376E8)</f>
        <v>122734376</v>
      </c>
    </row>
    <row r="3446">
      <c r="A3446" s="2">
        <f>IFERROR(__xludf.DUMMYFUNCTION("""COMPUTED_VALUE"""),36363.666666666664)</f>
        <v>36363.66667</v>
      </c>
      <c r="B3446" s="1">
        <f>IFERROR(__xludf.DUMMYFUNCTION("""COMPUTED_VALUE"""),1379.29)</f>
        <v>1379.29</v>
      </c>
      <c r="C3446" s="1">
        <f>IFERROR(__xludf.DUMMYFUNCTION("""COMPUTED_VALUE"""),1379.29)</f>
        <v>1379.29</v>
      </c>
      <c r="D3446" s="1">
        <f>IFERROR(__xludf.DUMMYFUNCTION("""COMPUTED_VALUE"""),1354.02)</f>
        <v>1354.02</v>
      </c>
      <c r="E3446" s="1">
        <f>IFERROR(__xludf.DUMMYFUNCTION("""COMPUTED_VALUE"""),1360.97)</f>
        <v>1360.97</v>
      </c>
      <c r="F3446" s="1">
        <f>IFERROR(__xludf.DUMMYFUNCTION("""COMPUTED_VALUE"""),1.20578128E8)</f>
        <v>120578128</v>
      </c>
    </row>
    <row r="3447">
      <c r="A3447" s="2">
        <f>IFERROR(__xludf.DUMMYFUNCTION("""COMPUTED_VALUE"""),36364.666666666664)</f>
        <v>36364.66667</v>
      </c>
      <c r="B3447" s="1">
        <f>IFERROR(__xludf.DUMMYFUNCTION("""COMPUTED_VALUE"""),1360.97)</f>
        <v>1360.97</v>
      </c>
      <c r="C3447" s="1">
        <f>IFERROR(__xludf.DUMMYFUNCTION("""COMPUTED_VALUE"""),1367.42)</f>
        <v>1367.42</v>
      </c>
      <c r="D3447" s="1">
        <f>IFERROR(__xludf.DUMMYFUNCTION("""COMPUTED_VALUE"""),1349.96)</f>
        <v>1349.96</v>
      </c>
      <c r="E3447" s="1">
        <f>IFERROR(__xludf.DUMMYFUNCTION("""COMPUTED_VALUE"""),1356.94)</f>
        <v>1356.94</v>
      </c>
      <c r="F3447" s="1">
        <f>IFERROR(__xludf.DUMMYFUNCTION("""COMPUTED_VALUE"""),9.8528128E7)</f>
        <v>98528128</v>
      </c>
    </row>
    <row r="3448">
      <c r="A3448" s="2">
        <f>IFERROR(__xludf.DUMMYFUNCTION("""COMPUTED_VALUE"""),36367.666666666664)</f>
        <v>36367.66667</v>
      </c>
      <c r="B3448" s="1">
        <f>IFERROR(__xludf.DUMMYFUNCTION("""COMPUTED_VALUE"""),1356.94)</f>
        <v>1356.94</v>
      </c>
      <c r="C3448" s="1">
        <f>IFERROR(__xludf.DUMMYFUNCTION("""COMPUTED_VALUE"""),1358.57)</f>
        <v>1358.57</v>
      </c>
      <c r="D3448" s="1">
        <f>IFERROR(__xludf.DUMMYFUNCTION("""COMPUTED_VALUE"""),1346.11)</f>
        <v>1346.11</v>
      </c>
      <c r="E3448" s="1">
        <f>IFERROR(__xludf.DUMMYFUNCTION("""COMPUTED_VALUE"""),1347.76)</f>
        <v>1347.76</v>
      </c>
      <c r="F3448" s="1">
        <f>IFERROR(__xludf.DUMMYFUNCTION("""COMPUTED_VALUE"""),9.585156E7)</f>
        <v>95851560</v>
      </c>
    </row>
    <row r="3449">
      <c r="A3449" s="2">
        <f>IFERROR(__xludf.DUMMYFUNCTION("""COMPUTED_VALUE"""),36368.666666666664)</f>
        <v>36368.66667</v>
      </c>
      <c r="B3449" s="1">
        <f>IFERROR(__xludf.DUMMYFUNCTION("""COMPUTED_VALUE"""),1347.75)</f>
        <v>1347.75</v>
      </c>
      <c r="C3449" s="1">
        <f>IFERROR(__xludf.DUMMYFUNCTION("""COMPUTED_VALUE"""),1368.77)</f>
        <v>1368.77</v>
      </c>
      <c r="D3449" s="1">
        <f>IFERROR(__xludf.DUMMYFUNCTION("""COMPUTED_VALUE"""),1347.75)</f>
        <v>1347.75</v>
      </c>
      <c r="E3449" s="1">
        <f>IFERROR(__xludf.DUMMYFUNCTION("""COMPUTED_VALUE"""),1362.84)</f>
        <v>1362.84</v>
      </c>
      <c r="F3449" s="1">
        <f>IFERROR(__xludf.DUMMYFUNCTION("""COMPUTED_VALUE"""),1.13093752E8)</f>
        <v>113093752</v>
      </c>
    </row>
    <row r="3450">
      <c r="A3450" s="2">
        <f>IFERROR(__xludf.DUMMYFUNCTION("""COMPUTED_VALUE"""),36369.666666666664)</f>
        <v>36369.66667</v>
      </c>
      <c r="B3450" s="1">
        <f>IFERROR(__xludf.DUMMYFUNCTION("""COMPUTED_VALUE"""),1362.84)</f>
        <v>1362.84</v>
      </c>
      <c r="C3450" s="1">
        <f>IFERROR(__xludf.DUMMYFUNCTION("""COMPUTED_VALUE"""),1370.53)</f>
        <v>1370.53</v>
      </c>
      <c r="D3450" s="1">
        <f>IFERROR(__xludf.DUMMYFUNCTION("""COMPUTED_VALUE"""),1355.54)</f>
        <v>1355.54</v>
      </c>
      <c r="E3450" s="1">
        <f>IFERROR(__xludf.DUMMYFUNCTION("""COMPUTED_VALUE"""),1365.4)</f>
        <v>1365.4</v>
      </c>
      <c r="F3450" s="1">
        <f>IFERROR(__xludf.DUMMYFUNCTION("""COMPUTED_VALUE"""),1.07953128E8)</f>
        <v>107953128</v>
      </c>
    </row>
    <row r="3451">
      <c r="A3451" s="2">
        <f>IFERROR(__xludf.DUMMYFUNCTION("""COMPUTED_VALUE"""),36370.666666666664)</f>
        <v>36370.66667</v>
      </c>
      <c r="B3451" s="1">
        <f>IFERROR(__xludf.DUMMYFUNCTION("""COMPUTED_VALUE"""),1365.4)</f>
        <v>1365.4</v>
      </c>
      <c r="C3451" s="1">
        <f>IFERROR(__xludf.DUMMYFUNCTION("""COMPUTED_VALUE"""),1365.4)</f>
        <v>1365.4</v>
      </c>
      <c r="D3451" s="1">
        <f>IFERROR(__xludf.DUMMYFUNCTION("""COMPUTED_VALUE"""),1332.82)</f>
        <v>1332.82</v>
      </c>
      <c r="E3451" s="1">
        <f>IFERROR(__xludf.DUMMYFUNCTION("""COMPUTED_VALUE"""),1341.03)</f>
        <v>1341.03</v>
      </c>
      <c r="F3451" s="1">
        <f>IFERROR(__xludf.DUMMYFUNCTION("""COMPUTED_VALUE"""),1.20328128E8)</f>
        <v>120328128</v>
      </c>
    </row>
    <row r="3452">
      <c r="A3452" s="2">
        <f>IFERROR(__xludf.DUMMYFUNCTION("""COMPUTED_VALUE"""),36371.666666666664)</f>
        <v>36371.66667</v>
      </c>
      <c r="B3452" s="1">
        <f>IFERROR(__xludf.DUMMYFUNCTION("""COMPUTED_VALUE"""),1341.03)</f>
        <v>1341.03</v>
      </c>
      <c r="C3452" s="1">
        <f>IFERROR(__xludf.DUMMYFUNCTION("""COMPUTED_VALUE"""),1350.92)</f>
        <v>1350.92</v>
      </c>
      <c r="D3452" s="1">
        <f>IFERROR(__xludf.DUMMYFUNCTION("""COMPUTED_VALUE"""),1328.49)</f>
        <v>1328.49</v>
      </c>
      <c r="E3452" s="1">
        <f>IFERROR(__xludf.DUMMYFUNCTION("""COMPUTED_VALUE"""),1328.72)</f>
        <v>1328.72</v>
      </c>
      <c r="F3452" s="1">
        <f>IFERROR(__xludf.DUMMYFUNCTION("""COMPUTED_VALUE"""),1.15125E8)</f>
        <v>115125000</v>
      </c>
    </row>
    <row r="3453">
      <c r="A3453" s="2">
        <f>IFERROR(__xludf.DUMMYFUNCTION("""COMPUTED_VALUE"""),36374.666666666664)</f>
        <v>36374.66667</v>
      </c>
      <c r="B3453" s="1">
        <f>IFERROR(__xludf.DUMMYFUNCTION("""COMPUTED_VALUE"""),1328.72)</f>
        <v>1328.72</v>
      </c>
      <c r="C3453" s="1">
        <f>IFERROR(__xludf.DUMMYFUNCTION("""COMPUTED_VALUE"""),1344.73)</f>
        <v>1344.73</v>
      </c>
      <c r="D3453" s="1">
        <f>IFERROR(__xludf.DUMMYFUNCTION("""COMPUTED_VALUE"""),1325.18)</f>
        <v>1325.18</v>
      </c>
      <c r="E3453" s="1">
        <f>IFERROR(__xludf.DUMMYFUNCTION("""COMPUTED_VALUE"""),1328.05)</f>
        <v>1328.05</v>
      </c>
      <c r="F3453" s="1">
        <f>IFERROR(__xludf.DUMMYFUNCTION("""COMPUTED_VALUE"""),1.01492184E8)</f>
        <v>101492184</v>
      </c>
    </row>
    <row r="3454">
      <c r="A3454" s="2">
        <f>IFERROR(__xludf.DUMMYFUNCTION("""COMPUTED_VALUE"""),36375.666666666664)</f>
        <v>36375.66667</v>
      </c>
      <c r="B3454" s="1">
        <f>IFERROR(__xludf.DUMMYFUNCTION("""COMPUTED_VALUE"""),1328.05)</f>
        <v>1328.05</v>
      </c>
      <c r="C3454" s="1">
        <f>IFERROR(__xludf.DUMMYFUNCTION("""COMPUTED_VALUE"""),1336.06)</f>
        <v>1336.06</v>
      </c>
      <c r="D3454" s="1">
        <f>IFERROR(__xludf.DUMMYFUNCTION("""COMPUTED_VALUE"""),1314.94)</f>
        <v>1314.94</v>
      </c>
      <c r="E3454" s="1">
        <f>IFERROR(__xludf.DUMMYFUNCTION("""COMPUTED_VALUE"""),1322.18)</f>
        <v>1322.18</v>
      </c>
      <c r="F3454" s="1">
        <f>IFERROR(__xludf.DUMMYFUNCTION("""COMPUTED_VALUE"""),1.15562496E8)</f>
        <v>115562496</v>
      </c>
    </row>
    <row r="3455">
      <c r="A3455" s="2">
        <f>IFERROR(__xludf.DUMMYFUNCTION("""COMPUTED_VALUE"""),36376.666666666664)</f>
        <v>36376.66667</v>
      </c>
      <c r="B3455" s="1">
        <f>IFERROR(__xludf.DUMMYFUNCTION("""COMPUTED_VALUE"""),1322.18)</f>
        <v>1322.18</v>
      </c>
      <c r="C3455" s="1">
        <f>IFERROR(__xludf.DUMMYFUNCTION("""COMPUTED_VALUE"""),1330.09)</f>
        <v>1330.09</v>
      </c>
      <c r="D3455" s="1">
        <f>IFERROR(__xludf.DUMMYFUNCTION("""COMPUTED_VALUE"""),1304.54)</f>
        <v>1304.54</v>
      </c>
      <c r="E3455" s="1">
        <f>IFERROR(__xludf.DUMMYFUNCTION("""COMPUTED_VALUE"""),1305.33)</f>
        <v>1305.33</v>
      </c>
      <c r="F3455" s="1">
        <f>IFERROR(__xludf.DUMMYFUNCTION("""COMPUTED_VALUE"""),1.23328128E8)</f>
        <v>123328128</v>
      </c>
    </row>
    <row r="3456">
      <c r="A3456" s="2">
        <f>IFERROR(__xludf.DUMMYFUNCTION("""COMPUTED_VALUE"""),36377.666666666664)</f>
        <v>36377.66667</v>
      </c>
      <c r="B3456" s="1">
        <f>IFERROR(__xludf.DUMMYFUNCTION("""COMPUTED_VALUE"""),1305.33)</f>
        <v>1305.33</v>
      </c>
      <c r="C3456" s="1">
        <f>IFERROR(__xludf.DUMMYFUNCTION("""COMPUTED_VALUE"""),1313.71)</f>
        <v>1313.71</v>
      </c>
      <c r="D3456" s="1">
        <f>IFERROR(__xludf.DUMMYFUNCTION("""COMPUTED_VALUE"""),1287.3)</f>
        <v>1287.3</v>
      </c>
      <c r="E3456" s="1">
        <f>IFERROR(__xludf.DUMMYFUNCTION("""COMPUTED_VALUE"""),1313.71)</f>
        <v>1313.71</v>
      </c>
      <c r="F3456" s="1">
        <f>IFERROR(__xludf.DUMMYFUNCTION("""COMPUTED_VALUE"""),1.34265632E8)</f>
        <v>134265632</v>
      </c>
    </row>
    <row r="3457">
      <c r="A3457" s="2">
        <f>IFERROR(__xludf.DUMMYFUNCTION("""COMPUTED_VALUE"""),36378.666666666664)</f>
        <v>36378.66667</v>
      </c>
      <c r="B3457" s="1">
        <f>IFERROR(__xludf.DUMMYFUNCTION("""COMPUTED_VALUE"""),1313.71)</f>
        <v>1313.71</v>
      </c>
      <c r="C3457" s="1">
        <f>IFERROR(__xludf.DUMMYFUNCTION("""COMPUTED_VALUE"""),1316.75)</f>
        <v>1316.75</v>
      </c>
      <c r="D3457" s="1">
        <f>IFERROR(__xludf.DUMMYFUNCTION("""COMPUTED_VALUE"""),1293.18)</f>
        <v>1293.18</v>
      </c>
      <c r="E3457" s="1">
        <f>IFERROR(__xludf.DUMMYFUNCTION("""COMPUTED_VALUE"""),1300.29)</f>
        <v>1300.29</v>
      </c>
      <c r="F3457" s="1">
        <f>IFERROR(__xludf.DUMMYFUNCTION("""COMPUTED_VALUE"""),1.09203128E8)</f>
        <v>109203128</v>
      </c>
    </row>
    <row r="3458">
      <c r="A3458" s="2">
        <f>IFERROR(__xludf.DUMMYFUNCTION("""COMPUTED_VALUE"""),36381.666666666664)</f>
        <v>36381.66667</v>
      </c>
      <c r="B3458" s="1">
        <f>IFERROR(__xludf.DUMMYFUNCTION("""COMPUTED_VALUE"""),1300.29)</f>
        <v>1300.29</v>
      </c>
      <c r="C3458" s="1">
        <f>IFERROR(__xludf.DUMMYFUNCTION("""COMPUTED_VALUE"""),1306.71)</f>
        <v>1306.71</v>
      </c>
      <c r="D3458" s="1">
        <f>IFERROR(__xludf.DUMMYFUNCTION("""COMPUTED_VALUE"""),1295.93)</f>
        <v>1295.93</v>
      </c>
      <c r="E3458" s="1">
        <f>IFERROR(__xludf.DUMMYFUNCTION("""COMPUTED_VALUE"""),1297.8)</f>
        <v>1297.8</v>
      </c>
      <c r="F3458" s="1">
        <f>IFERROR(__xludf.DUMMYFUNCTION("""COMPUTED_VALUE"""),1.06921872E8)</f>
        <v>106921872</v>
      </c>
    </row>
    <row r="3459">
      <c r="A3459" s="2">
        <f>IFERROR(__xludf.DUMMYFUNCTION("""COMPUTED_VALUE"""),36382.666666666664)</f>
        <v>36382.66667</v>
      </c>
      <c r="B3459" s="1">
        <f>IFERROR(__xludf.DUMMYFUNCTION("""COMPUTED_VALUE"""),1297.8)</f>
        <v>1297.8</v>
      </c>
      <c r="C3459" s="1">
        <f>IFERROR(__xludf.DUMMYFUNCTION("""COMPUTED_VALUE"""),1298.78)</f>
        <v>1298.78</v>
      </c>
      <c r="D3459" s="1">
        <f>IFERROR(__xludf.DUMMYFUNCTION("""COMPUTED_VALUE"""),1267.73)</f>
        <v>1267.73</v>
      </c>
      <c r="E3459" s="1">
        <f>IFERROR(__xludf.DUMMYFUNCTION("""COMPUTED_VALUE"""),1281.43)</f>
        <v>1281.43</v>
      </c>
      <c r="F3459" s="1">
        <f>IFERROR(__xludf.DUMMYFUNCTION("""COMPUTED_VALUE"""),1.30656248E8)</f>
        <v>130656248</v>
      </c>
    </row>
    <row r="3460">
      <c r="A3460" s="2">
        <f>IFERROR(__xludf.DUMMYFUNCTION("""COMPUTED_VALUE"""),36383.666666666664)</f>
        <v>36383.66667</v>
      </c>
      <c r="B3460" s="1">
        <f>IFERROR(__xludf.DUMMYFUNCTION("""COMPUTED_VALUE"""),1281.43)</f>
        <v>1281.43</v>
      </c>
      <c r="C3460" s="1">
        <f>IFERROR(__xludf.DUMMYFUNCTION("""COMPUTED_VALUE"""),1301.93)</f>
        <v>1301.93</v>
      </c>
      <c r="D3460" s="1">
        <f>IFERROR(__xludf.DUMMYFUNCTION("""COMPUTED_VALUE"""),1281.43)</f>
        <v>1281.43</v>
      </c>
      <c r="E3460" s="1">
        <f>IFERROR(__xludf.DUMMYFUNCTION("""COMPUTED_VALUE"""),1301.93)</f>
        <v>1301.93</v>
      </c>
      <c r="F3460" s="1">
        <f>IFERROR(__xludf.DUMMYFUNCTION("""COMPUTED_VALUE"""),1.23796872E8)</f>
        <v>123796872</v>
      </c>
    </row>
    <row r="3461">
      <c r="A3461" s="2">
        <f>IFERROR(__xludf.DUMMYFUNCTION("""COMPUTED_VALUE"""),36384.666666666664)</f>
        <v>36384.66667</v>
      </c>
      <c r="B3461" s="1">
        <f>IFERROR(__xludf.DUMMYFUNCTION("""COMPUTED_VALUE"""),1301.93)</f>
        <v>1301.93</v>
      </c>
      <c r="C3461" s="1">
        <f>IFERROR(__xludf.DUMMYFUNCTION("""COMPUTED_VALUE"""),1313.61)</f>
        <v>1313.61</v>
      </c>
      <c r="D3461" s="1">
        <f>IFERROR(__xludf.DUMMYFUNCTION("""COMPUTED_VALUE"""),1298.06)</f>
        <v>1298.06</v>
      </c>
      <c r="E3461" s="1">
        <f>IFERROR(__xludf.DUMMYFUNCTION("""COMPUTED_VALUE"""),1298.16)</f>
        <v>1298.16</v>
      </c>
      <c r="F3461" s="1">
        <f>IFERROR(__xludf.DUMMYFUNCTION("""COMPUTED_VALUE"""),1.165E8)</f>
        <v>116500000</v>
      </c>
    </row>
    <row r="3462">
      <c r="A3462" s="2">
        <f>IFERROR(__xludf.DUMMYFUNCTION("""COMPUTED_VALUE"""),36385.666666666664)</f>
        <v>36385.66667</v>
      </c>
      <c r="B3462" s="1">
        <f>IFERROR(__xludf.DUMMYFUNCTION("""COMPUTED_VALUE"""),1298.16)</f>
        <v>1298.16</v>
      </c>
      <c r="C3462" s="1">
        <f>IFERROR(__xludf.DUMMYFUNCTION("""COMPUTED_VALUE"""),1327.71)</f>
        <v>1327.71</v>
      </c>
      <c r="D3462" s="1">
        <f>IFERROR(__xludf.DUMMYFUNCTION("""COMPUTED_VALUE"""),1298.16)</f>
        <v>1298.16</v>
      </c>
      <c r="E3462" s="1">
        <f>IFERROR(__xludf.DUMMYFUNCTION("""COMPUTED_VALUE"""),1327.68)</f>
        <v>1327.68</v>
      </c>
      <c r="F3462" s="1">
        <f>IFERROR(__xludf.DUMMYFUNCTION("""COMPUTED_VALUE"""),1.08078128E8)</f>
        <v>108078128</v>
      </c>
    </row>
    <row r="3463">
      <c r="A3463" s="2">
        <f>IFERROR(__xludf.DUMMYFUNCTION("""COMPUTED_VALUE"""),36388.666666666664)</f>
        <v>36388.66667</v>
      </c>
      <c r="B3463" s="1">
        <f>IFERROR(__xludf.DUMMYFUNCTION("""COMPUTED_VALUE"""),1327.68)</f>
        <v>1327.68</v>
      </c>
      <c r="C3463" s="1">
        <f>IFERROR(__xludf.DUMMYFUNCTION("""COMPUTED_VALUE"""),1331.1)</f>
        <v>1331.1</v>
      </c>
      <c r="D3463" s="1">
        <f>IFERROR(__xludf.DUMMYFUNCTION("""COMPUTED_VALUE"""),1320.79)</f>
        <v>1320.79</v>
      </c>
      <c r="E3463" s="1">
        <f>IFERROR(__xludf.DUMMYFUNCTION("""COMPUTED_VALUE"""),1330.77)</f>
        <v>1330.77</v>
      </c>
      <c r="F3463" s="1">
        <f>IFERROR(__xludf.DUMMYFUNCTION("""COMPUTED_VALUE"""),9.1179688E7)</f>
        <v>91179688</v>
      </c>
    </row>
    <row r="3464">
      <c r="A3464" s="2">
        <f>IFERROR(__xludf.DUMMYFUNCTION("""COMPUTED_VALUE"""),36389.666666666664)</f>
        <v>36389.66667</v>
      </c>
      <c r="B3464" s="1">
        <f>IFERROR(__xludf.DUMMYFUNCTION("""COMPUTED_VALUE"""),1330.77)</f>
        <v>1330.77</v>
      </c>
      <c r="C3464" s="1">
        <f>IFERROR(__xludf.DUMMYFUNCTION("""COMPUTED_VALUE"""),1344.16)</f>
        <v>1344.16</v>
      </c>
      <c r="D3464" s="1">
        <f>IFERROR(__xludf.DUMMYFUNCTION("""COMPUTED_VALUE"""),1328.76)</f>
        <v>1328.76</v>
      </c>
      <c r="E3464" s="1">
        <f>IFERROR(__xludf.DUMMYFUNCTION("""COMPUTED_VALUE"""),1344.16)</f>
        <v>1344.16</v>
      </c>
      <c r="F3464" s="1">
        <f>IFERROR(__xludf.DUMMYFUNCTION("""COMPUTED_VALUE"""),1.08046872E8)</f>
        <v>108046872</v>
      </c>
    </row>
    <row r="3465">
      <c r="A3465" s="2">
        <f>IFERROR(__xludf.DUMMYFUNCTION("""COMPUTED_VALUE"""),36390.666666666664)</f>
        <v>36390.66667</v>
      </c>
      <c r="B3465" s="1">
        <f>IFERROR(__xludf.DUMMYFUNCTION("""COMPUTED_VALUE"""),1344.16)</f>
        <v>1344.16</v>
      </c>
      <c r="C3465" s="1">
        <f>IFERROR(__xludf.DUMMYFUNCTION("""COMPUTED_VALUE"""),1344.16)</f>
        <v>1344.16</v>
      </c>
      <c r="D3465" s="1">
        <f>IFERROR(__xludf.DUMMYFUNCTION("""COMPUTED_VALUE"""),1332.07)</f>
        <v>1332.07</v>
      </c>
      <c r="E3465" s="1">
        <f>IFERROR(__xludf.DUMMYFUNCTION("""COMPUTED_VALUE"""),1332.84)</f>
        <v>1332.84</v>
      </c>
      <c r="F3465" s="1">
        <f>IFERROR(__xludf.DUMMYFUNCTION("""COMPUTED_VALUE"""),1.06687504E8)</f>
        <v>106687504</v>
      </c>
    </row>
    <row r="3466">
      <c r="A3466" s="2">
        <f>IFERROR(__xludf.DUMMYFUNCTION("""COMPUTED_VALUE"""),36391.666666666664)</f>
        <v>36391.66667</v>
      </c>
      <c r="B3466" s="1">
        <f>IFERROR(__xludf.DUMMYFUNCTION("""COMPUTED_VALUE"""),1332.84)</f>
        <v>1332.84</v>
      </c>
      <c r="C3466" s="1">
        <f>IFERROR(__xludf.DUMMYFUNCTION("""COMPUTED_VALUE"""),1332.84)</f>
        <v>1332.84</v>
      </c>
      <c r="D3466" s="1">
        <f>IFERROR(__xludf.DUMMYFUNCTION("""COMPUTED_VALUE"""),1315.37)</f>
        <v>1315.37</v>
      </c>
      <c r="E3466" s="1">
        <f>IFERROR(__xludf.DUMMYFUNCTION("""COMPUTED_VALUE"""),1323.59)</f>
        <v>1323.59</v>
      </c>
      <c r="F3466" s="1">
        <f>IFERROR(__xludf.DUMMYFUNCTION("""COMPUTED_VALUE"""),1.06906248E8)</f>
        <v>106906248</v>
      </c>
    </row>
    <row r="3467">
      <c r="A3467" s="2">
        <f>IFERROR(__xludf.DUMMYFUNCTION("""COMPUTED_VALUE"""),36392.666666666664)</f>
        <v>36392.66667</v>
      </c>
      <c r="B3467" s="1">
        <f>IFERROR(__xludf.DUMMYFUNCTION("""COMPUTED_VALUE"""),1323.59)</f>
        <v>1323.59</v>
      </c>
      <c r="C3467" s="1">
        <f>IFERROR(__xludf.DUMMYFUNCTION("""COMPUTED_VALUE"""),1336.61)</f>
        <v>1336.61</v>
      </c>
      <c r="D3467" s="1">
        <f>IFERROR(__xludf.DUMMYFUNCTION("""COMPUTED_VALUE"""),1323.59)</f>
        <v>1323.59</v>
      </c>
      <c r="E3467" s="1">
        <f>IFERROR(__xludf.DUMMYFUNCTION("""COMPUTED_VALUE"""),1336.61)</f>
        <v>1336.61</v>
      </c>
      <c r="F3467" s="1">
        <f>IFERROR(__xludf.DUMMYFUNCTION("""COMPUTED_VALUE"""),1.03312496E8)</f>
        <v>103312496</v>
      </c>
    </row>
    <row r="3468">
      <c r="A3468" s="2">
        <f>IFERROR(__xludf.DUMMYFUNCTION("""COMPUTED_VALUE"""),36395.666666666664)</f>
        <v>36395.66667</v>
      </c>
      <c r="B3468" s="1">
        <f>IFERROR(__xludf.DUMMYFUNCTION("""COMPUTED_VALUE"""),1336.61)</f>
        <v>1336.61</v>
      </c>
      <c r="C3468" s="1">
        <f>IFERROR(__xludf.DUMMYFUNCTION("""COMPUTED_VALUE"""),1360.24)</f>
        <v>1360.24</v>
      </c>
      <c r="D3468" s="1">
        <f>IFERROR(__xludf.DUMMYFUNCTION("""COMPUTED_VALUE"""),1336.61)</f>
        <v>1336.61</v>
      </c>
      <c r="E3468" s="1">
        <f>IFERROR(__xludf.DUMMYFUNCTION("""COMPUTED_VALUE"""),1360.22)</f>
        <v>1360.22</v>
      </c>
      <c r="F3468" s="1">
        <f>IFERROR(__xludf.DUMMYFUNCTION("""COMPUTED_VALUE"""),1.06656248E8)</f>
        <v>106656248</v>
      </c>
    </row>
    <row r="3469">
      <c r="A3469" s="2">
        <f>IFERROR(__xludf.DUMMYFUNCTION("""COMPUTED_VALUE"""),36396.666666666664)</f>
        <v>36396.66667</v>
      </c>
      <c r="B3469" s="1">
        <f>IFERROR(__xludf.DUMMYFUNCTION("""COMPUTED_VALUE"""),1360.22)</f>
        <v>1360.22</v>
      </c>
      <c r="C3469" s="1">
        <f>IFERROR(__xludf.DUMMYFUNCTION("""COMPUTED_VALUE"""),1373.32)</f>
        <v>1373.32</v>
      </c>
      <c r="D3469" s="1">
        <f>IFERROR(__xludf.DUMMYFUNCTION("""COMPUTED_VALUE"""),1353.74)</f>
        <v>1353.74</v>
      </c>
      <c r="E3469" s="1">
        <f>IFERROR(__xludf.DUMMYFUNCTION("""COMPUTED_VALUE"""),1363.5)</f>
        <v>1363.5</v>
      </c>
      <c r="F3469" s="1">
        <f>IFERROR(__xludf.DUMMYFUNCTION("""COMPUTED_VALUE"""),1.14484376E8)</f>
        <v>114484376</v>
      </c>
    </row>
    <row r="3470">
      <c r="A3470" s="2">
        <f>IFERROR(__xludf.DUMMYFUNCTION("""COMPUTED_VALUE"""),36397.666666666664)</f>
        <v>36397.66667</v>
      </c>
      <c r="B3470" s="1">
        <f>IFERROR(__xludf.DUMMYFUNCTION("""COMPUTED_VALUE"""),1363.5)</f>
        <v>1363.5</v>
      </c>
      <c r="C3470" s="1">
        <f>IFERROR(__xludf.DUMMYFUNCTION("""COMPUTED_VALUE"""),1382.75)</f>
        <v>1382.75</v>
      </c>
      <c r="D3470" s="1">
        <f>IFERROR(__xludf.DUMMYFUNCTION("""COMPUTED_VALUE"""),1359.18)</f>
        <v>1359.18</v>
      </c>
      <c r="E3470" s="1">
        <f>IFERROR(__xludf.DUMMYFUNCTION("""COMPUTED_VALUE"""),1381.79)</f>
        <v>1381.79</v>
      </c>
      <c r="F3470" s="1">
        <f>IFERROR(__xludf.DUMMYFUNCTION("""COMPUTED_VALUE"""),1.35093744E8)</f>
        <v>135093744</v>
      </c>
    </row>
    <row r="3471">
      <c r="A3471" s="2">
        <f>IFERROR(__xludf.DUMMYFUNCTION("""COMPUTED_VALUE"""),36398.666666666664)</f>
        <v>36398.66667</v>
      </c>
      <c r="B3471" s="1">
        <f>IFERROR(__xludf.DUMMYFUNCTION("""COMPUTED_VALUE"""),1381.79)</f>
        <v>1381.79</v>
      </c>
      <c r="C3471" s="1">
        <f>IFERROR(__xludf.DUMMYFUNCTION("""COMPUTED_VALUE"""),1381.79)</f>
        <v>1381.79</v>
      </c>
      <c r="D3471" s="1">
        <f>IFERROR(__xludf.DUMMYFUNCTION("""COMPUTED_VALUE"""),1361.62)</f>
        <v>1361.62</v>
      </c>
      <c r="E3471" s="1">
        <f>IFERROR(__xludf.DUMMYFUNCTION("""COMPUTED_VALUE"""),1362.01)</f>
        <v>1362.01</v>
      </c>
      <c r="F3471" s="1">
        <f>IFERROR(__xludf.DUMMYFUNCTION("""COMPUTED_VALUE"""),1.12343752E8)</f>
        <v>112343752</v>
      </c>
    </row>
    <row r="3472">
      <c r="A3472" s="2">
        <f>IFERROR(__xludf.DUMMYFUNCTION("""COMPUTED_VALUE"""),36399.666666666664)</f>
        <v>36399.66667</v>
      </c>
      <c r="B3472" s="1">
        <f>IFERROR(__xludf.DUMMYFUNCTION("""COMPUTED_VALUE"""),1362.01)</f>
        <v>1362.01</v>
      </c>
      <c r="C3472" s="1">
        <f>IFERROR(__xludf.DUMMYFUNCTION("""COMPUTED_VALUE"""),1365.63)</f>
        <v>1365.63</v>
      </c>
      <c r="D3472" s="1">
        <f>IFERROR(__xludf.DUMMYFUNCTION("""COMPUTED_VALUE"""),1347.35)</f>
        <v>1347.35</v>
      </c>
      <c r="E3472" s="1">
        <f>IFERROR(__xludf.DUMMYFUNCTION("""COMPUTED_VALUE"""),1348.27)</f>
        <v>1348.27</v>
      </c>
      <c r="F3472" s="1">
        <f>IFERROR(__xludf.DUMMYFUNCTION("""COMPUTED_VALUE"""),8.9070312E7)</f>
        <v>89070312</v>
      </c>
    </row>
    <row r="3473">
      <c r="A3473" s="2">
        <f>IFERROR(__xludf.DUMMYFUNCTION("""COMPUTED_VALUE"""),36402.666666666664)</f>
        <v>36402.66667</v>
      </c>
      <c r="B3473" s="1">
        <f>IFERROR(__xludf.DUMMYFUNCTION("""COMPUTED_VALUE"""),1348.27)</f>
        <v>1348.27</v>
      </c>
      <c r="C3473" s="1">
        <f>IFERROR(__xludf.DUMMYFUNCTION("""COMPUTED_VALUE"""),1350.58)</f>
        <v>1350.58</v>
      </c>
      <c r="D3473" s="1">
        <f>IFERROR(__xludf.DUMMYFUNCTION("""COMPUTED_VALUE"""),1322.77)</f>
        <v>1322.77</v>
      </c>
      <c r="E3473" s="1">
        <f>IFERROR(__xludf.DUMMYFUNCTION("""COMPUTED_VALUE"""),1324.02)</f>
        <v>1324.02</v>
      </c>
      <c r="F3473" s="1">
        <f>IFERROR(__xludf.DUMMYFUNCTION("""COMPUTED_VALUE"""),9.3421872E7)</f>
        <v>93421872</v>
      </c>
    </row>
    <row r="3474">
      <c r="A3474" s="2">
        <f>IFERROR(__xludf.DUMMYFUNCTION("""COMPUTED_VALUE"""),36403.666666666664)</f>
        <v>36403.66667</v>
      </c>
      <c r="B3474" s="1">
        <f>IFERROR(__xludf.DUMMYFUNCTION("""COMPUTED_VALUE"""),1324.02)</f>
        <v>1324.02</v>
      </c>
      <c r="C3474" s="1">
        <f>IFERROR(__xludf.DUMMYFUNCTION("""COMPUTED_VALUE"""),1333.28)</f>
        <v>1333.28</v>
      </c>
      <c r="D3474" s="1">
        <f>IFERROR(__xludf.DUMMYFUNCTION("""COMPUTED_VALUE"""),1306.91)</f>
        <v>1306.91</v>
      </c>
      <c r="E3474" s="1">
        <f>IFERROR(__xludf.DUMMYFUNCTION("""COMPUTED_VALUE"""),1320.41)</f>
        <v>1320.41</v>
      </c>
      <c r="F3474" s="1">
        <f>IFERROR(__xludf.DUMMYFUNCTION("""COMPUTED_VALUE"""),1.34640624E8)</f>
        <v>134640624</v>
      </c>
    </row>
    <row r="3475">
      <c r="A3475" s="2">
        <f>IFERROR(__xludf.DUMMYFUNCTION("""COMPUTED_VALUE"""),36404.666666666664)</f>
        <v>36404.66667</v>
      </c>
      <c r="B3475" s="1">
        <f>IFERROR(__xludf.DUMMYFUNCTION("""COMPUTED_VALUE"""),1320.41)</f>
        <v>1320.41</v>
      </c>
      <c r="C3475" s="1">
        <f>IFERROR(__xludf.DUMMYFUNCTION("""COMPUTED_VALUE"""),1331.18)</f>
        <v>1331.18</v>
      </c>
      <c r="D3475" s="1">
        <f>IFERROR(__xludf.DUMMYFUNCTION("""COMPUTED_VALUE"""),1320.31)</f>
        <v>1320.31</v>
      </c>
      <c r="E3475" s="1">
        <f>IFERROR(__xludf.DUMMYFUNCTION("""COMPUTED_VALUE"""),1331.07)</f>
        <v>1331.07</v>
      </c>
      <c r="F3475" s="1">
        <f>IFERROR(__xludf.DUMMYFUNCTION("""COMPUTED_VALUE"""),1.10656248E8)</f>
        <v>110656248</v>
      </c>
    </row>
    <row r="3476">
      <c r="A3476" s="2">
        <f>IFERROR(__xludf.DUMMYFUNCTION("""COMPUTED_VALUE"""),36405.666666666664)</f>
        <v>36405.66667</v>
      </c>
      <c r="B3476" s="1">
        <f>IFERROR(__xludf.DUMMYFUNCTION("""COMPUTED_VALUE"""),1331.07)</f>
        <v>1331.07</v>
      </c>
      <c r="C3476" s="1">
        <f>IFERROR(__xludf.DUMMYFUNCTION("""COMPUTED_VALUE"""),1331.07)</f>
        <v>1331.07</v>
      </c>
      <c r="D3476" s="1">
        <f>IFERROR(__xludf.DUMMYFUNCTION("""COMPUTED_VALUE"""),1304.8)</f>
        <v>1304.8</v>
      </c>
      <c r="E3476" s="1">
        <f>IFERROR(__xludf.DUMMYFUNCTION("""COMPUTED_VALUE"""),1319.11)</f>
        <v>1319.11</v>
      </c>
      <c r="F3476" s="1">
        <f>IFERROR(__xludf.DUMMYFUNCTION("""COMPUTED_VALUE"""),1.07359376E8)</f>
        <v>107359376</v>
      </c>
    </row>
    <row r="3477">
      <c r="A3477" s="2">
        <f>IFERROR(__xludf.DUMMYFUNCTION("""COMPUTED_VALUE"""),36406.666666666664)</f>
        <v>36406.66667</v>
      </c>
      <c r="B3477" s="1">
        <f>IFERROR(__xludf.DUMMYFUNCTION("""COMPUTED_VALUE"""),1319.11)</f>
        <v>1319.11</v>
      </c>
      <c r="C3477" s="1">
        <f>IFERROR(__xludf.DUMMYFUNCTION("""COMPUTED_VALUE"""),1357.75)</f>
        <v>1357.75</v>
      </c>
      <c r="D3477" s="1">
        <f>IFERROR(__xludf.DUMMYFUNCTION("""COMPUTED_VALUE"""),1319.11)</f>
        <v>1319.11</v>
      </c>
      <c r="E3477" s="1">
        <f>IFERROR(__xludf.DUMMYFUNCTION("""COMPUTED_VALUE"""),1357.24)</f>
        <v>1357.24</v>
      </c>
      <c r="F3477" s="1">
        <f>IFERROR(__xludf.DUMMYFUNCTION("""COMPUTED_VALUE"""),1.03625E8)</f>
        <v>103625000</v>
      </c>
    </row>
    <row r="3478">
      <c r="A3478" s="2">
        <f>IFERROR(__xludf.DUMMYFUNCTION("""COMPUTED_VALUE"""),36410.666666666664)</f>
        <v>36410.66667</v>
      </c>
      <c r="B3478" s="1">
        <f>IFERROR(__xludf.DUMMYFUNCTION("""COMPUTED_VALUE"""),1357.24)</f>
        <v>1357.24</v>
      </c>
      <c r="C3478" s="1">
        <f>IFERROR(__xludf.DUMMYFUNCTION("""COMPUTED_VALUE"""),1361.39)</f>
        <v>1361.39</v>
      </c>
      <c r="D3478" s="1">
        <f>IFERROR(__xludf.DUMMYFUNCTION("""COMPUTED_VALUE"""),1349.59)</f>
        <v>1349.59</v>
      </c>
      <c r="E3478" s="1">
        <f>IFERROR(__xludf.DUMMYFUNCTION("""COMPUTED_VALUE"""),1350.45)</f>
        <v>1350.45</v>
      </c>
      <c r="F3478" s="1">
        <f>IFERROR(__xludf.DUMMYFUNCTION("""COMPUTED_VALUE"""),1.11765624E8)</f>
        <v>111765624</v>
      </c>
    </row>
    <row r="3479">
      <c r="A3479" s="2">
        <f>IFERROR(__xludf.DUMMYFUNCTION("""COMPUTED_VALUE"""),36411.666666666664)</f>
        <v>36411.66667</v>
      </c>
      <c r="B3479" s="1">
        <f>IFERROR(__xludf.DUMMYFUNCTION("""COMPUTED_VALUE"""),1343.44)</f>
        <v>1343.44</v>
      </c>
      <c r="C3479" s="1">
        <f>IFERROR(__xludf.DUMMYFUNCTION("""COMPUTED_VALUE"""),1355.2)</f>
        <v>1355.2</v>
      </c>
      <c r="D3479" s="1">
        <f>IFERROR(__xludf.DUMMYFUNCTION("""COMPUTED_VALUE"""),1337.36)</f>
        <v>1337.36</v>
      </c>
      <c r="E3479" s="1">
        <f>IFERROR(__xludf.DUMMYFUNCTION("""COMPUTED_VALUE"""),1344.15)</f>
        <v>1344.15</v>
      </c>
      <c r="F3479" s="1">
        <f>IFERROR(__xludf.DUMMYFUNCTION("""COMPUTED_VALUE"""),1.23625E8)</f>
        <v>123625000</v>
      </c>
    </row>
    <row r="3480">
      <c r="A3480" s="2">
        <f>IFERROR(__xludf.DUMMYFUNCTION("""COMPUTED_VALUE"""),36412.666666666664)</f>
        <v>36412.66667</v>
      </c>
      <c r="B3480" s="1">
        <f>IFERROR(__xludf.DUMMYFUNCTION("""COMPUTED_VALUE"""),1344.15)</f>
        <v>1344.15</v>
      </c>
      <c r="C3480" s="1">
        <f>IFERROR(__xludf.DUMMYFUNCTION("""COMPUTED_VALUE"""),1347.66)</f>
        <v>1347.66</v>
      </c>
      <c r="D3480" s="1">
        <f>IFERROR(__xludf.DUMMYFUNCTION("""COMPUTED_VALUE"""),1333.91)</f>
        <v>1333.91</v>
      </c>
      <c r="E3480" s="1">
        <f>IFERROR(__xludf.DUMMYFUNCTION("""COMPUTED_VALUE"""),1347.66)</f>
        <v>1347.66</v>
      </c>
      <c r="F3480" s="1">
        <f>IFERROR(__xludf.DUMMYFUNCTION("""COMPUTED_VALUE"""),1.20921872E8)</f>
        <v>120921872</v>
      </c>
    </row>
    <row r="3481">
      <c r="A3481" s="2">
        <f>IFERROR(__xludf.DUMMYFUNCTION("""COMPUTED_VALUE"""),36413.666666666664)</f>
        <v>36413.66667</v>
      </c>
      <c r="B3481" s="1">
        <f>IFERROR(__xludf.DUMMYFUNCTION("""COMPUTED_VALUE"""),1347.66)</f>
        <v>1347.66</v>
      </c>
      <c r="C3481" s="1">
        <f>IFERROR(__xludf.DUMMYFUNCTION("""COMPUTED_VALUE"""),1357.62)</f>
        <v>1357.62</v>
      </c>
      <c r="D3481" s="1">
        <f>IFERROR(__xludf.DUMMYFUNCTION("""COMPUTED_VALUE"""),1346.2)</f>
        <v>1346.2</v>
      </c>
      <c r="E3481" s="1">
        <f>IFERROR(__xludf.DUMMYFUNCTION("""COMPUTED_VALUE"""),1351.66)</f>
        <v>1351.66</v>
      </c>
      <c r="F3481" s="1">
        <f>IFERROR(__xludf.DUMMYFUNCTION("""COMPUTED_VALUE"""),1.26328128E8)</f>
        <v>126328128</v>
      </c>
    </row>
    <row r="3482">
      <c r="A3482" s="2">
        <f>IFERROR(__xludf.DUMMYFUNCTION("""COMPUTED_VALUE"""),36416.666666666664)</f>
        <v>36416.66667</v>
      </c>
      <c r="B3482" s="1">
        <f>IFERROR(__xludf.DUMMYFUNCTION("""COMPUTED_VALUE"""),1351.66)</f>
        <v>1351.66</v>
      </c>
      <c r="C3482" s="1">
        <f>IFERROR(__xludf.DUMMYFUNCTION("""COMPUTED_VALUE"""),1351.66)</f>
        <v>1351.66</v>
      </c>
      <c r="D3482" s="1">
        <f>IFERROR(__xludf.DUMMYFUNCTION("""COMPUTED_VALUE"""),1341.7)</f>
        <v>1341.7</v>
      </c>
      <c r="E3482" s="1">
        <f>IFERROR(__xludf.DUMMYFUNCTION("""COMPUTED_VALUE"""),1344.13)</f>
        <v>1344.13</v>
      </c>
      <c r="F3482" s="1">
        <f>IFERROR(__xludf.DUMMYFUNCTION("""COMPUTED_VALUE"""),1.02796872E8)</f>
        <v>102796872</v>
      </c>
    </row>
    <row r="3483">
      <c r="A3483" s="2">
        <f>IFERROR(__xludf.DUMMYFUNCTION("""COMPUTED_VALUE"""),36417.666666666664)</f>
        <v>36417.66667</v>
      </c>
      <c r="B3483" s="1">
        <f>IFERROR(__xludf.DUMMYFUNCTION("""COMPUTED_VALUE"""),1344.13)</f>
        <v>1344.13</v>
      </c>
      <c r="C3483" s="1">
        <f>IFERROR(__xludf.DUMMYFUNCTION("""COMPUTED_VALUE"""),1344.13)</f>
        <v>1344.13</v>
      </c>
      <c r="D3483" s="1">
        <f>IFERROR(__xludf.DUMMYFUNCTION("""COMPUTED_VALUE"""),1330.6)</f>
        <v>1330.6</v>
      </c>
      <c r="E3483" s="1">
        <f>IFERROR(__xludf.DUMMYFUNCTION("""COMPUTED_VALUE"""),1336.29)</f>
        <v>1336.29</v>
      </c>
      <c r="F3483" s="1">
        <f>IFERROR(__xludf.DUMMYFUNCTION("""COMPUTED_VALUE"""),1.14765624E8)</f>
        <v>114765624</v>
      </c>
    </row>
    <row r="3484">
      <c r="A3484" s="2">
        <f>IFERROR(__xludf.DUMMYFUNCTION("""COMPUTED_VALUE"""),36418.666666666664)</f>
        <v>36418.66667</v>
      </c>
      <c r="B3484" s="1">
        <f>IFERROR(__xludf.DUMMYFUNCTION("""COMPUTED_VALUE"""),1336.29)</f>
        <v>1336.29</v>
      </c>
      <c r="C3484" s="1">
        <f>IFERROR(__xludf.DUMMYFUNCTION("""COMPUTED_VALUE"""),1347.41)</f>
        <v>1347.41</v>
      </c>
      <c r="D3484" s="1">
        <f>IFERROR(__xludf.DUMMYFUNCTION("""COMPUTED_VALUE"""),1317.97)</f>
        <v>1317.97</v>
      </c>
      <c r="E3484" s="1">
        <f>IFERROR(__xludf.DUMMYFUNCTION("""COMPUTED_VALUE"""),1317.97)</f>
        <v>1317.97</v>
      </c>
      <c r="F3484" s="1">
        <f>IFERROR(__xludf.DUMMYFUNCTION("""COMPUTED_VALUE"""),1.23015624E8)</f>
        <v>123015624</v>
      </c>
    </row>
    <row r="3485">
      <c r="A3485" s="2">
        <f>IFERROR(__xludf.DUMMYFUNCTION("""COMPUTED_VALUE"""),36419.666666666664)</f>
        <v>36419.66667</v>
      </c>
      <c r="B3485" s="1">
        <f>IFERROR(__xludf.DUMMYFUNCTION("""COMPUTED_VALUE"""),1317.97)</f>
        <v>1317.97</v>
      </c>
      <c r="C3485" s="1">
        <f>IFERROR(__xludf.DUMMYFUNCTION("""COMPUTED_VALUE"""),1322.51)</f>
        <v>1322.51</v>
      </c>
      <c r="D3485" s="1">
        <f>IFERROR(__xludf.DUMMYFUNCTION("""COMPUTED_VALUE"""),1299.95)</f>
        <v>1299.95</v>
      </c>
      <c r="E3485" s="1">
        <f>IFERROR(__xludf.DUMMYFUNCTION("""COMPUTED_VALUE"""),1318.48)</f>
        <v>1318.48</v>
      </c>
      <c r="F3485" s="1">
        <f>IFERROR(__xludf.DUMMYFUNCTION("""COMPUTED_VALUE"""),1.15468752E8)</f>
        <v>115468752</v>
      </c>
    </row>
    <row r="3486">
      <c r="A3486" s="2">
        <f>IFERROR(__xludf.DUMMYFUNCTION("""COMPUTED_VALUE"""),36420.666666666664)</f>
        <v>36420.66667</v>
      </c>
      <c r="B3486" s="1">
        <f>IFERROR(__xludf.DUMMYFUNCTION("""COMPUTED_VALUE"""),1318.48)</f>
        <v>1318.48</v>
      </c>
      <c r="C3486" s="1">
        <f>IFERROR(__xludf.DUMMYFUNCTION("""COMPUTED_VALUE"""),1337.54)</f>
        <v>1337.54</v>
      </c>
      <c r="D3486" s="1">
        <f>IFERROR(__xludf.DUMMYFUNCTION("""COMPUTED_VALUE"""),1318.48)</f>
        <v>1318.48</v>
      </c>
      <c r="E3486" s="1">
        <f>IFERROR(__xludf.DUMMYFUNCTION("""COMPUTED_VALUE"""),1335.42)</f>
        <v>1335.42</v>
      </c>
      <c r="F3486" s="1">
        <f>IFERROR(__xludf.DUMMYFUNCTION("""COMPUTED_VALUE"""),1.34671872E8)</f>
        <v>134671872</v>
      </c>
    </row>
    <row r="3487">
      <c r="A3487" s="2">
        <f>IFERROR(__xludf.DUMMYFUNCTION("""COMPUTED_VALUE"""),36423.666666666664)</f>
        <v>36423.66667</v>
      </c>
      <c r="B3487" s="1">
        <f>IFERROR(__xludf.DUMMYFUNCTION("""COMPUTED_VALUE"""),1335.42)</f>
        <v>1335.42</v>
      </c>
      <c r="C3487" s="1">
        <f>IFERROR(__xludf.DUMMYFUNCTION("""COMPUTED_VALUE"""),1338.55)</f>
        <v>1338.55</v>
      </c>
      <c r="D3487" s="1">
        <f>IFERROR(__xludf.DUMMYFUNCTION("""COMPUTED_VALUE"""),1330.62)</f>
        <v>1330.62</v>
      </c>
      <c r="E3487" s="1">
        <f>IFERROR(__xludf.DUMMYFUNCTION("""COMPUTED_VALUE"""),1335.53)</f>
        <v>1335.53</v>
      </c>
      <c r="F3487" s="1">
        <f>IFERROR(__xludf.DUMMYFUNCTION("""COMPUTED_VALUE"""),8.875E7)</f>
        <v>88750000</v>
      </c>
    </row>
    <row r="3488">
      <c r="A3488" s="2">
        <f>IFERROR(__xludf.DUMMYFUNCTION("""COMPUTED_VALUE"""),36424.666666666664)</f>
        <v>36424.66667</v>
      </c>
      <c r="B3488" s="1">
        <f>IFERROR(__xludf.DUMMYFUNCTION("""COMPUTED_VALUE"""),1335.52)</f>
        <v>1335.52</v>
      </c>
      <c r="C3488" s="1">
        <f>IFERROR(__xludf.DUMMYFUNCTION("""COMPUTED_VALUE"""),1335.52)</f>
        <v>1335.52</v>
      </c>
      <c r="D3488" s="1">
        <f>IFERROR(__xludf.DUMMYFUNCTION("""COMPUTED_VALUE"""),1302.06)</f>
        <v>1302.06</v>
      </c>
      <c r="E3488" s="1">
        <f>IFERROR(__xludf.DUMMYFUNCTION("""COMPUTED_VALUE"""),1307.58)</f>
        <v>1307.58</v>
      </c>
      <c r="F3488" s="1">
        <f>IFERROR(__xludf.DUMMYFUNCTION("""COMPUTED_VALUE"""),1.27703128E8)</f>
        <v>127703128</v>
      </c>
    </row>
    <row r="3489">
      <c r="A3489" s="2">
        <f>IFERROR(__xludf.DUMMYFUNCTION("""COMPUTED_VALUE"""),36425.666666666664)</f>
        <v>36425.66667</v>
      </c>
      <c r="B3489" s="1">
        <f>IFERROR(__xludf.DUMMYFUNCTION("""COMPUTED_VALUE"""),1307.58)</f>
        <v>1307.58</v>
      </c>
      <c r="C3489" s="1">
        <f>IFERROR(__xludf.DUMMYFUNCTION("""COMPUTED_VALUE"""),1316.2)</f>
        <v>1316.2</v>
      </c>
      <c r="D3489" s="1">
        <f>IFERROR(__xludf.DUMMYFUNCTION("""COMPUTED_VALUE"""),1297.81)</f>
        <v>1297.81</v>
      </c>
      <c r="E3489" s="1">
        <f>IFERROR(__xludf.DUMMYFUNCTION("""COMPUTED_VALUE"""),1310.51)</f>
        <v>1310.51</v>
      </c>
      <c r="F3489" s="1">
        <f>IFERROR(__xludf.DUMMYFUNCTION("""COMPUTED_VALUE"""),1.28468752E8)</f>
        <v>128468752</v>
      </c>
    </row>
    <row r="3490">
      <c r="A3490" s="2">
        <f>IFERROR(__xludf.DUMMYFUNCTION("""COMPUTED_VALUE"""),36426.666666666664)</f>
        <v>36426.66667</v>
      </c>
      <c r="B3490" s="1">
        <f>IFERROR(__xludf.DUMMYFUNCTION("""COMPUTED_VALUE"""),1310.51)</f>
        <v>1310.51</v>
      </c>
      <c r="C3490" s="1">
        <f>IFERROR(__xludf.DUMMYFUNCTION("""COMPUTED_VALUE"""),1315.09)</f>
        <v>1315.09</v>
      </c>
      <c r="D3490" s="1">
        <f>IFERROR(__xludf.DUMMYFUNCTION("""COMPUTED_VALUE"""),1277.3)</f>
        <v>1277.3</v>
      </c>
      <c r="E3490" s="1">
        <f>IFERROR(__xludf.DUMMYFUNCTION("""COMPUTED_VALUE"""),1280.77)</f>
        <v>1280.77</v>
      </c>
      <c r="F3490" s="1">
        <f>IFERROR(__xludf.DUMMYFUNCTION("""COMPUTED_VALUE"""),1.39187504E8)</f>
        <v>139187504</v>
      </c>
    </row>
    <row r="3491">
      <c r="A3491" s="2">
        <f>IFERROR(__xludf.DUMMYFUNCTION("""COMPUTED_VALUE"""),36427.666666666664)</f>
        <v>36427.66667</v>
      </c>
      <c r="B3491" s="1">
        <f>IFERROR(__xludf.DUMMYFUNCTION("""COMPUTED_VALUE"""),1280.41)</f>
        <v>1280.41</v>
      </c>
      <c r="C3491" s="1">
        <f>IFERROR(__xludf.DUMMYFUNCTION("""COMPUTED_VALUE"""),1281.21)</f>
        <v>1281.21</v>
      </c>
      <c r="D3491" s="1">
        <f>IFERROR(__xludf.DUMMYFUNCTION("""COMPUTED_VALUE"""),1263.79)</f>
        <v>1263.79</v>
      </c>
      <c r="E3491" s="1">
        <f>IFERROR(__xludf.DUMMYFUNCTION("""COMPUTED_VALUE"""),1277.36)</f>
        <v>1277.36</v>
      </c>
      <c r="F3491" s="1">
        <f>IFERROR(__xludf.DUMMYFUNCTION("""COMPUTED_VALUE"""),1.36375008E8)</f>
        <v>136375008</v>
      </c>
    </row>
    <row r="3492">
      <c r="A3492" s="2">
        <f>IFERROR(__xludf.DUMMYFUNCTION("""COMPUTED_VALUE"""),36430.666666666664)</f>
        <v>36430.66667</v>
      </c>
      <c r="B3492" s="1">
        <f>IFERROR(__xludf.DUMMYFUNCTION("""COMPUTED_VALUE"""),1277.36)</f>
        <v>1277.36</v>
      </c>
      <c r="C3492" s="1">
        <f>IFERROR(__xludf.DUMMYFUNCTION("""COMPUTED_VALUE"""),1294.95)</f>
        <v>1294.95</v>
      </c>
      <c r="D3492" s="1">
        <f>IFERROR(__xludf.DUMMYFUNCTION("""COMPUTED_VALUE"""),1277.36)</f>
        <v>1277.36</v>
      </c>
      <c r="E3492" s="1">
        <f>IFERROR(__xludf.DUMMYFUNCTION("""COMPUTED_VALUE"""),1283.31)</f>
        <v>1283.31</v>
      </c>
      <c r="F3492" s="1">
        <f>IFERROR(__xludf.DUMMYFUNCTION("""COMPUTED_VALUE"""),1.21968752E8)</f>
        <v>121968752</v>
      </c>
    </row>
    <row r="3493">
      <c r="A3493" s="2">
        <f>IFERROR(__xludf.DUMMYFUNCTION("""COMPUTED_VALUE"""),36431.666666666664)</f>
        <v>36431.66667</v>
      </c>
      <c r="B3493" s="1">
        <f>IFERROR(__xludf.DUMMYFUNCTION("""COMPUTED_VALUE"""),1283.31)</f>
        <v>1283.31</v>
      </c>
      <c r="C3493" s="1">
        <f>IFERROR(__xludf.DUMMYFUNCTION("""COMPUTED_VALUE"""),1285.39)</f>
        <v>1285.39</v>
      </c>
      <c r="D3493" s="1">
        <f>IFERROR(__xludf.DUMMYFUNCTION("""COMPUTED_VALUE"""),1256.29)</f>
        <v>1256.29</v>
      </c>
      <c r="E3493" s="1">
        <f>IFERROR(__xludf.DUMMYFUNCTION("""COMPUTED_VALUE"""),1282.2)</f>
        <v>1282.2</v>
      </c>
      <c r="F3493" s="1">
        <f>IFERROR(__xludf.DUMMYFUNCTION("""COMPUTED_VALUE"""),1.38343744E8)</f>
        <v>138343744</v>
      </c>
    </row>
    <row r="3494">
      <c r="A3494" s="2">
        <f>IFERROR(__xludf.DUMMYFUNCTION("""COMPUTED_VALUE"""),36432.666666666664)</f>
        <v>36432.66667</v>
      </c>
      <c r="B3494" s="1">
        <f>IFERROR(__xludf.DUMMYFUNCTION("""COMPUTED_VALUE"""),1282.2)</f>
        <v>1282.2</v>
      </c>
      <c r="C3494" s="1">
        <f>IFERROR(__xludf.DUMMYFUNCTION("""COMPUTED_VALUE"""),1289.16)</f>
        <v>1289.16</v>
      </c>
      <c r="D3494" s="1">
        <f>IFERROR(__xludf.DUMMYFUNCTION("""COMPUTED_VALUE"""),1268.16)</f>
        <v>1268.16</v>
      </c>
      <c r="E3494" s="1">
        <f>IFERROR(__xludf.DUMMYFUNCTION("""COMPUTED_VALUE"""),1268.37)</f>
        <v>1268.37</v>
      </c>
      <c r="F3494" s="1">
        <f>IFERROR(__xludf.DUMMYFUNCTION("""COMPUTED_VALUE"""),1.3375E8)</f>
        <v>133750000</v>
      </c>
    </row>
    <row r="3495">
      <c r="A3495" s="2">
        <f>IFERROR(__xludf.DUMMYFUNCTION("""COMPUTED_VALUE"""),36433.666666666664)</f>
        <v>36433.66667</v>
      </c>
      <c r="B3495" s="1">
        <f>IFERROR(__xludf.DUMMYFUNCTION("""COMPUTED_VALUE"""),1268.37)</f>
        <v>1268.37</v>
      </c>
      <c r="C3495" s="1">
        <f>IFERROR(__xludf.DUMMYFUNCTION("""COMPUTED_VALUE"""),1291.32)</f>
        <v>1291.32</v>
      </c>
      <c r="D3495" s="1">
        <f>IFERROR(__xludf.DUMMYFUNCTION("""COMPUTED_VALUE"""),1268.37)</f>
        <v>1268.37</v>
      </c>
      <c r="E3495" s="1">
        <f>IFERROR(__xludf.DUMMYFUNCTION("""COMPUTED_VALUE"""),1282.71)</f>
        <v>1282.71</v>
      </c>
      <c r="F3495" s="1">
        <f>IFERROR(__xludf.DUMMYFUNCTION("""COMPUTED_VALUE"""),1.59E8)</f>
        <v>159000000</v>
      </c>
    </row>
    <row r="3496">
      <c r="A3496" s="2">
        <f>IFERROR(__xludf.DUMMYFUNCTION("""COMPUTED_VALUE"""),36434.666666666664)</f>
        <v>36434.66667</v>
      </c>
      <c r="B3496" s="1">
        <f>IFERROR(__xludf.DUMMYFUNCTION("""COMPUTED_VALUE"""),1282.71)</f>
        <v>1282.71</v>
      </c>
      <c r="C3496" s="1">
        <f>IFERROR(__xludf.DUMMYFUNCTION("""COMPUTED_VALUE"""),1283.19)</f>
        <v>1283.19</v>
      </c>
      <c r="D3496" s="1">
        <f>IFERROR(__xludf.DUMMYFUNCTION("""COMPUTED_VALUE"""),1265.86)</f>
        <v>1265.86</v>
      </c>
      <c r="E3496" s="1">
        <f>IFERROR(__xludf.DUMMYFUNCTION("""COMPUTED_VALUE"""),1282.81)</f>
        <v>1282.81</v>
      </c>
      <c r="F3496" s="1">
        <f>IFERROR(__xludf.DUMMYFUNCTION("""COMPUTED_VALUE"""),1.40031248E8)</f>
        <v>140031248</v>
      </c>
    </row>
    <row r="3497">
      <c r="A3497" s="2">
        <f>IFERROR(__xludf.DUMMYFUNCTION("""COMPUTED_VALUE"""),36437.666666666664)</f>
        <v>36437.66667</v>
      </c>
      <c r="B3497" s="1">
        <f>IFERROR(__xludf.DUMMYFUNCTION("""COMPUTED_VALUE"""),1282.81)</f>
        <v>1282.81</v>
      </c>
      <c r="C3497" s="1">
        <f>IFERROR(__xludf.DUMMYFUNCTION("""COMPUTED_VALUE"""),1304.6)</f>
        <v>1304.6</v>
      </c>
      <c r="D3497" s="1">
        <f>IFERROR(__xludf.DUMMYFUNCTION("""COMPUTED_VALUE"""),1282.81)</f>
        <v>1282.81</v>
      </c>
      <c r="E3497" s="1">
        <f>IFERROR(__xludf.DUMMYFUNCTION("""COMPUTED_VALUE"""),1304.6)</f>
        <v>1304.6</v>
      </c>
      <c r="F3497" s="1">
        <f>IFERROR(__xludf.DUMMYFUNCTION("""COMPUTED_VALUE"""),1.25515624E8)</f>
        <v>125515624</v>
      </c>
    </row>
    <row r="3498">
      <c r="A3498" s="2">
        <f>IFERROR(__xludf.DUMMYFUNCTION("""COMPUTED_VALUE"""),36438.666666666664)</f>
        <v>36438.66667</v>
      </c>
      <c r="B3498" s="1">
        <f>IFERROR(__xludf.DUMMYFUNCTION("""COMPUTED_VALUE"""),1304.6)</f>
        <v>1304.6</v>
      </c>
      <c r="C3498" s="1">
        <f>IFERROR(__xludf.DUMMYFUNCTION("""COMPUTED_VALUE"""),1316.43)</f>
        <v>1316.43</v>
      </c>
      <c r="D3498" s="1">
        <f>IFERROR(__xludf.DUMMYFUNCTION("""COMPUTED_VALUE"""),1286.44)</f>
        <v>1286.44</v>
      </c>
      <c r="E3498" s="1">
        <f>IFERROR(__xludf.DUMMYFUNCTION("""COMPUTED_VALUE"""),1301.35)</f>
        <v>1301.35</v>
      </c>
      <c r="F3498" s="1">
        <f>IFERROR(__xludf.DUMMYFUNCTION("""COMPUTED_VALUE"""),1.50890624E8)</f>
        <v>150890624</v>
      </c>
    </row>
    <row r="3499">
      <c r="A3499" s="2">
        <f>IFERROR(__xludf.DUMMYFUNCTION("""COMPUTED_VALUE"""),36439.666666666664)</f>
        <v>36439.66667</v>
      </c>
      <c r="B3499" s="1">
        <f>IFERROR(__xludf.DUMMYFUNCTION("""COMPUTED_VALUE"""),1301.35)</f>
        <v>1301.35</v>
      </c>
      <c r="C3499" s="1">
        <f>IFERROR(__xludf.DUMMYFUNCTION("""COMPUTED_VALUE"""),1325.46)</f>
        <v>1325.46</v>
      </c>
      <c r="D3499" s="1">
        <f>IFERROR(__xludf.DUMMYFUNCTION("""COMPUTED_VALUE"""),1301.35)</f>
        <v>1301.35</v>
      </c>
      <c r="E3499" s="1">
        <f>IFERROR(__xludf.DUMMYFUNCTION("""COMPUTED_VALUE"""),1325.4)</f>
        <v>1325.4</v>
      </c>
      <c r="F3499" s="1">
        <f>IFERROR(__xludf.DUMMYFUNCTION("""COMPUTED_VALUE"""),1.39875008E8)</f>
        <v>139875008</v>
      </c>
    </row>
    <row r="3500">
      <c r="A3500" s="2">
        <f>IFERROR(__xludf.DUMMYFUNCTION("""COMPUTED_VALUE"""),36440.666666666664)</f>
        <v>36440.66667</v>
      </c>
      <c r="B3500" s="1">
        <f>IFERROR(__xludf.DUMMYFUNCTION("""COMPUTED_VALUE"""),1325.4)</f>
        <v>1325.4</v>
      </c>
      <c r="C3500" s="1">
        <f>IFERROR(__xludf.DUMMYFUNCTION("""COMPUTED_VALUE"""),1328.03)</f>
        <v>1328.03</v>
      </c>
      <c r="D3500" s="1">
        <f>IFERROR(__xludf.DUMMYFUNCTION("""COMPUTED_VALUE"""),1314.13)</f>
        <v>1314.13</v>
      </c>
      <c r="E3500" s="1">
        <f>IFERROR(__xludf.DUMMYFUNCTION("""COMPUTED_VALUE"""),1317.64)</f>
        <v>1317.64</v>
      </c>
      <c r="F3500" s="1">
        <f>IFERROR(__xludf.DUMMYFUNCTION("""COMPUTED_VALUE"""),1.29343752E8)</f>
        <v>129343752</v>
      </c>
    </row>
    <row r="3501">
      <c r="A3501" s="2">
        <f>IFERROR(__xludf.DUMMYFUNCTION("""COMPUTED_VALUE"""),36441.666666666664)</f>
        <v>36441.66667</v>
      </c>
      <c r="B3501" s="1">
        <f>IFERROR(__xludf.DUMMYFUNCTION("""COMPUTED_VALUE"""),1317.64)</f>
        <v>1317.64</v>
      </c>
      <c r="C3501" s="1">
        <f>IFERROR(__xludf.DUMMYFUNCTION("""COMPUTED_VALUE"""),1336.57)</f>
        <v>1336.57</v>
      </c>
      <c r="D3501" s="1">
        <f>IFERROR(__xludf.DUMMYFUNCTION("""COMPUTED_VALUE"""),1311.72)</f>
        <v>1311.72</v>
      </c>
      <c r="E3501" s="1">
        <f>IFERROR(__xludf.DUMMYFUNCTION("""COMPUTED_VALUE"""),1336.02)</f>
        <v>1336.02</v>
      </c>
      <c r="F3501" s="1">
        <f>IFERROR(__xludf.DUMMYFUNCTION("""COMPUTED_VALUE"""),1.4020312E8)</f>
        <v>140203120</v>
      </c>
    </row>
    <row r="3502">
      <c r="A3502" s="2">
        <f>IFERROR(__xludf.DUMMYFUNCTION("""COMPUTED_VALUE"""),36444.666666666664)</f>
        <v>36444.66667</v>
      </c>
      <c r="B3502" s="1">
        <f>IFERROR(__xludf.DUMMYFUNCTION("""COMPUTED_VALUE"""),1336.02)</f>
        <v>1336.02</v>
      </c>
      <c r="C3502" s="1">
        <f>IFERROR(__xludf.DUMMYFUNCTION("""COMPUTED_VALUE"""),1339.23)</f>
        <v>1339.23</v>
      </c>
      <c r="D3502" s="1">
        <f>IFERROR(__xludf.DUMMYFUNCTION("""COMPUTED_VALUE"""),1324.4)</f>
        <v>1324.4</v>
      </c>
      <c r="E3502" s="1">
        <f>IFERROR(__xludf.DUMMYFUNCTION("""COMPUTED_VALUE"""),1335.21)</f>
        <v>1335.21</v>
      </c>
      <c r="F3502" s="1">
        <f>IFERROR(__xludf.DUMMYFUNCTION("""COMPUTED_VALUE"""),1.02484376E8)</f>
        <v>102484376</v>
      </c>
    </row>
    <row r="3503">
      <c r="A3503" s="2">
        <f>IFERROR(__xludf.DUMMYFUNCTION("""COMPUTED_VALUE"""),36445.666666666664)</f>
        <v>36445.66667</v>
      </c>
      <c r="B3503" s="1">
        <f>IFERROR(__xludf.DUMMYFUNCTION("""COMPUTED_VALUE"""),1335.21)</f>
        <v>1335.21</v>
      </c>
      <c r="C3503" s="1">
        <f>IFERROR(__xludf.DUMMYFUNCTION("""COMPUTED_VALUE"""),1335.77)</f>
        <v>1335.77</v>
      </c>
      <c r="D3503" s="1">
        <f>IFERROR(__xludf.DUMMYFUNCTION("""COMPUTED_VALUE"""),1311.8)</f>
        <v>1311.8</v>
      </c>
      <c r="E3503" s="1">
        <f>IFERROR(__xludf.DUMMYFUNCTION("""COMPUTED_VALUE"""),1313.04)</f>
        <v>1313.04</v>
      </c>
      <c r="F3503" s="1">
        <f>IFERROR(__xludf.DUMMYFUNCTION("""COMPUTED_VALUE"""),1.21609376E8)</f>
        <v>121609376</v>
      </c>
    </row>
    <row r="3504">
      <c r="A3504" s="2">
        <f>IFERROR(__xludf.DUMMYFUNCTION("""COMPUTED_VALUE"""),36446.666666666664)</f>
        <v>36446.66667</v>
      </c>
      <c r="B3504" s="1">
        <f>IFERROR(__xludf.DUMMYFUNCTION("""COMPUTED_VALUE"""),1313.04)</f>
        <v>1313.04</v>
      </c>
      <c r="C3504" s="1">
        <f>IFERROR(__xludf.DUMMYFUNCTION("""COMPUTED_VALUE"""),1313.04)</f>
        <v>1313.04</v>
      </c>
      <c r="D3504" s="1">
        <f>IFERROR(__xludf.DUMMYFUNCTION("""COMPUTED_VALUE"""),1282.8)</f>
        <v>1282.8</v>
      </c>
      <c r="E3504" s="1">
        <f>IFERROR(__xludf.DUMMYFUNCTION("""COMPUTED_VALUE"""),1285.55)</f>
        <v>1285.55</v>
      </c>
      <c r="F3504" s="1">
        <f>IFERROR(__xludf.DUMMYFUNCTION("""COMPUTED_VALUE"""),1.28359376E8)</f>
        <v>128359376</v>
      </c>
    </row>
    <row r="3505">
      <c r="A3505" s="2">
        <f>IFERROR(__xludf.DUMMYFUNCTION("""COMPUTED_VALUE"""),36447.666666666664)</f>
        <v>36447.66667</v>
      </c>
      <c r="B3505" s="1">
        <f>IFERROR(__xludf.DUMMYFUNCTION("""COMPUTED_VALUE"""),1285.55)</f>
        <v>1285.55</v>
      </c>
      <c r="C3505" s="1">
        <f>IFERROR(__xludf.DUMMYFUNCTION("""COMPUTED_VALUE"""),1289.59)</f>
        <v>1289.59</v>
      </c>
      <c r="D3505" s="1">
        <f>IFERROR(__xludf.DUMMYFUNCTION("""COMPUTED_VALUE"""),1267.81)</f>
        <v>1267.81</v>
      </c>
      <c r="E3505" s="1">
        <f>IFERROR(__xludf.DUMMYFUNCTION("""COMPUTED_VALUE"""),1283.42)</f>
        <v>1283.42</v>
      </c>
      <c r="F3505" s="1">
        <f>IFERROR(__xludf.DUMMYFUNCTION("""COMPUTED_VALUE"""),1.39421872E8)</f>
        <v>139421872</v>
      </c>
    </row>
    <row r="3506">
      <c r="A3506" s="2">
        <f>IFERROR(__xludf.DUMMYFUNCTION("""COMPUTED_VALUE"""),36448.666666666664)</f>
        <v>36448.66667</v>
      </c>
      <c r="B3506" s="1">
        <f>IFERROR(__xludf.DUMMYFUNCTION("""COMPUTED_VALUE"""),1283.42)</f>
        <v>1283.42</v>
      </c>
      <c r="C3506" s="1">
        <f>IFERROR(__xludf.DUMMYFUNCTION("""COMPUTED_VALUE"""),1283.42)</f>
        <v>1283.42</v>
      </c>
      <c r="D3506" s="1">
        <f>IFERROR(__xludf.DUMMYFUNCTION("""COMPUTED_VALUE"""),1245.39)</f>
        <v>1245.39</v>
      </c>
      <c r="E3506" s="1">
        <f>IFERROR(__xludf.DUMMYFUNCTION("""COMPUTED_VALUE"""),1247.41)</f>
        <v>1247.41</v>
      </c>
      <c r="F3506" s="1">
        <f>IFERROR(__xludf.DUMMYFUNCTION("""COMPUTED_VALUE"""),1.42593744E8)</f>
        <v>142593744</v>
      </c>
    </row>
    <row r="3507">
      <c r="A3507" s="2">
        <f>IFERROR(__xludf.DUMMYFUNCTION("""COMPUTED_VALUE"""),36451.666666666664)</f>
        <v>36451.66667</v>
      </c>
      <c r="B3507" s="1">
        <f>IFERROR(__xludf.DUMMYFUNCTION("""COMPUTED_VALUE"""),1247.41)</f>
        <v>1247.41</v>
      </c>
      <c r="C3507" s="1">
        <f>IFERROR(__xludf.DUMMYFUNCTION("""COMPUTED_VALUE"""),1254.13)</f>
        <v>1254.13</v>
      </c>
      <c r="D3507" s="1">
        <f>IFERROR(__xludf.DUMMYFUNCTION("""COMPUTED_VALUE"""),1233.66)</f>
        <v>1233.66</v>
      </c>
      <c r="E3507" s="1">
        <f>IFERROR(__xludf.DUMMYFUNCTION("""COMPUTED_VALUE"""),1254.13)</f>
        <v>1254.13</v>
      </c>
      <c r="F3507" s="1">
        <f>IFERROR(__xludf.DUMMYFUNCTION("""COMPUTED_VALUE"""),1.27921872E8)</f>
        <v>127921872</v>
      </c>
    </row>
    <row r="3508">
      <c r="A3508" s="2">
        <f>IFERROR(__xludf.DUMMYFUNCTION("""COMPUTED_VALUE"""),36452.666666666664)</f>
        <v>36452.66667</v>
      </c>
      <c r="B3508" s="1">
        <f>IFERROR(__xludf.DUMMYFUNCTION("""COMPUTED_VALUE"""),1254.13)</f>
        <v>1254.13</v>
      </c>
      <c r="C3508" s="1">
        <f>IFERROR(__xludf.DUMMYFUNCTION("""COMPUTED_VALUE"""),1279.3)</f>
        <v>1279.3</v>
      </c>
      <c r="D3508" s="1">
        <f>IFERROR(__xludf.DUMMYFUNCTION("""COMPUTED_VALUE"""),1254.13)</f>
        <v>1254.13</v>
      </c>
      <c r="E3508" s="1">
        <f>IFERROR(__xludf.DUMMYFUNCTION("""COMPUTED_VALUE"""),1261.32)</f>
        <v>1261.32</v>
      </c>
      <c r="F3508" s="1">
        <f>IFERROR(__xludf.DUMMYFUNCTION("""COMPUTED_VALUE"""),1.41515632E8)</f>
        <v>141515632</v>
      </c>
    </row>
    <row r="3509">
      <c r="A3509" s="2">
        <f>IFERROR(__xludf.DUMMYFUNCTION("""COMPUTED_VALUE"""),36453.666666666664)</f>
        <v>36453.66667</v>
      </c>
      <c r="B3509" s="1">
        <f>IFERROR(__xludf.DUMMYFUNCTION("""COMPUTED_VALUE"""),1261.32)</f>
        <v>1261.32</v>
      </c>
      <c r="C3509" s="1">
        <f>IFERROR(__xludf.DUMMYFUNCTION("""COMPUTED_VALUE"""),1289.44)</f>
        <v>1289.44</v>
      </c>
      <c r="D3509" s="1">
        <f>IFERROR(__xludf.DUMMYFUNCTION("""COMPUTED_VALUE"""),1261.32)</f>
        <v>1261.32</v>
      </c>
      <c r="E3509" s="1">
        <f>IFERROR(__xludf.DUMMYFUNCTION("""COMPUTED_VALUE"""),1289.43)</f>
        <v>1289.43</v>
      </c>
      <c r="F3509" s="1">
        <f>IFERROR(__xludf.DUMMYFUNCTION("""COMPUTED_VALUE"""),1.45124992E8)</f>
        <v>145124992</v>
      </c>
    </row>
    <row r="3510">
      <c r="A3510" s="2">
        <f>IFERROR(__xludf.DUMMYFUNCTION("""COMPUTED_VALUE"""),36454.666666666664)</f>
        <v>36454.66667</v>
      </c>
      <c r="B3510" s="1">
        <f>IFERROR(__xludf.DUMMYFUNCTION("""COMPUTED_VALUE"""),1289.43)</f>
        <v>1289.43</v>
      </c>
      <c r="C3510" s="1">
        <f>IFERROR(__xludf.DUMMYFUNCTION("""COMPUTED_VALUE"""),1289.43)</f>
        <v>1289.43</v>
      </c>
      <c r="D3510" s="1">
        <f>IFERROR(__xludf.DUMMYFUNCTION("""COMPUTED_VALUE"""),1265.61)</f>
        <v>1265.61</v>
      </c>
      <c r="E3510" s="1">
        <f>IFERROR(__xludf.DUMMYFUNCTION("""COMPUTED_VALUE"""),1283.61)</f>
        <v>1283.61</v>
      </c>
      <c r="F3510" s="1">
        <f>IFERROR(__xludf.DUMMYFUNCTION("""COMPUTED_VALUE"""),1.5820312E8)</f>
        <v>158203120</v>
      </c>
    </row>
    <row r="3511">
      <c r="A3511" s="2">
        <f>IFERROR(__xludf.DUMMYFUNCTION("""COMPUTED_VALUE"""),36455.666666666664)</f>
        <v>36455.66667</v>
      </c>
      <c r="B3511" s="1">
        <f>IFERROR(__xludf.DUMMYFUNCTION("""COMPUTED_VALUE"""),1283.61)</f>
        <v>1283.61</v>
      </c>
      <c r="C3511" s="1">
        <f>IFERROR(__xludf.DUMMYFUNCTION("""COMPUTED_VALUE"""),1308.89)</f>
        <v>1308.89</v>
      </c>
      <c r="D3511" s="1">
        <f>IFERROR(__xludf.DUMMYFUNCTION("""COMPUTED_VALUE"""),1283.61)</f>
        <v>1283.61</v>
      </c>
      <c r="E3511" s="1">
        <f>IFERROR(__xludf.DUMMYFUNCTION("""COMPUTED_VALUE"""),1301.65)</f>
        <v>1301.65</v>
      </c>
      <c r="F3511" s="1">
        <f>IFERROR(__xludf.DUMMYFUNCTION("""COMPUTED_VALUE"""),1.49875008E8)</f>
        <v>149875008</v>
      </c>
    </row>
    <row r="3512">
      <c r="A3512" s="2">
        <f>IFERROR(__xludf.DUMMYFUNCTION("""COMPUTED_VALUE"""),36458.666666666664)</f>
        <v>36458.66667</v>
      </c>
      <c r="B3512" s="1">
        <f>IFERROR(__xludf.DUMMYFUNCTION("""COMPUTED_VALUE"""),1301.65)</f>
        <v>1301.65</v>
      </c>
      <c r="C3512" s="1">
        <f>IFERROR(__xludf.DUMMYFUNCTION("""COMPUTED_VALUE"""),1301.83)</f>
        <v>1301.83</v>
      </c>
      <c r="D3512" s="1">
        <f>IFERROR(__xludf.DUMMYFUNCTION("""COMPUTED_VALUE"""),1286.08)</f>
        <v>1286.08</v>
      </c>
      <c r="E3512" s="1">
        <f>IFERROR(__xludf.DUMMYFUNCTION("""COMPUTED_VALUE"""),1293.63)</f>
        <v>1293.63</v>
      </c>
      <c r="F3512" s="1">
        <f>IFERROR(__xludf.DUMMYFUNCTION("""COMPUTED_VALUE"""),1.21406248E8)</f>
        <v>121406248</v>
      </c>
    </row>
    <row r="3513">
      <c r="A3513" s="2">
        <f>IFERROR(__xludf.DUMMYFUNCTION("""COMPUTED_VALUE"""),36459.666666666664)</f>
        <v>36459.66667</v>
      </c>
      <c r="B3513" s="1">
        <f>IFERROR(__xludf.DUMMYFUNCTION("""COMPUTED_VALUE"""),1293.63)</f>
        <v>1293.63</v>
      </c>
      <c r="C3513" s="1">
        <f>IFERROR(__xludf.DUMMYFUNCTION("""COMPUTED_VALUE"""),1303.44)</f>
        <v>1303.44</v>
      </c>
      <c r="D3513" s="1">
        <f>IFERROR(__xludf.DUMMYFUNCTION("""COMPUTED_VALUE"""),1281.86)</f>
        <v>1281.86</v>
      </c>
      <c r="E3513" s="1">
        <f>IFERROR(__xludf.DUMMYFUNCTION("""COMPUTED_VALUE"""),1281.91)</f>
        <v>1281.91</v>
      </c>
      <c r="F3513" s="1">
        <f>IFERROR(__xludf.DUMMYFUNCTION("""COMPUTED_VALUE"""),1.37234368E8)</f>
        <v>137234368</v>
      </c>
    </row>
    <row r="3514">
      <c r="A3514" s="2">
        <f>IFERROR(__xludf.DUMMYFUNCTION("""COMPUTED_VALUE"""),36460.666666666664)</f>
        <v>36460.66667</v>
      </c>
      <c r="B3514" s="1">
        <f>IFERROR(__xludf.DUMMYFUNCTION("""COMPUTED_VALUE"""),1281.91)</f>
        <v>1281.91</v>
      </c>
      <c r="C3514" s="1">
        <f>IFERROR(__xludf.DUMMYFUNCTION("""COMPUTED_VALUE"""),1299.39)</f>
        <v>1299.39</v>
      </c>
      <c r="D3514" s="1">
        <f>IFERROR(__xludf.DUMMYFUNCTION("""COMPUTED_VALUE"""),1280.48)</f>
        <v>1280.48</v>
      </c>
      <c r="E3514" s="1">
        <f>IFERROR(__xludf.DUMMYFUNCTION("""COMPUTED_VALUE"""),1296.71)</f>
        <v>1296.71</v>
      </c>
      <c r="F3514" s="1">
        <f>IFERROR(__xludf.DUMMYFUNCTION("""COMPUTED_VALUE"""),1.4845312E8)</f>
        <v>148453120</v>
      </c>
    </row>
    <row r="3515">
      <c r="A3515" s="2">
        <f>IFERROR(__xludf.DUMMYFUNCTION("""COMPUTED_VALUE"""),36461.666666666664)</f>
        <v>36461.66667</v>
      </c>
      <c r="B3515" s="1">
        <f>IFERROR(__xludf.DUMMYFUNCTION("""COMPUTED_VALUE"""),1296.71)</f>
        <v>1296.71</v>
      </c>
      <c r="C3515" s="1">
        <f>IFERROR(__xludf.DUMMYFUNCTION("""COMPUTED_VALUE"""),1342.47)</f>
        <v>1342.47</v>
      </c>
      <c r="D3515" s="1">
        <f>IFERROR(__xludf.DUMMYFUNCTION("""COMPUTED_VALUE"""),1296.71)</f>
        <v>1296.71</v>
      </c>
      <c r="E3515" s="1">
        <f>IFERROR(__xludf.DUMMYFUNCTION("""COMPUTED_VALUE"""),1342.44)</f>
        <v>1342.44</v>
      </c>
      <c r="F3515" s="1">
        <f>IFERROR(__xludf.DUMMYFUNCTION("""COMPUTED_VALUE"""),1.77359376E8)</f>
        <v>177359376</v>
      </c>
    </row>
    <row r="3516">
      <c r="A3516" s="2">
        <f>IFERROR(__xludf.DUMMYFUNCTION("""COMPUTED_VALUE"""),36462.666666666664)</f>
        <v>36462.66667</v>
      </c>
      <c r="B3516" s="1">
        <f>IFERROR(__xludf.DUMMYFUNCTION("""COMPUTED_VALUE"""),1342.44)</f>
        <v>1342.44</v>
      </c>
      <c r="C3516" s="1">
        <f>IFERROR(__xludf.DUMMYFUNCTION("""COMPUTED_VALUE"""),1373.22)</f>
        <v>1373.22</v>
      </c>
      <c r="D3516" s="1">
        <f>IFERROR(__xludf.DUMMYFUNCTION("""COMPUTED_VALUE"""),1342.44)</f>
        <v>1342.44</v>
      </c>
      <c r="E3516" s="1">
        <f>IFERROR(__xludf.DUMMYFUNCTION("""COMPUTED_VALUE"""),1362.93)</f>
        <v>1362.93</v>
      </c>
      <c r="F3516" s="1">
        <f>IFERROR(__xludf.DUMMYFUNCTION("""COMPUTED_VALUE"""),1.75078128E8)</f>
        <v>175078128</v>
      </c>
    </row>
    <row r="3517">
      <c r="A3517" s="2">
        <f>IFERROR(__xludf.DUMMYFUNCTION("""COMPUTED_VALUE"""),36465.666666666664)</f>
        <v>36465.66667</v>
      </c>
      <c r="B3517" s="1">
        <f>IFERROR(__xludf.DUMMYFUNCTION("""COMPUTED_VALUE"""),1362.93)</f>
        <v>1362.93</v>
      </c>
      <c r="C3517" s="1">
        <f>IFERROR(__xludf.DUMMYFUNCTION("""COMPUTED_VALUE"""),1367.37)</f>
        <v>1367.37</v>
      </c>
      <c r="D3517" s="1">
        <f>IFERROR(__xludf.DUMMYFUNCTION("""COMPUTED_VALUE"""),1353.92)</f>
        <v>1353.92</v>
      </c>
      <c r="E3517" s="1">
        <f>IFERROR(__xludf.DUMMYFUNCTION("""COMPUTED_VALUE"""),1354.12)</f>
        <v>1354.12</v>
      </c>
      <c r="F3517" s="1">
        <f>IFERROR(__xludf.DUMMYFUNCTION("""COMPUTED_VALUE"""),1.34531248E8)</f>
        <v>134531248</v>
      </c>
    </row>
    <row r="3518">
      <c r="A3518" s="2">
        <f>IFERROR(__xludf.DUMMYFUNCTION("""COMPUTED_VALUE"""),36466.666666666664)</f>
        <v>36466.66667</v>
      </c>
      <c r="B3518" s="1">
        <f>IFERROR(__xludf.DUMMYFUNCTION("""COMPUTED_VALUE"""),1354.12)</f>
        <v>1354.12</v>
      </c>
      <c r="C3518" s="1">
        <f>IFERROR(__xludf.DUMMYFUNCTION("""COMPUTED_VALUE"""),1369.44)</f>
        <v>1369.44</v>
      </c>
      <c r="D3518" s="1">
        <f>IFERROR(__xludf.DUMMYFUNCTION("""COMPUTED_VALUE"""),1346.49)</f>
        <v>1346.49</v>
      </c>
      <c r="E3518" s="1">
        <f>IFERROR(__xludf.DUMMYFUNCTION("""COMPUTED_VALUE"""),1347.74)</f>
        <v>1347.74</v>
      </c>
      <c r="F3518" s="1">
        <f>IFERROR(__xludf.DUMMYFUNCTION("""COMPUTED_VALUE"""),1.41328128E8)</f>
        <v>141328128</v>
      </c>
    </row>
    <row r="3519">
      <c r="A3519" s="2">
        <f>IFERROR(__xludf.DUMMYFUNCTION("""COMPUTED_VALUE"""),36467.666666666664)</f>
        <v>36467.66667</v>
      </c>
      <c r="B3519" s="1">
        <f>IFERROR(__xludf.DUMMYFUNCTION("""COMPUTED_VALUE"""),1347.74)</f>
        <v>1347.74</v>
      </c>
      <c r="C3519" s="1">
        <f>IFERROR(__xludf.DUMMYFUNCTION("""COMPUTED_VALUE"""),1360.44)</f>
        <v>1360.44</v>
      </c>
      <c r="D3519" s="1">
        <f>IFERROR(__xludf.DUMMYFUNCTION("""COMPUTED_VALUE"""),1347.74)</f>
        <v>1347.74</v>
      </c>
      <c r="E3519" s="1">
        <f>IFERROR(__xludf.DUMMYFUNCTION("""COMPUTED_VALUE"""),1354.93)</f>
        <v>1354.93</v>
      </c>
      <c r="F3519" s="1">
        <f>IFERROR(__xludf.DUMMYFUNCTION("""COMPUTED_VALUE"""),1.42875008E8)</f>
        <v>142875008</v>
      </c>
    </row>
    <row r="3520">
      <c r="A3520" s="2">
        <f>IFERROR(__xludf.DUMMYFUNCTION("""COMPUTED_VALUE"""),36468.666666666664)</f>
        <v>36468.66667</v>
      </c>
      <c r="B3520" s="1">
        <f>IFERROR(__xludf.DUMMYFUNCTION("""COMPUTED_VALUE"""),1354.93)</f>
        <v>1354.93</v>
      </c>
      <c r="C3520" s="1">
        <f>IFERROR(__xludf.DUMMYFUNCTION("""COMPUTED_VALUE"""),1369.4)</f>
        <v>1369.4</v>
      </c>
      <c r="D3520" s="1">
        <f>IFERROR(__xludf.DUMMYFUNCTION("""COMPUTED_VALUE"""),1354.93)</f>
        <v>1354.93</v>
      </c>
      <c r="E3520" s="1">
        <f>IFERROR(__xludf.DUMMYFUNCTION("""COMPUTED_VALUE"""),1362.64)</f>
        <v>1362.64</v>
      </c>
      <c r="F3520" s="1">
        <f>IFERROR(__xludf.DUMMYFUNCTION("""COMPUTED_VALUE"""),1.53390624E8)</f>
        <v>153390624</v>
      </c>
    </row>
    <row r="3521">
      <c r="A3521" s="2">
        <f>IFERROR(__xludf.DUMMYFUNCTION("""COMPUTED_VALUE"""),36469.666666666664)</f>
        <v>36469.66667</v>
      </c>
      <c r="B3521" s="1">
        <f>IFERROR(__xludf.DUMMYFUNCTION("""COMPUTED_VALUE"""),1362.64)</f>
        <v>1362.64</v>
      </c>
      <c r="C3521" s="1">
        <f>IFERROR(__xludf.DUMMYFUNCTION("""COMPUTED_VALUE"""),1387.49)</f>
        <v>1387.49</v>
      </c>
      <c r="D3521" s="1">
        <f>IFERROR(__xludf.DUMMYFUNCTION("""COMPUTED_VALUE"""),1362.64)</f>
        <v>1362.64</v>
      </c>
      <c r="E3521" s="1">
        <f>IFERROR(__xludf.DUMMYFUNCTION("""COMPUTED_VALUE"""),1370.23)</f>
        <v>1370.23</v>
      </c>
      <c r="F3521" s="1">
        <f>IFERROR(__xludf.DUMMYFUNCTION("""COMPUTED_VALUE"""),1.57390624E8)</f>
        <v>157390624</v>
      </c>
    </row>
    <row r="3522">
      <c r="A3522" s="2">
        <f>IFERROR(__xludf.DUMMYFUNCTION("""COMPUTED_VALUE"""),36472.666666666664)</f>
        <v>36472.66667</v>
      </c>
      <c r="B3522" s="1">
        <f>IFERROR(__xludf.DUMMYFUNCTION("""COMPUTED_VALUE"""),1370.23)</f>
        <v>1370.23</v>
      </c>
      <c r="C3522" s="1">
        <f>IFERROR(__xludf.DUMMYFUNCTION("""COMPUTED_VALUE"""),1380.78)</f>
        <v>1380.78</v>
      </c>
      <c r="D3522" s="1">
        <f>IFERROR(__xludf.DUMMYFUNCTION("""COMPUTED_VALUE"""),1365.87)</f>
        <v>1365.87</v>
      </c>
      <c r="E3522" s="1">
        <f>IFERROR(__xludf.DUMMYFUNCTION("""COMPUTED_VALUE"""),1377.01)</f>
        <v>1377.01</v>
      </c>
      <c r="F3522" s="1">
        <f>IFERROR(__xludf.DUMMYFUNCTION("""COMPUTED_VALUE"""),1.26062496E8)</f>
        <v>126062496</v>
      </c>
    </row>
    <row r="3523">
      <c r="A3523" s="2">
        <f>IFERROR(__xludf.DUMMYFUNCTION("""COMPUTED_VALUE"""),36473.666666666664)</f>
        <v>36473.66667</v>
      </c>
      <c r="B3523" s="1">
        <f>IFERROR(__xludf.DUMMYFUNCTION("""COMPUTED_VALUE"""),1377.01)</f>
        <v>1377.01</v>
      </c>
      <c r="C3523" s="1">
        <f>IFERROR(__xludf.DUMMYFUNCTION("""COMPUTED_VALUE"""),1383.81)</f>
        <v>1383.81</v>
      </c>
      <c r="D3523" s="1">
        <f>IFERROR(__xludf.DUMMYFUNCTION("""COMPUTED_VALUE"""),1361.45)</f>
        <v>1361.45</v>
      </c>
      <c r="E3523" s="1">
        <f>IFERROR(__xludf.DUMMYFUNCTION("""COMPUTED_VALUE"""),1365.28)</f>
        <v>1365.28</v>
      </c>
      <c r="F3523" s="1">
        <f>IFERROR(__xludf.DUMMYFUNCTION("""COMPUTED_VALUE"""),1.33484376E8)</f>
        <v>133484376</v>
      </c>
    </row>
    <row r="3524">
      <c r="A3524" s="2">
        <f>IFERROR(__xludf.DUMMYFUNCTION("""COMPUTED_VALUE"""),36474.666666666664)</f>
        <v>36474.66667</v>
      </c>
      <c r="B3524" s="1">
        <f>IFERROR(__xludf.DUMMYFUNCTION("""COMPUTED_VALUE"""),1365.28)</f>
        <v>1365.28</v>
      </c>
      <c r="C3524" s="1">
        <f>IFERROR(__xludf.DUMMYFUNCTION("""COMPUTED_VALUE"""),1379.26)</f>
        <v>1379.26</v>
      </c>
      <c r="D3524" s="1">
        <f>IFERROR(__xludf.DUMMYFUNCTION("""COMPUTED_VALUE"""),1360.19)</f>
        <v>1360.19</v>
      </c>
      <c r="E3524" s="1">
        <f>IFERROR(__xludf.DUMMYFUNCTION("""COMPUTED_VALUE"""),1373.46)</f>
        <v>1373.46</v>
      </c>
      <c r="F3524" s="1">
        <f>IFERROR(__xludf.DUMMYFUNCTION("""COMPUTED_VALUE"""),1.53859376E8)</f>
        <v>153859376</v>
      </c>
    </row>
    <row r="3525">
      <c r="A3525" s="2">
        <f>IFERROR(__xludf.DUMMYFUNCTION("""COMPUTED_VALUE"""),36475.666666666664)</f>
        <v>36475.66667</v>
      </c>
      <c r="B3525" s="1">
        <f>IFERROR(__xludf.DUMMYFUNCTION("""COMPUTED_VALUE"""),1373.46)</f>
        <v>1373.46</v>
      </c>
      <c r="C3525" s="1">
        <f>IFERROR(__xludf.DUMMYFUNCTION("""COMPUTED_VALUE"""),1382.12)</f>
        <v>1382.12</v>
      </c>
      <c r="D3525" s="1">
        <f>IFERROR(__xludf.DUMMYFUNCTION("""COMPUTED_VALUE"""),1372.2)</f>
        <v>1372.2</v>
      </c>
      <c r="E3525" s="1">
        <f>IFERROR(__xludf.DUMMYFUNCTION("""COMPUTED_VALUE"""),1381.46)</f>
        <v>1381.46</v>
      </c>
      <c r="F3525" s="1">
        <f>IFERROR(__xludf.DUMMYFUNCTION("""COMPUTED_VALUE"""),1.39265632E8)</f>
        <v>139265632</v>
      </c>
    </row>
    <row r="3526">
      <c r="A3526" s="2">
        <f>IFERROR(__xludf.DUMMYFUNCTION("""COMPUTED_VALUE"""),36476.666666666664)</f>
        <v>36476.66667</v>
      </c>
      <c r="B3526" s="1">
        <f>IFERROR(__xludf.DUMMYFUNCTION("""COMPUTED_VALUE"""),1381.46)</f>
        <v>1381.46</v>
      </c>
      <c r="C3526" s="1">
        <f>IFERROR(__xludf.DUMMYFUNCTION("""COMPUTED_VALUE"""),1396.12)</f>
        <v>1396.12</v>
      </c>
      <c r="D3526" s="1">
        <f>IFERROR(__xludf.DUMMYFUNCTION("""COMPUTED_VALUE"""),1367.97)</f>
        <v>1367.97</v>
      </c>
      <c r="E3526" s="1">
        <f>IFERROR(__xludf.DUMMYFUNCTION("""COMPUTED_VALUE"""),1396.06)</f>
        <v>1396.06</v>
      </c>
      <c r="F3526" s="1">
        <f>IFERROR(__xludf.DUMMYFUNCTION("""COMPUTED_VALUE"""),1.40656256E8)</f>
        <v>140656256</v>
      </c>
    </row>
    <row r="3527">
      <c r="A3527" s="2">
        <f>IFERROR(__xludf.DUMMYFUNCTION("""COMPUTED_VALUE"""),36479.666666666664)</f>
        <v>36479.66667</v>
      </c>
      <c r="B3527" s="1">
        <f>IFERROR(__xludf.DUMMYFUNCTION("""COMPUTED_VALUE"""),1396.06)</f>
        <v>1396.06</v>
      </c>
      <c r="C3527" s="1">
        <f>IFERROR(__xludf.DUMMYFUNCTION("""COMPUTED_VALUE"""),1398.59)</f>
        <v>1398.59</v>
      </c>
      <c r="D3527" s="1">
        <f>IFERROR(__xludf.DUMMYFUNCTION("""COMPUTED_VALUE"""),1392.17)</f>
        <v>1392.17</v>
      </c>
      <c r="E3527" s="1">
        <f>IFERROR(__xludf.DUMMYFUNCTION("""COMPUTED_VALUE"""),1394.39)</f>
        <v>1394.39</v>
      </c>
      <c r="F3527" s="1">
        <f>IFERROR(__xludf.DUMMYFUNCTION("""COMPUTED_VALUE"""),1.24328128E8)</f>
        <v>124328128</v>
      </c>
    </row>
    <row r="3528">
      <c r="A3528" s="2">
        <f>IFERROR(__xludf.DUMMYFUNCTION("""COMPUTED_VALUE"""),36480.666666666664)</f>
        <v>36480.66667</v>
      </c>
      <c r="B3528" s="1">
        <f>IFERROR(__xludf.DUMMYFUNCTION("""COMPUTED_VALUE"""),1394.39)</f>
        <v>1394.39</v>
      </c>
      <c r="C3528" s="1">
        <f>IFERROR(__xludf.DUMMYFUNCTION("""COMPUTED_VALUE"""),1420.36)</f>
        <v>1420.36</v>
      </c>
      <c r="D3528" s="1">
        <f>IFERROR(__xludf.DUMMYFUNCTION("""COMPUTED_VALUE"""),1394.39)</f>
        <v>1394.39</v>
      </c>
      <c r="E3528" s="1">
        <f>IFERROR(__xludf.DUMMYFUNCTION("""COMPUTED_VALUE"""),1420.03)</f>
        <v>1420.03</v>
      </c>
      <c r="F3528" s="1">
        <f>IFERROR(__xludf.DUMMYFUNCTION("""COMPUTED_VALUE"""),1.47218752E8)</f>
        <v>147218752</v>
      </c>
    </row>
    <row r="3529">
      <c r="A3529" s="2">
        <f>IFERROR(__xludf.DUMMYFUNCTION("""COMPUTED_VALUE"""),36481.666666666664)</f>
        <v>36481.66667</v>
      </c>
      <c r="B3529" s="1">
        <f>IFERROR(__xludf.DUMMYFUNCTION("""COMPUTED_VALUE"""),1420.07)</f>
        <v>1420.07</v>
      </c>
      <c r="C3529" s="1">
        <f>IFERROR(__xludf.DUMMYFUNCTION("""COMPUTED_VALUE"""),1423.55)</f>
        <v>1423.55</v>
      </c>
      <c r="D3529" s="1">
        <f>IFERROR(__xludf.DUMMYFUNCTION("""COMPUTED_VALUE"""),1410.69)</f>
        <v>1410.69</v>
      </c>
      <c r="E3529" s="1">
        <f>IFERROR(__xludf.DUMMYFUNCTION("""COMPUTED_VALUE"""),1410.71)</f>
        <v>1410.71</v>
      </c>
      <c r="F3529" s="1">
        <f>IFERROR(__xludf.DUMMYFUNCTION("""COMPUTED_VALUE"""),1.5E8)</f>
        <v>150000000</v>
      </c>
    </row>
    <row r="3530">
      <c r="A3530" s="2">
        <f>IFERROR(__xludf.DUMMYFUNCTION("""COMPUTED_VALUE"""),36482.666666666664)</f>
        <v>36482.66667</v>
      </c>
      <c r="B3530" s="1">
        <f>IFERROR(__xludf.DUMMYFUNCTION("""COMPUTED_VALUE"""),1410.71)</f>
        <v>1410.71</v>
      </c>
      <c r="C3530" s="1">
        <f>IFERROR(__xludf.DUMMYFUNCTION("""COMPUTED_VALUE"""),1425.27)</f>
        <v>1425.27</v>
      </c>
      <c r="D3530" s="1">
        <f>IFERROR(__xludf.DUMMYFUNCTION("""COMPUTED_VALUE"""),1410.71)</f>
        <v>1410.71</v>
      </c>
      <c r="E3530" s="1">
        <f>IFERROR(__xludf.DUMMYFUNCTION("""COMPUTED_VALUE"""),1424.94)</f>
        <v>1424.94</v>
      </c>
      <c r="F3530" s="1">
        <f>IFERROR(__xludf.DUMMYFUNCTION("""COMPUTED_VALUE"""),1.59812496E8)</f>
        <v>159812496</v>
      </c>
    </row>
    <row r="3531">
      <c r="A3531" s="2">
        <f>IFERROR(__xludf.DUMMYFUNCTION("""COMPUTED_VALUE"""),36483.666666666664)</f>
        <v>36483.66667</v>
      </c>
      <c r="B3531" s="1">
        <f>IFERROR(__xludf.DUMMYFUNCTION("""COMPUTED_VALUE"""),1424.94)</f>
        <v>1424.94</v>
      </c>
      <c r="C3531" s="1">
        <f>IFERROR(__xludf.DUMMYFUNCTION("""COMPUTED_VALUE"""),1424.94)</f>
        <v>1424.94</v>
      </c>
      <c r="D3531" s="1">
        <f>IFERROR(__xludf.DUMMYFUNCTION("""COMPUTED_VALUE"""),1417.61)</f>
        <v>1417.61</v>
      </c>
      <c r="E3531" s="1">
        <f>IFERROR(__xludf.DUMMYFUNCTION("""COMPUTED_VALUE"""),1422.0)</f>
        <v>1422</v>
      </c>
      <c r="F3531" s="1">
        <f>IFERROR(__xludf.DUMMYFUNCTION("""COMPUTED_VALUE"""),1.39656256E8)</f>
        <v>139656256</v>
      </c>
    </row>
    <row r="3532">
      <c r="A3532" s="2">
        <f>IFERROR(__xludf.DUMMYFUNCTION("""COMPUTED_VALUE"""),36486.666666666664)</f>
        <v>36486.66667</v>
      </c>
      <c r="B3532" s="1">
        <f>IFERROR(__xludf.DUMMYFUNCTION("""COMPUTED_VALUE"""),1422.0)</f>
        <v>1422</v>
      </c>
      <c r="C3532" s="1">
        <f>IFERROR(__xludf.DUMMYFUNCTION("""COMPUTED_VALUE"""),1425.15)</f>
        <v>1425.15</v>
      </c>
      <c r="D3532" s="1">
        <f>IFERROR(__xludf.DUMMYFUNCTION("""COMPUTED_VALUE"""),1412.3)</f>
        <v>1412.3</v>
      </c>
      <c r="E3532" s="1">
        <f>IFERROR(__xludf.DUMMYFUNCTION("""COMPUTED_VALUE"""),1420.94)</f>
        <v>1420.94</v>
      </c>
      <c r="F3532" s="1">
        <f>IFERROR(__xludf.DUMMYFUNCTION("""COMPUTED_VALUE"""),1.36484368E8)</f>
        <v>136484368</v>
      </c>
    </row>
    <row r="3533">
      <c r="A3533" s="2">
        <f>IFERROR(__xludf.DUMMYFUNCTION("""COMPUTED_VALUE"""),36487.666666666664)</f>
        <v>36487.66667</v>
      </c>
      <c r="B3533" s="1">
        <f>IFERROR(__xludf.DUMMYFUNCTION("""COMPUTED_VALUE"""),1420.94)</f>
        <v>1420.94</v>
      </c>
      <c r="C3533" s="1">
        <f>IFERROR(__xludf.DUMMYFUNCTION("""COMPUTED_VALUE"""),1424.1)</f>
        <v>1424.1</v>
      </c>
      <c r="D3533" s="1">
        <f>IFERROR(__xludf.DUMMYFUNCTION("""COMPUTED_VALUE"""),1402.2)</f>
        <v>1402.2</v>
      </c>
      <c r="E3533" s="1">
        <f>IFERROR(__xludf.DUMMYFUNCTION("""COMPUTED_VALUE"""),1404.64)</f>
        <v>1404.64</v>
      </c>
      <c r="F3533" s="1">
        <f>IFERROR(__xludf.DUMMYFUNCTION("""COMPUTED_VALUE"""),1.4470312E8)</f>
        <v>144703120</v>
      </c>
    </row>
    <row r="3534">
      <c r="A3534" s="2">
        <f>IFERROR(__xludf.DUMMYFUNCTION("""COMPUTED_VALUE"""),36488.666666666664)</f>
        <v>36488.66667</v>
      </c>
      <c r="B3534" s="1">
        <f>IFERROR(__xludf.DUMMYFUNCTION("""COMPUTED_VALUE"""),1404.64)</f>
        <v>1404.64</v>
      </c>
      <c r="C3534" s="1">
        <f>IFERROR(__xludf.DUMMYFUNCTION("""COMPUTED_VALUE"""),1419.71)</f>
        <v>1419.71</v>
      </c>
      <c r="D3534" s="1">
        <f>IFERROR(__xludf.DUMMYFUNCTION("""COMPUTED_VALUE"""),1399.17)</f>
        <v>1399.17</v>
      </c>
      <c r="E3534" s="1">
        <f>IFERROR(__xludf.DUMMYFUNCTION("""COMPUTED_VALUE"""),1417.08)</f>
        <v>1417.08</v>
      </c>
      <c r="F3534" s="1">
        <f>IFERROR(__xludf.DUMMYFUNCTION("""COMPUTED_VALUE"""),1.14812496E8)</f>
        <v>114812496</v>
      </c>
    </row>
    <row r="3535">
      <c r="A3535" s="2">
        <f>IFERROR(__xludf.DUMMYFUNCTION("""COMPUTED_VALUE"""),36490.666666666664)</f>
        <v>36490.66667</v>
      </c>
      <c r="B3535" s="1">
        <f>IFERROR(__xludf.DUMMYFUNCTION("""COMPUTED_VALUE"""),1417.08)</f>
        <v>1417.08</v>
      </c>
      <c r="C3535" s="1">
        <f>IFERROR(__xludf.DUMMYFUNCTION("""COMPUTED_VALUE"""),1425.24)</f>
        <v>1425.24</v>
      </c>
      <c r="D3535" s="1">
        <f>IFERROR(__xludf.DUMMYFUNCTION("""COMPUTED_VALUE"""),1416.14)</f>
        <v>1416.14</v>
      </c>
      <c r="E3535" s="1">
        <f>IFERROR(__xludf.DUMMYFUNCTION("""COMPUTED_VALUE"""),1416.62)</f>
        <v>1416.62</v>
      </c>
      <c r="F3535" s="1">
        <f>IFERROR(__xludf.DUMMYFUNCTION("""COMPUTED_VALUE"""),4.8768752E7)</f>
        <v>48768752</v>
      </c>
    </row>
    <row r="3536">
      <c r="A3536" s="2">
        <f>IFERROR(__xludf.DUMMYFUNCTION("""COMPUTED_VALUE"""),36493.666666666664)</f>
        <v>36493.66667</v>
      </c>
      <c r="B3536" s="1">
        <f>IFERROR(__xludf.DUMMYFUNCTION("""COMPUTED_VALUE"""),1416.62)</f>
        <v>1416.62</v>
      </c>
      <c r="C3536" s="1">
        <f>IFERROR(__xludf.DUMMYFUNCTION("""COMPUTED_VALUE"""),1416.62)</f>
        <v>1416.62</v>
      </c>
      <c r="D3536" s="1">
        <f>IFERROR(__xludf.DUMMYFUNCTION("""COMPUTED_VALUE"""),1404.15)</f>
        <v>1404.15</v>
      </c>
      <c r="E3536" s="1">
        <f>IFERROR(__xludf.DUMMYFUNCTION("""COMPUTED_VALUE"""),1407.83)</f>
        <v>1407.83</v>
      </c>
      <c r="F3536" s="1">
        <f>IFERROR(__xludf.DUMMYFUNCTION("""COMPUTED_VALUE"""),1.35328128E8)</f>
        <v>135328128</v>
      </c>
    </row>
    <row r="3537">
      <c r="A3537" s="2">
        <f>IFERROR(__xludf.DUMMYFUNCTION("""COMPUTED_VALUE"""),36494.666666666664)</f>
        <v>36494.66667</v>
      </c>
      <c r="B3537" s="1">
        <f>IFERROR(__xludf.DUMMYFUNCTION("""COMPUTED_VALUE"""),1407.83)</f>
        <v>1407.83</v>
      </c>
      <c r="C3537" s="1">
        <f>IFERROR(__xludf.DUMMYFUNCTION("""COMPUTED_VALUE"""),1410.59)</f>
        <v>1410.59</v>
      </c>
      <c r="D3537" s="1">
        <f>IFERROR(__xludf.DUMMYFUNCTION("""COMPUTED_VALUE"""),1386.95)</f>
        <v>1386.95</v>
      </c>
      <c r="E3537" s="1">
        <f>IFERROR(__xludf.DUMMYFUNCTION("""COMPUTED_VALUE"""),1389.07)</f>
        <v>1389.07</v>
      </c>
      <c r="F3537" s="1">
        <f>IFERROR(__xludf.DUMMYFUNCTION("""COMPUTED_VALUE"""),1.48671872E8)</f>
        <v>148671872</v>
      </c>
    </row>
    <row r="3538">
      <c r="A3538" s="2">
        <f>IFERROR(__xludf.DUMMYFUNCTION("""COMPUTED_VALUE"""),36495.666666666664)</f>
        <v>36495.66667</v>
      </c>
      <c r="B3538" s="1">
        <f>IFERROR(__xludf.DUMMYFUNCTION("""COMPUTED_VALUE"""),1388.91)</f>
        <v>1388.91</v>
      </c>
      <c r="C3538" s="1">
        <f>IFERROR(__xludf.DUMMYFUNCTION("""COMPUTED_VALUE"""),1400.12)</f>
        <v>1400.12</v>
      </c>
      <c r="D3538" s="1">
        <f>IFERROR(__xludf.DUMMYFUNCTION("""COMPUTED_VALUE"""),1387.38)</f>
        <v>1387.38</v>
      </c>
      <c r="E3538" s="1">
        <f>IFERROR(__xludf.DUMMYFUNCTION("""COMPUTED_VALUE"""),1397.72)</f>
        <v>1397.72</v>
      </c>
      <c r="F3538" s="1">
        <f>IFERROR(__xludf.DUMMYFUNCTION("""COMPUTED_VALUE"""),1.38124992E8)</f>
        <v>138124992</v>
      </c>
    </row>
    <row r="3539">
      <c r="A3539" s="2">
        <f>IFERROR(__xludf.DUMMYFUNCTION("""COMPUTED_VALUE"""),36496.666666666664)</f>
        <v>36496.66667</v>
      </c>
      <c r="B3539" s="1">
        <f>IFERROR(__xludf.DUMMYFUNCTION("""COMPUTED_VALUE"""),1397.72)</f>
        <v>1397.72</v>
      </c>
      <c r="C3539" s="1">
        <f>IFERROR(__xludf.DUMMYFUNCTION("""COMPUTED_VALUE"""),1409.04)</f>
        <v>1409.04</v>
      </c>
      <c r="D3539" s="1">
        <f>IFERROR(__xludf.DUMMYFUNCTION("""COMPUTED_VALUE"""),1397.72)</f>
        <v>1397.72</v>
      </c>
      <c r="E3539" s="1">
        <f>IFERROR(__xludf.DUMMYFUNCTION("""COMPUTED_VALUE"""),1409.04)</f>
        <v>1409.04</v>
      </c>
      <c r="F3539" s="1">
        <f>IFERROR(__xludf.DUMMYFUNCTION("""COMPUTED_VALUE"""),1.40734368E8)</f>
        <v>140734368</v>
      </c>
    </row>
    <row r="3540">
      <c r="A3540" s="2">
        <f>IFERROR(__xludf.DUMMYFUNCTION("""COMPUTED_VALUE"""),36497.666666666664)</f>
        <v>36497.66667</v>
      </c>
      <c r="B3540" s="1">
        <f>IFERROR(__xludf.DUMMYFUNCTION("""COMPUTED_VALUE"""),1413.25)</f>
        <v>1413.25</v>
      </c>
      <c r="C3540" s="1">
        <f>IFERROR(__xludf.DUMMYFUNCTION("""COMPUTED_VALUE"""),1447.42)</f>
        <v>1447.42</v>
      </c>
      <c r="D3540" s="1">
        <f>IFERROR(__xludf.DUMMYFUNCTION("""COMPUTED_VALUE"""),1413.25)</f>
        <v>1413.25</v>
      </c>
      <c r="E3540" s="1">
        <f>IFERROR(__xludf.DUMMYFUNCTION("""COMPUTED_VALUE"""),1433.3)</f>
        <v>1433.3</v>
      </c>
      <c r="F3540" s="1">
        <f>IFERROR(__xludf.DUMMYFUNCTION("""COMPUTED_VALUE"""),1.5725E8)</f>
        <v>157250000</v>
      </c>
    </row>
    <row r="3541">
      <c r="A3541" s="2">
        <f>IFERROR(__xludf.DUMMYFUNCTION("""COMPUTED_VALUE"""),36500.666666666664)</f>
        <v>36500.66667</v>
      </c>
      <c r="B3541" s="1">
        <f>IFERROR(__xludf.DUMMYFUNCTION("""COMPUTED_VALUE"""),1433.3)</f>
        <v>1433.3</v>
      </c>
      <c r="C3541" s="1">
        <f>IFERROR(__xludf.DUMMYFUNCTION("""COMPUTED_VALUE"""),1434.19)</f>
        <v>1434.19</v>
      </c>
      <c r="D3541" s="1">
        <f>IFERROR(__xludf.DUMMYFUNCTION("""COMPUTED_VALUE"""),1418.25)</f>
        <v>1418.25</v>
      </c>
      <c r="E3541" s="1">
        <f>IFERROR(__xludf.DUMMYFUNCTION("""COMPUTED_VALUE"""),1423.34)</f>
        <v>1423.34</v>
      </c>
      <c r="F3541" s="1">
        <f>IFERROR(__xludf.DUMMYFUNCTION("""COMPUTED_VALUE"""),1.4325E8)</f>
        <v>143250000</v>
      </c>
    </row>
    <row r="3542">
      <c r="A3542" s="2">
        <f>IFERROR(__xludf.DUMMYFUNCTION("""COMPUTED_VALUE"""),36501.666666666664)</f>
        <v>36501.66667</v>
      </c>
      <c r="B3542" s="1">
        <f>IFERROR(__xludf.DUMMYFUNCTION("""COMPUTED_VALUE"""),1423.33)</f>
        <v>1423.33</v>
      </c>
      <c r="C3542" s="1">
        <f>IFERROR(__xludf.DUMMYFUNCTION("""COMPUTED_VALUE"""),1426.81)</f>
        <v>1426.81</v>
      </c>
      <c r="D3542" s="1">
        <f>IFERROR(__xludf.DUMMYFUNCTION("""COMPUTED_VALUE"""),1409.17)</f>
        <v>1409.17</v>
      </c>
      <c r="E3542" s="1">
        <f>IFERROR(__xludf.DUMMYFUNCTION("""COMPUTED_VALUE"""),1409.17)</f>
        <v>1409.17</v>
      </c>
      <c r="F3542" s="1">
        <f>IFERROR(__xludf.DUMMYFUNCTION("""COMPUTED_VALUE"""),1.69656256E8)</f>
        <v>169656256</v>
      </c>
    </row>
    <row r="3543">
      <c r="A3543" s="2">
        <f>IFERROR(__xludf.DUMMYFUNCTION("""COMPUTED_VALUE"""),36502.666666666664)</f>
        <v>36502.66667</v>
      </c>
      <c r="B3543" s="1">
        <f>IFERROR(__xludf.DUMMYFUNCTION("""COMPUTED_VALUE"""),1409.17)</f>
        <v>1409.17</v>
      </c>
      <c r="C3543" s="1">
        <f>IFERROR(__xludf.DUMMYFUNCTION("""COMPUTED_VALUE"""),1415.66)</f>
        <v>1415.66</v>
      </c>
      <c r="D3543" s="1">
        <f>IFERROR(__xludf.DUMMYFUNCTION("""COMPUTED_VALUE"""),1403.88)</f>
        <v>1403.88</v>
      </c>
      <c r="E3543" s="1">
        <f>IFERROR(__xludf.DUMMYFUNCTION("""COMPUTED_VALUE"""),1403.88)</f>
        <v>1403.88</v>
      </c>
      <c r="F3543" s="1">
        <f>IFERROR(__xludf.DUMMYFUNCTION("""COMPUTED_VALUE"""),1.49531248E8)</f>
        <v>149531248</v>
      </c>
    </row>
    <row r="3544">
      <c r="A3544" s="2">
        <f>IFERROR(__xludf.DUMMYFUNCTION("""COMPUTED_VALUE"""),36503.666666666664)</f>
        <v>36503.66667</v>
      </c>
      <c r="B3544" s="1">
        <f>IFERROR(__xludf.DUMMYFUNCTION("""COMPUTED_VALUE"""),1403.88)</f>
        <v>1403.88</v>
      </c>
      <c r="C3544" s="1">
        <f>IFERROR(__xludf.DUMMYFUNCTION("""COMPUTED_VALUE"""),1418.46)</f>
        <v>1418.46</v>
      </c>
      <c r="D3544" s="1">
        <f>IFERROR(__xludf.DUMMYFUNCTION("""COMPUTED_VALUE"""),1391.5)</f>
        <v>1391.5</v>
      </c>
      <c r="E3544" s="1">
        <f>IFERROR(__xludf.DUMMYFUNCTION("""COMPUTED_VALUE"""),1408.11)</f>
        <v>1408.11</v>
      </c>
      <c r="F3544" s="1">
        <f>IFERROR(__xludf.DUMMYFUNCTION("""COMPUTED_VALUE"""),1.75328128E8)</f>
        <v>175328128</v>
      </c>
    </row>
    <row r="3545">
      <c r="A3545" s="2">
        <f>IFERROR(__xludf.DUMMYFUNCTION("""COMPUTED_VALUE"""),36504.666666666664)</f>
        <v>36504.66667</v>
      </c>
      <c r="B3545" s="1">
        <f>IFERROR(__xludf.DUMMYFUNCTION("""COMPUTED_VALUE"""),1408.11)</f>
        <v>1408.11</v>
      </c>
      <c r="C3545" s="1">
        <f>IFERROR(__xludf.DUMMYFUNCTION("""COMPUTED_VALUE"""),1421.58)</f>
        <v>1421.58</v>
      </c>
      <c r="D3545" s="1">
        <f>IFERROR(__xludf.DUMMYFUNCTION("""COMPUTED_VALUE"""),1405.65)</f>
        <v>1405.65</v>
      </c>
      <c r="E3545" s="1">
        <f>IFERROR(__xludf.DUMMYFUNCTION("""COMPUTED_VALUE"""),1417.04)</f>
        <v>1417.04</v>
      </c>
      <c r="F3545" s="1">
        <f>IFERROR(__xludf.DUMMYFUNCTION("""COMPUTED_VALUE"""),1.5425E8)</f>
        <v>154250000</v>
      </c>
    </row>
    <row r="3546">
      <c r="A3546" s="2">
        <f>IFERROR(__xludf.DUMMYFUNCTION("""COMPUTED_VALUE"""),36507.666666666664)</f>
        <v>36507.66667</v>
      </c>
      <c r="B3546" s="1">
        <f>IFERROR(__xludf.DUMMYFUNCTION("""COMPUTED_VALUE"""),1417.04)</f>
        <v>1417.04</v>
      </c>
      <c r="C3546" s="1">
        <f>IFERROR(__xludf.DUMMYFUNCTION("""COMPUTED_VALUE"""),1421.58)</f>
        <v>1421.58</v>
      </c>
      <c r="D3546" s="1">
        <f>IFERROR(__xludf.DUMMYFUNCTION("""COMPUTED_VALUE"""),1410.23)</f>
        <v>1410.23</v>
      </c>
      <c r="E3546" s="1">
        <f>IFERROR(__xludf.DUMMYFUNCTION("""COMPUTED_VALUE"""),1415.22)</f>
        <v>1415.22</v>
      </c>
      <c r="F3546" s="1">
        <f>IFERROR(__xludf.DUMMYFUNCTION("""COMPUTED_VALUE"""),1.5275E8)</f>
        <v>152750000</v>
      </c>
    </row>
    <row r="3547">
      <c r="A3547" s="2">
        <f>IFERROR(__xludf.DUMMYFUNCTION("""COMPUTED_VALUE"""),36508.666666666664)</f>
        <v>36508.66667</v>
      </c>
      <c r="B3547" s="1">
        <f>IFERROR(__xludf.DUMMYFUNCTION("""COMPUTED_VALUE"""),1415.22)</f>
        <v>1415.22</v>
      </c>
      <c r="C3547" s="1">
        <f>IFERROR(__xludf.DUMMYFUNCTION("""COMPUTED_VALUE"""),1418.3)</f>
        <v>1418.3</v>
      </c>
      <c r="D3547" s="1">
        <f>IFERROR(__xludf.DUMMYFUNCTION("""COMPUTED_VALUE"""),1401.59)</f>
        <v>1401.59</v>
      </c>
      <c r="E3547" s="1">
        <f>IFERROR(__xludf.DUMMYFUNCTION("""COMPUTED_VALUE"""),1403.17)</f>
        <v>1403.17</v>
      </c>
      <c r="F3547" s="1">
        <f>IFERROR(__xludf.DUMMYFUNCTION("""COMPUTED_VALUE"""),1.60593744E8)</f>
        <v>160593744</v>
      </c>
    </row>
    <row r="3548">
      <c r="A3548" s="2">
        <f>IFERROR(__xludf.DUMMYFUNCTION("""COMPUTED_VALUE"""),36509.666666666664)</f>
        <v>36509.66667</v>
      </c>
      <c r="B3548" s="1">
        <f>IFERROR(__xludf.DUMMYFUNCTION("""COMPUTED_VALUE"""),1403.17)</f>
        <v>1403.17</v>
      </c>
      <c r="C3548" s="1">
        <f>IFERROR(__xludf.DUMMYFUNCTION("""COMPUTED_VALUE"""),1417.4)</f>
        <v>1417.4</v>
      </c>
      <c r="D3548" s="1">
        <f>IFERROR(__xludf.DUMMYFUNCTION("""COMPUTED_VALUE"""),1395.93)</f>
        <v>1395.93</v>
      </c>
      <c r="E3548" s="1">
        <f>IFERROR(__xludf.DUMMYFUNCTION("""COMPUTED_VALUE"""),1413.33)</f>
        <v>1413.33</v>
      </c>
      <c r="F3548" s="1">
        <f>IFERROR(__xludf.DUMMYFUNCTION("""COMPUTED_VALUE"""),1.6154688E8)</f>
        <v>161546880</v>
      </c>
    </row>
    <row r="3549">
      <c r="A3549" s="2">
        <f>IFERROR(__xludf.DUMMYFUNCTION("""COMPUTED_VALUE"""),36510.666666666664)</f>
        <v>36510.66667</v>
      </c>
      <c r="B3549" s="1">
        <f>IFERROR(__xludf.DUMMYFUNCTION("""COMPUTED_VALUE"""),1413.32)</f>
        <v>1413.32</v>
      </c>
      <c r="C3549" s="1">
        <f>IFERROR(__xludf.DUMMYFUNCTION("""COMPUTED_VALUE"""),1423.11)</f>
        <v>1423.11</v>
      </c>
      <c r="D3549" s="1">
        <f>IFERROR(__xludf.DUMMYFUNCTION("""COMPUTED_VALUE"""),1408.35)</f>
        <v>1408.35</v>
      </c>
      <c r="E3549" s="1">
        <f>IFERROR(__xludf.DUMMYFUNCTION("""COMPUTED_VALUE"""),1418.78)</f>
        <v>1418.78</v>
      </c>
      <c r="F3549" s="1">
        <f>IFERROR(__xludf.DUMMYFUNCTION("""COMPUTED_VALUE"""),1.67234368E8)</f>
        <v>167234368</v>
      </c>
    </row>
    <row r="3550">
      <c r="A3550" s="2">
        <f>IFERROR(__xludf.DUMMYFUNCTION("""COMPUTED_VALUE"""),36511.666666666664)</f>
        <v>36511.66667</v>
      </c>
      <c r="B3550" s="1">
        <f>IFERROR(__xludf.DUMMYFUNCTION("""COMPUTED_VALUE"""),1418.78)</f>
        <v>1418.78</v>
      </c>
      <c r="C3550" s="1">
        <f>IFERROR(__xludf.DUMMYFUNCTION("""COMPUTED_VALUE"""),1431.13)</f>
        <v>1431.13</v>
      </c>
      <c r="D3550" s="1">
        <f>IFERROR(__xludf.DUMMYFUNCTION("""COMPUTED_VALUE"""),1418.78)</f>
        <v>1418.78</v>
      </c>
      <c r="E3550" s="1">
        <f>IFERROR(__xludf.DUMMYFUNCTION("""COMPUTED_VALUE"""),1421.05)</f>
        <v>1421.05</v>
      </c>
      <c r="F3550" s="1">
        <f>IFERROR(__xludf.DUMMYFUNCTION("""COMPUTED_VALUE"""),2.10906256E8)</f>
        <v>210906256</v>
      </c>
    </row>
    <row r="3551">
      <c r="A3551" s="2">
        <f>IFERROR(__xludf.DUMMYFUNCTION("""COMPUTED_VALUE"""),36514.666666666664)</f>
        <v>36514.66667</v>
      </c>
      <c r="B3551" s="1">
        <f>IFERROR(__xludf.DUMMYFUNCTION("""COMPUTED_VALUE"""),1421.03)</f>
        <v>1421.03</v>
      </c>
      <c r="C3551" s="1">
        <f>IFERROR(__xludf.DUMMYFUNCTION("""COMPUTED_VALUE"""),1429.21)</f>
        <v>1429.21</v>
      </c>
      <c r="D3551" s="1">
        <f>IFERROR(__xludf.DUMMYFUNCTION("""COMPUTED_VALUE"""),1410.97)</f>
        <v>1410.97</v>
      </c>
      <c r="E3551" s="1">
        <f>IFERROR(__xludf.DUMMYFUNCTION("""COMPUTED_VALUE"""),1418.09)</f>
        <v>1418.09</v>
      </c>
      <c r="F3551" s="1">
        <f>IFERROR(__xludf.DUMMYFUNCTION("""COMPUTED_VALUE"""),1.41343744E8)</f>
        <v>141343744</v>
      </c>
    </row>
    <row r="3552">
      <c r="A3552" s="2">
        <f>IFERROR(__xludf.DUMMYFUNCTION("""COMPUTED_VALUE"""),36515.666666666664)</f>
        <v>36515.66667</v>
      </c>
      <c r="B3552" s="1">
        <f>IFERROR(__xludf.DUMMYFUNCTION("""COMPUTED_VALUE"""),1418.09)</f>
        <v>1418.09</v>
      </c>
      <c r="C3552" s="1">
        <f>IFERROR(__xludf.DUMMYFUNCTION("""COMPUTED_VALUE"""),1436.45)</f>
        <v>1436.45</v>
      </c>
      <c r="D3552" s="1">
        <f>IFERROR(__xludf.DUMMYFUNCTION("""COMPUTED_VALUE"""),1414.87)</f>
        <v>1414.87</v>
      </c>
      <c r="E3552" s="1">
        <f>IFERROR(__xludf.DUMMYFUNCTION("""COMPUTED_VALUE"""),1433.43)</f>
        <v>1433.43</v>
      </c>
      <c r="F3552" s="1">
        <f>IFERROR(__xludf.DUMMYFUNCTION("""COMPUTED_VALUE"""),1.5054688E8)</f>
        <v>150546880</v>
      </c>
    </row>
    <row r="3553">
      <c r="A3553" s="2">
        <f>IFERROR(__xludf.DUMMYFUNCTION("""COMPUTED_VALUE"""),36516.666666666664)</f>
        <v>36516.66667</v>
      </c>
      <c r="B3553" s="1">
        <f>IFERROR(__xludf.DUMMYFUNCTION("""COMPUTED_VALUE"""),1433.43)</f>
        <v>1433.43</v>
      </c>
      <c r="C3553" s="1">
        <f>IFERROR(__xludf.DUMMYFUNCTION("""COMPUTED_VALUE"""),1440.02)</f>
        <v>1440.02</v>
      </c>
      <c r="D3553" s="1">
        <f>IFERROR(__xludf.DUMMYFUNCTION("""COMPUTED_VALUE"""),1429.05)</f>
        <v>1429.05</v>
      </c>
      <c r="E3553" s="1">
        <f>IFERROR(__xludf.DUMMYFUNCTION("""COMPUTED_VALUE"""),1435.99)</f>
        <v>1435.99</v>
      </c>
      <c r="F3553" s="1">
        <f>IFERROR(__xludf.DUMMYFUNCTION("""COMPUTED_VALUE"""),1.32812496E8)</f>
        <v>132812496</v>
      </c>
    </row>
    <row r="3554">
      <c r="A3554" s="2">
        <f>IFERROR(__xludf.DUMMYFUNCTION("""COMPUTED_VALUE"""),36517.666666666664)</f>
        <v>36517.66667</v>
      </c>
      <c r="B3554" s="1">
        <f>IFERROR(__xludf.DUMMYFUNCTION("""COMPUTED_VALUE"""),1436.13)</f>
        <v>1436.13</v>
      </c>
      <c r="C3554" s="1">
        <f>IFERROR(__xludf.DUMMYFUNCTION("""COMPUTED_VALUE"""),1461.44)</f>
        <v>1461.44</v>
      </c>
      <c r="D3554" s="1">
        <f>IFERROR(__xludf.DUMMYFUNCTION("""COMPUTED_VALUE"""),1436.13)</f>
        <v>1436.13</v>
      </c>
      <c r="E3554" s="1">
        <f>IFERROR(__xludf.DUMMYFUNCTION("""COMPUTED_VALUE"""),1458.34)</f>
        <v>1458.34</v>
      </c>
      <c r="F3554" s="1">
        <f>IFERROR(__xludf.DUMMYFUNCTION("""COMPUTED_VALUE"""),1.13843752E8)</f>
        <v>113843752</v>
      </c>
    </row>
    <row r="3555">
      <c r="A3555" s="2">
        <f>IFERROR(__xludf.DUMMYFUNCTION("""COMPUTED_VALUE"""),36521.666666666664)</f>
        <v>36521.66667</v>
      </c>
      <c r="B3555" s="1">
        <f>IFERROR(__xludf.DUMMYFUNCTION("""COMPUTED_VALUE"""),1458.34)</f>
        <v>1458.34</v>
      </c>
      <c r="C3555" s="1">
        <f>IFERROR(__xludf.DUMMYFUNCTION("""COMPUTED_VALUE"""),1463.14)</f>
        <v>1463.14</v>
      </c>
      <c r="D3555" s="1">
        <f>IFERROR(__xludf.DUMMYFUNCTION("""COMPUTED_VALUE"""),1450.73)</f>
        <v>1450.73</v>
      </c>
      <c r="E3555" s="1">
        <f>IFERROR(__xludf.DUMMYFUNCTION("""COMPUTED_VALUE"""),1457.09)</f>
        <v>1457.09</v>
      </c>
      <c r="F3555" s="1">
        <f>IFERROR(__xludf.DUMMYFUNCTION("""COMPUTED_VALUE"""),1.12906248E8)</f>
        <v>112906248</v>
      </c>
    </row>
    <row r="3556">
      <c r="A3556" s="2">
        <f>IFERROR(__xludf.DUMMYFUNCTION("""COMPUTED_VALUE"""),36522.666666666664)</f>
        <v>36522.66667</v>
      </c>
      <c r="B3556" s="1">
        <f>IFERROR(__xludf.DUMMYFUNCTION("""COMPUTED_VALUE"""),1457.09)</f>
        <v>1457.09</v>
      </c>
      <c r="C3556" s="1">
        <f>IFERROR(__xludf.DUMMYFUNCTION("""COMPUTED_VALUE"""),1462.68)</f>
        <v>1462.68</v>
      </c>
      <c r="D3556" s="1">
        <f>IFERROR(__xludf.DUMMYFUNCTION("""COMPUTED_VALUE"""),1452.74)</f>
        <v>1452.74</v>
      </c>
      <c r="E3556" s="1">
        <f>IFERROR(__xludf.DUMMYFUNCTION("""COMPUTED_VALUE"""),1457.66)</f>
        <v>1457.66</v>
      </c>
      <c r="F3556" s="1">
        <f>IFERROR(__xludf.DUMMYFUNCTION("""COMPUTED_VALUE"""),1.02406248E8)</f>
        <v>102406248</v>
      </c>
    </row>
    <row r="3557">
      <c r="A3557" s="2">
        <f>IFERROR(__xludf.DUMMYFUNCTION("""COMPUTED_VALUE"""),36523.666666666664)</f>
        <v>36523.66667</v>
      </c>
      <c r="B3557" s="1">
        <f>IFERROR(__xludf.DUMMYFUNCTION("""COMPUTED_VALUE"""),1457.66)</f>
        <v>1457.66</v>
      </c>
      <c r="C3557" s="1">
        <f>IFERROR(__xludf.DUMMYFUNCTION("""COMPUTED_VALUE"""),1467.47)</f>
        <v>1467.47</v>
      </c>
      <c r="D3557" s="1">
        <f>IFERROR(__xludf.DUMMYFUNCTION("""COMPUTED_VALUE"""),1457.66)</f>
        <v>1457.66</v>
      </c>
      <c r="E3557" s="1">
        <f>IFERROR(__xludf.DUMMYFUNCTION("""COMPUTED_VALUE"""),1463.46)</f>
        <v>1463.46</v>
      </c>
      <c r="F3557" s="1">
        <f>IFERROR(__xludf.DUMMYFUNCTION("""COMPUTED_VALUE"""),8.8728128E7)</f>
        <v>88728128</v>
      </c>
    </row>
    <row r="3558">
      <c r="A3558" s="2">
        <f>IFERROR(__xludf.DUMMYFUNCTION("""COMPUTED_VALUE"""),36524.666666666664)</f>
        <v>36524.66667</v>
      </c>
      <c r="B3558" s="1">
        <f>IFERROR(__xludf.DUMMYFUNCTION("""COMPUTED_VALUE"""),1463.46)</f>
        <v>1463.46</v>
      </c>
      <c r="C3558" s="1">
        <f>IFERROR(__xludf.DUMMYFUNCTION("""COMPUTED_VALUE"""),1473.13)</f>
        <v>1473.13</v>
      </c>
      <c r="D3558" s="1">
        <f>IFERROR(__xludf.DUMMYFUNCTION("""COMPUTED_VALUE"""),1462.6)</f>
        <v>1462.6</v>
      </c>
      <c r="E3558" s="1">
        <f>IFERROR(__xludf.DUMMYFUNCTION("""COMPUTED_VALUE"""),1464.47)</f>
        <v>1464.47</v>
      </c>
      <c r="F3558" s="1">
        <f>IFERROR(__xludf.DUMMYFUNCTION("""COMPUTED_VALUE"""),8.6668752E7)</f>
        <v>86668752</v>
      </c>
    </row>
    <row r="3559">
      <c r="A3559" s="2">
        <f>IFERROR(__xludf.DUMMYFUNCTION("""COMPUTED_VALUE"""),36525.666666666664)</f>
        <v>36525.66667</v>
      </c>
      <c r="B3559" s="1">
        <f>IFERROR(__xludf.DUMMYFUNCTION("""COMPUTED_VALUE"""),1464.47)</f>
        <v>1464.47</v>
      </c>
      <c r="C3559" s="1">
        <f>IFERROR(__xludf.DUMMYFUNCTION("""COMPUTED_VALUE"""),1472.42)</f>
        <v>1472.42</v>
      </c>
      <c r="D3559" s="1">
        <f>IFERROR(__xludf.DUMMYFUNCTION("""COMPUTED_VALUE"""),1458.19)</f>
        <v>1458.19</v>
      </c>
      <c r="E3559" s="1">
        <f>IFERROR(__xludf.DUMMYFUNCTION("""COMPUTED_VALUE"""),1469.25)</f>
        <v>1469.25</v>
      </c>
      <c r="F3559" s="1">
        <f>IFERROR(__xludf.DUMMYFUNCTION("""COMPUTED_VALUE"""),5.8445312E7)</f>
        <v>58445312</v>
      </c>
    </row>
    <row r="3560">
      <c r="A3560" s="2">
        <f>IFERROR(__xludf.DUMMYFUNCTION("""COMPUTED_VALUE"""),36528.666666666664)</f>
        <v>36528.66667</v>
      </c>
      <c r="B3560" s="1">
        <f>IFERROR(__xludf.DUMMYFUNCTION("""COMPUTED_VALUE"""),1464.47)</f>
        <v>1464.47</v>
      </c>
      <c r="C3560" s="1">
        <f>IFERROR(__xludf.DUMMYFUNCTION("""COMPUTED_VALUE"""),1478.0)</f>
        <v>1478</v>
      </c>
      <c r="D3560" s="1">
        <f>IFERROR(__xludf.DUMMYFUNCTION("""COMPUTED_VALUE"""),1438.36)</f>
        <v>1438.36</v>
      </c>
      <c r="E3560" s="1">
        <f>IFERROR(__xludf.DUMMYFUNCTION("""COMPUTED_VALUE"""),1455.17)</f>
        <v>1455.17</v>
      </c>
      <c r="F3560" s="1">
        <f>IFERROR(__xludf.DUMMYFUNCTION("""COMPUTED_VALUE"""),1.45593744E8)</f>
        <v>145593744</v>
      </c>
    </row>
    <row r="3561">
      <c r="A3561" s="2">
        <f>IFERROR(__xludf.DUMMYFUNCTION("""COMPUTED_VALUE"""),36529.666666666664)</f>
        <v>36529.66667</v>
      </c>
      <c r="B3561" s="1">
        <f>IFERROR(__xludf.DUMMYFUNCTION("""COMPUTED_VALUE"""),1449.0)</f>
        <v>1449</v>
      </c>
      <c r="C3561" s="1">
        <f>IFERROR(__xludf.DUMMYFUNCTION("""COMPUTED_VALUE"""),1449.0)</f>
        <v>1449</v>
      </c>
      <c r="D3561" s="1">
        <f>IFERROR(__xludf.DUMMYFUNCTION("""COMPUTED_VALUE"""),1397.43)</f>
        <v>1397.43</v>
      </c>
      <c r="E3561" s="1">
        <f>IFERROR(__xludf.DUMMYFUNCTION("""COMPUTED_VALUE"""),1399.42)</f>
        <v>1399.42</v>
      </c>
      <c r="F3561" s="1">
        <f>IFERROR(__xludf.DUMMYFUNCTION("""COMPUTED_VALUE"""),1.57656256E8)</f>
        <v>157656256</v>
      </c>
    </row>
    <row r="3562">
      <c r="A3562" s="2">
        <f>IFERROR(__xludf.DUMMYFUNCTION("""COMPUTED_VALUE"""),36530.666666666664)</f>
        <v>36530.66667</v>
      </c>
      <c r="B3562" s="1">
        <f>IFERROR(__xludf.DUMMYFUNCTION("""COMPUTED_VALUE"""),1399.42)</f>
        <v>1399.42</v>
      </c>
      <c r="C3562" s="1">
        <f>IFERROR(__xludf.DUMMYFUNCTION("""COMPUTED_VALUE"""),1413.27)</f>
        <v>1413.27</v>
      </c>
      <c r="D3562" s="1">
        <f>IFERROR(__xludf.DUMMYFUNCTION("""COMPUTED_VALUE"""),1377.68)</f>
        <v>1377.68</v>
      </c>
      <c r="E3562" s="1">
        <f>IFERROR(__xludf.DUMMYFUNCTION("""COMPUTED_VALUE"""),1402.11)</f>
        <v>1402.11</v>
      </c>
      <c r="F3562" s="1">
        <f>IFERROR(__xludf.DUMMYFUNCTION("""COMPUTED_VALUE"""),1.69609376E8)</f>
        <v>169609376</v>
      </c>
    </row>
    <row r="3563">
      <c r="A3563" s="2">
        <f>IFERROR(__xludf.DUMMYFUNCTION("""COMPUTED_VALUE"""),36531.666666666664)</f>
        <v>36531.66667</v>
      </c>
      <c r="B3563" s="1">
        <f>IFERROR(__xludf.DUMMYFUNCTION("""COMPUTED_VALUE"""),1402.11)</f>
        <v>1402.11</v>
      </c>
      <c r="C3563" s="1">
        <f>IFERROR(__xludf.DUMMYFUNCTION("""COMPUTED_VALUE"""),1411.9)</f>
        <v>1411.9</v>
      </c>
      <c r="D3563" s="1">
        <f>IFERROR(__xludf.DUMMYFUNCTION("""COMPUTED_VALUE"""),1392.02)</f>
        <v>1392.02</v>
      </c>
      <c r="E3563" s="1">
        <f>IFERROR(__xludf.DUMMYFUNCTION("""COMPUTED_VALUE"""),1403.45)</f>
        <v>1403.45</v>
      </c>
      <c r="F3563" s="1">
        <f>IFERROR(__xludf.DUMMYFUNCTION("""COMPUTED_VALUE"""),1.70671872E8)</f>
        <v>170671872</v>
      </c>
    </row>
    <row r="3564">
      <c r="A3564" s="2">
        <f>IFERROR(__xludf.DUMMYFUNCTION("""COMPUTED_VALUE"""),36532.666666666664)</f>
        <v>36532.66667</v>
      </c>
      <c r="B3564" s="1">
        <f>IFERROR(__xludf.DUMMYFUNCTION("""COMPUTED_VALUE"""),1403.45)</f>
        <v>1403.45</v>
      </c>
      <c r="C3564" s="1">
        <f>IFERROR(__xludf.DUMMYFUNCTION("""COMPUTED_VALUE"""),1441.47)</f>
        <v>1441.47</v>
      </c>
      <c r="D3564" s="1">
        <f>IFERROR(__xludf.DUMMYFUNCTION("""COMPUTED_VALUE"""),1400.73)</f>
        <v>1400.73</v>
      </c>
      <c r="E3564" s="1">
        <f>IFERROR(__xludf.DUMMYFUNCTION("""COMPUTED_VALUE"""),1441.47)</f>
        <v>1441.47</v>
      </c>
      <c r="F3564" s="1">
        <f>IFERROR(__xludf.DUMMYFUNCTION("""COMPUTED_VALUE"""),1.91437504E8)</f>
        <v>191437504</v>
      </c>
    </row>
    <row r="3565">
      <c r="A3565" s="2">
        <f>IFERROR(__xludf.DUMMYFUNCTION("""COMPUTED_VALUE"""),36535.666666666664)</f>
        <v>36535.66667</v>
      </c>
      <c r="B3565" s="1">
        <f>IFERROR(__xludf.DUMMYFUNCTION("""COMPUTED_VALUE"""),1441.47)</f>
        <v>1441.47</v>
      </c>
      <c r="C3565" s="1">
        <f>IFERROR(__xludf.DUMMYFUNCTION("""COMPUTED_VALUE"""),1464.36)</f>
        <v>1464.36</v>
      </c>
      <c r="D3565" s="1">
        <f>IFERROR(__xludf.DUMMYFUNCTION("""COMPUTED_VALUE"""),1441.47)</f>
        <v>1441.47</v>
      </c>
      <c r="E3565" s="1">
        <f>IFERROR(__xludf.DUMMYFUNCTION("""COMPUTED_VALUE"""),1457.6)</f>
        <v>1457.6</v>
      </c>
      <c r="F3565" s="1">
        <f>IFERROR(__xludf.DUMMYFUNCTION("""COMPUTED_VALUE"""),1.66375008E8)</f>
        <v>166375008</v>
      </c>
    </row>
    <row r="3566">
      <c r="A3566" s="2">
        <f>IFERROR(__xludf.DUMMYFUNCTION("""COMPUTED_VALUE"""),36536.666666666664)</f>
        <v>36536.66667</v>
      </c>
      <c r="B3566" s="1">
        <f>IFERROR(__xludf.DUMMYFUNCTION("""COMPUTED_VALUE"""),1457.6)</f>
        <v>1457.6</v>
      </c>
      <c r="C3566" s="1">
        <f>IFERROR(__xludf.DUMMYFUNCTION("""COMPUTED_VALUE"""),1458.66)</f>
        <v>1458.66</v>
      </c>
      <c r="D3566" s="1">
        <f>IFERROR(__xludf.DUMMYFUNCTION("""COMPUTED_VALUE"""),1434.42)</f>
        <v>1434.42</v>
      </c>
      <c r="E3566" s="1">
        <f>IFERROR(__xludf.DUMMYFUNCTION("""COMPUTED_VALUE"""),1438.56)</f>
        <v>1438.56</v>
      </c>
      <c r="F3566" s="1">
        <f>IFERROR(__xludf.DUMMYFUNCTION("""COMPUTED_VALUE"""),1.58437504E8)</f>
        <v>158437504</v>
      </c>
    </row>
    <row r="3567">
      <c r="A3567" s="2">
        <f>IFERROR(__xludf.DUMMYFUNCTION("""COMPUTED_VALUE"""),36537.666666666664)</f>
        <v>36537.66667</v>
      </c>
      <c r="B3567" s="1">
        <f>IFERROR(__xludf.DUMMYFUNCTION("""COMPUTED_VALUE"""),1438.56)</f>
        <v>1438.56</v>
      </c>
      <c r="C3567" s="1">
        <f>IFERROR(__xludf.DUMMYFUNCTION("""COMPUTED_VALUE"""),1442.6)</f>
        <v>1442.6</v>
      </c>
      <c r="D3567" s="1">
        <f>IFERROR(__xludf.DUMMYFUNCTION("""COMPUTED_VALUE"""),1427.08)</f>
        <v>1427.08</v>
      </c>
      <c r="E3567" s="1">
        <f>IFERROR(__xludf.DUMMYFUNCTION("""COMPUTED_VALUE"""),1432.25)</f>
        <v>1432.25</v>
      </c>
      <c r="F3567" s="1">
        <f>IFERROR(__xludf.DUMMYFUNCTION("""COMPUTED_VALUE"""),1.52281248E8)</f>
        <v>152281248</v>
      </c>
    </row>
    <row r="3568">
      <c r="A3568" s="2">
        <f>IFERROR(__xludf.DUMMYFUNCTION("""COMPUTED_VALUE"""),36538.666666666664)</f>
        <v>36538.66667</v>
      </c>
      <c r="B3568" s="1">
        <f>IFERROR(__xludf.DUMMYFUNCTION("""COMPUTED_VALUE"""),1432.25)</f>
        <v>1432.25</v>
      </c>
      <c r="C3568" s="1">
        <f>IFERROR(__xludf.DUMMYFUNCTION("""COMPUTED_VALUE"""),1454.2)</f>
        <v>1454.2</v>
      </c>
      <c r="D3568" s="1">
        <f>IFERROR(__xludf.DUMMYFUNCTION("""COMPUTED_VALUE"""),1432.25)</f>
        <v>1432.25</v>
      </c>
      <c r="E3568" s="1">
        <f>IFERROR(__xludf.DUMMYFUNCTION("""COMPUTED_VALUE"""),1449.68)</f>
        <v>1449.68</v>
      </c>
      <c r="F3568" s="1">
        <f>IFERROR(__xludf.DUMMYFUNCTION("""COMPUTED_VALUE"""),1.61E8)</f>
        <v>161000000</v>
      </c>
    </row>
    <row r="3569">
      <c r="A3569" s="2">
        <f>IFERROR(__xludf.DUMMYFUNCTION("""COMPUTED_VALUE"""),36539.666666666664)</f>
        <v>36539.66667</v>
      </c>
      <c r="B3569" s="1">
        <f>IFERROR(__xludf.DUMMYFUNCTION("""COMPUTED_VALUE"""),1449.68)</f>
        <v>1449.68</v>
      </c>
      <c r="C3569" s="1">
        <f>IFERROR(__xludf.DUMMYFUNCTION("""COMPUTED_VALUE"""),1473.0)</f>
        <v>1473</v>
      </c>
      <c r="D3569" s="1">
        <f>IFERROR(__xludf.DUMMYFUNCTION("""COMPUTED_VALUE"""),1449.68)</f>
        <v>1449.68</v>
      </c>
      <c r="E3569" s="1">
        <f>IFERROR(__xludf.DUMMYFUNCTION("""COMPUTED_VALUE"""),1465.15)</f>
        <v>1465.15</v>
      </c>
      <c r="F3569" s="1">
        <f>IFERROR(__xludf.DUMMYFUNCTION("""COMPUTED_VALUE"""),1.69671872E8)</f>
        <v>169671872</v>
      </c>
    </row>
    <row r="3570">
      <c r="A3570" s="2">
        <f>IFERROR(__xludf.DUMMYFUNCTION("""COMPUTED_VALUE"""),36543.666666666664)</f>
        <v>36543.66667</v>
      </c>
      <c r="B3570" s="1">
        <f>IFERROR(__xludf.DUMMYFUNCTION("""COMPUTED_VALUE"""),1465.15)</f>
        <v>1465.15</v>
      </c>
      <c r="C3570" s="1">
        <f>IFERROR(__xludf.DUMMYFUNCTION("""COMPUTED_VALUE"""),1465.15)</f>
        <v>1465.15</v>
      </c>
      <c r="D3570" s="1">
        <f>IFERROR(__xludf.DUMMYFUNCTION("""COMPUTED_VALUE"""),1451.3)</f>
        <v>1451.3</v>
      </c>
      <c r="E3570" s="1">
        <f>IFERROR(__xludf.DUMMYFUNCTION("""COMPUTED_VALUE"""),1455.14)</f>
        <v>1455.14</v>
      </c>
      <c r="F3570" s="1">
        <f>IFERROR(__xludf.DUMMYFUNCTION("""COMPUTED_VALUE"""),1.65109376E8)</f>
        <v>165109376</v>
      </c>
    </row>
    <row r="3571">
      <c r="A3571" s="2">
        <f>IFERROR(__xludf.DUMMYFUNCTION("""COMPUTED_VALUE"""),36544.666666666664)</f>
        <v>36544.66667</v>
      </c>
      <c r="B3571" s="1">
        <f>IFERROR(__xludf.DUMMYFUNCTION("""COMPUTED_VALUE"""),1455.14)</f>
        <v>1455.14</v>
      </c>
      <c r="C3571" s="1">
        <f>IFERROR(__xludf.DUMMYFUNCTION("""COMPUTED_VALUE"""),1461.39)</f>
        <v>1461.39</v>
      </c>
      <c r="D3571" s="1">
        <f>IFERROR(__xludf.DUMMYFUNCTION("""COMPUTED_VALUE"""),1448.68)</f>
        <v>1448.68</v>
      </c>
      <c r="E3571" s="1">
        <f>IFERROR(__xludf.DUMMYFUNCTION("""COMPUTED_VALUE"""),1455.9)</f>
        <v>1455.9</v>
      </c>
      <c r="F3571" s="1">
        <f>IFERROR(__xludf.DUMMYFUNCTION("""COMPUTED_VALUE"""),1.69968752E8)</f>
        <v>169968752</v>
      </c>
    </row>
    <row r="3572">
      <c r="A3572" s="2">
        <f>IFERROR(__xludf.DUMMYFUNCTION("""COMPUTED_VALUE"""),36545.666666666664)</f>
        <v>36545.66667</v>
      </c>
      <c r="B3572" s="1">
        <f>IFERROR(__xludf.DUMMYFUNCTION("""COMPUTED_VALUE"""),1455.9)</f>
        <v>1455.9</v>
      </c>
      <c r="C3572" s="1">
        <f>IFERROR(__xludf.DUMMYFUNCTION("""COMPUTED_VALUE"""),1465.71)</f>
        <v>1465.71</v>
      </c>
      <c r="D3572" s="1">
        <f>IFERROR(__xludf.DUMMYFUNCTION("""COMPUTED_VALUE"""),1438.54)</f>
        <v>1438.54</v>
      </c>
      <c r="E3572" s="1">
        <f>IFERROR(__xludf.DUMMYFUNCTION("""COMPUTED_VALUE"""),1445.57)</f>
        <v>1445.57</v>
      </c>
      <c r="F3572" s="1">
        <f>IFERROR(__xludf.DUMMYFUNCTION("""COMPUTED_VALUE"""),1.71984368E8)</f>
        <v>171984368</v>
      </c>
    </row>
    <row r="3573">
      <c r="A3573" s="2">
        <f>IFERROR(__xludf.DUMMYFUNCTION("""COMPUTED_VALUE"""),36546.666666666664)</f>
        <v>36546.66667</v>
      </c>
      <c r="B3573" s="1">
        <f>IFERROR(__xludf.DUMMYFUNCTION("""COMPUTED_VALUE"""),1445.57)</f>
        <v>1445.57</v>
      </c>
      <c r="C3573" s="1">
        <f>IFERROR(__xludf.DUMMYFUNCTION("""COMPUTED_VALUE"""),1452.73)</f>
        <v>1452.73</v>
      </c>
      <c r="D3573" s="1">
        <f>IFERROR(__xludf.DUMMYFUNCTION("""COMPUTED_VALUE"""),1439.6)</f>
        <v>1439.6</v>
      </c>
      <c r="E3573" s="1">
        <f>IFERROR(__xludf.DUMMYFUNCTION("""COMPUTED_VALUE"""),1441.36)</f>
        <v>1441.36</v>
      </c>
      <c r="F3573" s="1">
        <f>IFERROR(__xludf.DUMMYFUNCTION("""COMPUTED_VALUE"""),1.89031248E8)</f>
        <v>189031248</v>
      </c>
    </row>
    <row r="3574">
      <c r="A3574" s="2">
        <f>IFERROR(__xludf.DUMMYFUNCTION("""COMPUTED_VALUE"""),36549.666666666664)</f>
        <v>36549.66667</v>
      </c>
      <c r="B3574" s="1">
        <f>IFERROR(__xludf.DUMMYFUNCTION("""COMPUTED_VALUE"""),1447.11)</f>
        <v>1447.11</v>
      </c>
      <c r="C3574" s="1">
        <f>IFERROR(__xludf.DUMMYFUNCTION("""COMPUTED_VALUE"""),1454.09)</f>
        <v>1454.09</v>
      </c>
      <c r="D3574" s="1">
        <f>IFERROR(__xludf.DUMMYFUNCTION("""COMPUTED_VALUE"""),1395.42)</f>
        <v>1395.42</v>
      </c>
      <c r="E3574" s="1">
        <f>IFERROR(__xludf.DUMMYFUNCTION("""COMPUTED_VALUE"""),1401.53)</f>
        <v>1401.53</v>
      </c>
      <c r="F3574" s="1">
        <f>IFERROR(__xludf.DUMMYFUNCTION("""COMPUTED_VALUE"""),1.74343744E8)</f>
        <v>174343744</v>
      </c>
    </row>
    <row r="3575">
      <c r="A3575" s="2">
        <f>IFERROR(__xludf.DUMMYFUNCTION("""COMPUTED_VALUE"""),36550.666666666664)</f>
        <v>36550.66667</v>
      </c>
      <c r="B3575" s="1">
        <f>IFERROR(__xludf.DUMMYFUNCTION("""COMPUTED_VALUE"""),1401.53)</f>
        <v>1401.53</v>
      </c>
      <c r="C3575" s="1">
        <f>IFERROR(__xludf.DUMMYFUNCTION("""COMPUTED_VALUE"""),1414.26)</f>
        <v>1414.26</v>
      </c>
      <c r="D3575" s="1">
        <f>IFERROR(__xludf.DUMMYFUNCTION("""COMPUTED_VALUE"""),1388.49)</f>
        <v>1388.49</v>
      </c>
      <c r="E3575" s="1">
        <f>IFERROR(__xludf.DUMMYFUNCTION("""COMPUTED_VALUE"""),1410.03)</f>
        <v>1410.03</v>
      </c>
      <c r="F3575" s="1">
        <f>IFERROR(__xludf.DUMMYFUNCTION("""COMPUTED_VALUE"""),1.67765632E8)</f>
        <v>167765632</v>
      </c>
    </row>
    <row r="3576">
      <c r="A3576" s="2">
        <f>IFERROR(__xludf.DUMMYFUNCTION("""COMPUTED_VALUE"""),36551.666666666664)</f>
        <v>36551.66667</v>
      </c>
      <c r="B3576" s="1">
        <f>IFERROR(__xludf.DUMMYFUNCTION("""COMPUTED_VALUE"""),1410.03)</f>
        <v>1410.03</v>
      </c>
      <c r="C3576" s="1">
        <f>IFERROR(__xludf.DUMMYFUNCTION("""COMPUTED_VALUE"""),1412.73)</f>
        <v>1412.73</v>
      </c>
      <c r="D3576" s="1">
        <f>IFERROR(__xludf.DUMMYFUNCTION("""COMPUTED_VALUE"""),1400.16)</f>
        <v>1400.16</v>
      </c>
      <c r="E3576" s="1">
        <f>IFERROR(__xludf.DUMMYFUNCTION("""COMPUTED_VALUE"""),1404.09)</f>
        <v>1404.09</v>
      </c>
      <c r="F3576" s="1">
        <f>IFERROR(__xludf.DUMMYFUNCTION("""COMPUTED_VALUE"""),1.74578128E8)</f>
        <v>174578128</v>
      </c>
    </row>
    <row r="3577">
      <c r="A3577" s="2">
        <f>IFERROR(__xludf.DUMMYFUNCTION("""COMPUTED_VALUE"""),36552.666666666664)</f>
        <v>36552.66667</v>
      </c>
      <c r="B3577" s="1">
        <f>IFERROR(__xludf.DUMMYFUNCTION("""COMPUTED_VALUE"""),1404.09)</f>
        <v>1404.09</v>
      </c>
      <c r="C3577" s="1">
        <f>IFERROR(__xludf.DUMMYFUNCTION("""COMPUTED_VALUE"""),1418.86)</f>
        <v>1418.86</v>
      </c>
      <c r="D3577" s="1">
        <f>IFERROR(__xludf.DUMMYFUNCTION("""COMPUTED_VALUE"""),1380.87)</f>
        <v>1380.87</v>
      </c>
      <c r="E3577" s="1">
        <f>IFERROR(__xludf.DUMMYFUNCTION("""COMPUTED_VALUE"""),1398.56)</f>
        <v>1398.56</v>
      </c>
      <c r="F3577" s="1">
        <f>IFERROR(__xludf.DUMMYFUNCTION("""COMPUTED_VALUE"""),1.76484368E8)</f>
        <v>176484368</v>
      </c>
    </row>
    <row r="3578">
      <c r="A3578" s="2">
        <f>IFERROR(__xludf.DUMMYFUNCTION("""COMPUTED_VALUE"""),36553.666666666664)</f>
        <v>36553.66667</v>
      </c>
      <c r="B3578" s="1">
        <f>IFERROR(__xludf.DUMMYFUNCTION("""COMPUTED_VALUE"""),1397.72)</f>
        <v>1397.72</v>
      </c>
      <c r="C3578" s="1">
        <f>IFERROR(__xludf.DUMMYFUNCTION("""COMPUTED_VALUE"""),1397.73)</f>
        <v>1397.73</v>
      </c>
      <c r="D3578" s="1">
        <f>IFERROR(__xludf.DUMMYFUNCTION("""COMPUTED_VALUE"""),1356.2)</f>
        <v>1356.2</v>
      </c>
      <c r="E3578" s="1">
        <f>IFERROR(__xludf.DUMMYFUNCTION("""COMPUTED_VALUE"""),1360.16)</f>
        <v>1360.16</v>
      </c>
      <c r="F3578" s="1">
        <f>IFERROR(__xludf.DUMMYFUNCTION("""COMPUTED_VALUE"""),1.71218752E8)</f>
        <v>171218752</v>
      </c>
    </row>
    <row r="3579">
      <c r="A3579" s="2">
        <f>IFERROR(__xludf.DUMMYFUNCTION("""COMPUTED_VALUE"""),36556.666666666664)</f>
        <v>36556.66667</v>
      </c>
      <c r="B3579" s="1">
        <f>IFERROR(__xludf.DUMMYFUNCTION("""COMPUTED_VALUE"""),1360.16)</f>
        <v>1360.16</v>
      </c>
      <c r="C3579" s="1">
        <f>IFERROR(__xludf.DUMMYFUNCTION("""COMPUTED_VALUE"""),1394.5)</f>
        <v>1394.5</v>
      </c>
      <c r="D3579" s="1">
        <f>IFERROR(__xludf.DUMMYFUNCTION("""COMPUTED_VALUE"""),1350.05)</f>
        <v>1350.05</v>
      </c>
      <c r="E3579" s="1">
        <f>IFERROR(__xludf.DUMMYFUNCTION("""COMPUTED_VALUE"""),1394.46)</f>
        <v>1394.46</v>
      </c>
      <c r="F3579" s="1">
        <f>IFERROR(__xludf.DUMMYFUNCTION("""COMPUTED_VALUE"""),1.55281248E8)</f>
        <v>155281248</v>
      </c>
    </row>
    <row r="3580">
      <c r="A3580" s="2">
        <f>IFERROR(__xludf.DUMMYFUNCTION("""COMPUTED_VALUE"""),36557.666666666664)</f>
        <v>36557.66667</v>
      </c>
      <c r="B3580" s="1">
        <f>IFERROR(__xludf.DUMMYFUNCTION("""COMPUTED_VALUE"""),1394.46)</f>
        <v>1394.46</v>
      </c>
      <c r="C3580" s="1">
        <f>IFERROR(__xludf.DUMMYFUNCTION("""COMPUTED_VALUE"""),1412.49)</f>
        <v>1412.49</v>
      </c>
      <c r="D3580" s="1">
        <f>IFERROR(__xludf.DUMMYFUNCTION("""COMPUTED_VALUE"""),1384.79)</f>
        <v>1384.79</v>
      </c>
      <c r="E3580" s="1">
        <f>IFERROR(__xludf.DUMMYFUNCTION("""COMPUTED_VALUE"""),1409.28)</f>
        <v>1409.28</v>
      </c>
      <c r="F3580" s="1">
        <f>IFERROR(__xludf.DUMMYFUNCTION("""COMPUTED_VALUE"""),1.53281248E8)</f>
        <v>153281248</v>
      </c>
    </row>
    <row r="3581">
      <c r="A3581" s="2">
        <f>IFERROR(__xludf.DUMMYFUNCTION("""COMPUTED_VALUE"""),36558.666666666664)</f>
        <v>36558.66667</v>
      </c>
      <c r="B3581" s="1">
        <f>IFERROR(__xludf.DUMMYFUNCTION("""COMPUTED_VALUE"""),1409.28)</f>
        <v>1409.28</v>
      </c>
      <c r="C3581" s="1">
        <f>IFERROR(__xludf.DUMMYFUNCTION("""COMPUTED_VALUE"""),1420.61)</f>
        <v>1420.61</v>
      </c>
      <c r="D3581" s="1">
        <f>IFERROR(__xludf.DUMMYFUNCTION("""COMPUTED_VALUE"""),1403.49)</f>
        <v>1403.49</v>
      </c>
      <c r="E3581" s="1">
        <f>IFERROR(__xludf.DUMMYFUNCTION("""COMPUTED_VALUE"""),1409.12)</f>
        <v>1409.12</v>
      </c>
      <c r="F3581" s="1">
        <f>IFERROR(__xludf.DUMMYFUNCTION("""COMPUTED_VALUE"""),1.62281248E8)</f>
        <v>162281248</v>
      </c>
    </row>
    <row r="3582">
      <c r="A3582" s="2">
        <f>IFERROR(__xludf.DUMMYFUNCTION("""COMPUTED_VALUE"""),36559.666666666664)</f>
        <v>36559.66667</v>
      </c>
      <c r="B3582" s="1">
        <f>IFERROR(__xludf.DUMMYFUNCTION("""COMPUTED_VALUE"""),1409.12)</f>
        <v>1409.12</v>
      </c>
      <c r="C3582" s="1">
        <f>IFERROR(__xludf.DUMMYFUNCTION("""COMPUTED_VALUE"""),1425.78)</f>
        <v>1425.78</v>
      </c>
      <c r="D3582" s="1">
        <f>IFERROR(__xludf.DUMMYFUNCTION("""COMPUTED_VALUE"""),1398.52)</f>
        <v>1398.52</v>
      </c>
      <c r="E3582" s="1">
        <f>IFERROR(__xludf.DUMMYFUNCTION("""COMPUTED_VALUE"""),1424.97)</f>
        <v>1424.97</v>
      </c>
      <c r="F3582" s="1">
        <f>IFERROR(__xludf.DUMMYFUNCTION("""COMPUTED_VALUE"""),1.79140624E8)</f>
        <v>179140624</v>
      </c>
    </row>
    <row r="3583">
      <c r="A3583" s="2">
        <f>IFERROR(__xludf.DUMMYFUNCTION("""COMPUTED_VALUE"""),36560.666666666664)</f>
        <v>36560.66667</v>
      </c>
      <c r="B3583" s="1">
        <f>IFERROR(__xludf.DUMMYFUNCTION("""COMPUTED_VALUE"""),1424.97)</f>
        <v>1424.97</v>
      </c>
      <c r="C3583" s="1">
        <f>IFERROR(__xludf.DUMMYFUNCTION("""COMPUTED_VALUE"""),1435.91)</f>
        <v>1435.91</v>
      </c>
      <c r="D3583" s="1">
        <f>IFERROR(__xludf.DUMMYFUNCTION("""COMPUTED_VALUE"""),1420.63)</f>
        <v>1420.63</v>
      </c>
      <c r="E3583" s="1">
        <f>IFERROR(__xludf.DUMMYFUNCTION("""COMPUTED_VALUE"""),1424.37)</f>
        <v>1424.37</v>
      </c>
      <c r="F3583" s="1">
        <f>IFERROR(__xludf.DUMMYFUNCTION("""COMPUTED_VALUE"""),1.6329688E8)</f>
        <v>163296880</v>
      </c>
    </row>
    <row r="3584">
      <c r="A3584" s="2">
        <f>IFERROR(__xludf.DUMMYFUNCTION("""COMPUTED_VALUE"""),36563.666666666664)</f>
        <v>36563.66667</v>
      </c>
      <c r="B3584" s="1">
        <f>IFERROR(__xludf.DUMMYFUNCTION("""COMPUTED_VALUE"""),1424.37)</f>
        <v>1424.37</v>
      </c>
      <c r="C3584" s="1">
        <f>IFERROR(__xludf.DUMMYFUNCTION("""COMPUTED_VALUE"""),1427.15)</f>
        <v>1427.15</v>
      </c>
      <c r="D3584" s="1">
        <f>IFERROR(__xludf.DUMMYFUNCTION("""COMPUTED_VALUE"""),1413.33)</f>
        <v>1413.33</v>
      </c>
      <c r="E3584" s="1">
        <f>IFERROR(__xludf.DUMMYFUNCTION("""COMPUTED_VALUE"""),1423.0)</f>
        <v>1423</v>
      </c>
      <c r="F3584" s="1">
        <f>IFERROR(__xludf.DUMMYFUNCTION("""COMPUTED_VALUE"""),1.4345312E8)</f>
        <v>143453120</v>
      </c>
    </row>
    <row r="3585">
      <c r="A3585" s="2">
        <f>IFERROR(__xludf.DUMMYFUNCTION("""COMPUTED_VALUE"""),36564.666666666664)</f>
        <v>36564.66667</v>
      </c>
      <c r="B3585" s="1">
        <f>IFERROR(__xludf.DUMMYFUNCTION("""COMPUTED_VALUE"""),1424.24)</f>
        <v>1424.24</v>
      </c>
      <c r="C3585" s="1">
        <f>IFERROR(__xludf.DUMMYFUNCTION("""COMPUTED_VALUE"""),1441.83)</f>
        <v>1441.83</v>
      </c>
      <c r="D3585" s="1">
        <f>IFERROR(__xludf.DUMMYFUNCTION("""COMPUTED_VALUE"""),1424.24)</f>
        <v>1424.24</v>
      </c>
      <c r="E3585" s="1">
        <f>IFERROR(__xludf.DUMMYFUNCTION("""COMPUTED_VALUE"""),1441.75)</f>
        <v>1441.75</v>
      </c>
      <c r="F3585" s="1">
        <f>IFERROR(__xludf.DUMMYFUNCTION("""COMPUTED_VALUE"""),1.6370312E8)</f>
        <v>163703120</v>
      </c>
    </row>
    <row r="3586">
      <c r="A3586" s="2">
        <f>IFERROR(__xludf.DUMMYFUNCTION("""COMPUTED_VALUE"""),36565.666666666664)</f>
        <v>36565.66667</v>
      </c>
      <c r="B3586" s="1">
        <f>IFERROR(__xludf.DUMMYFUNCTION("""COMPUTED_VALUE"""),1441.72)</f>
        <v>1441.72</v>
      </c>
      <c r="C3586" s="1">
        <f>IFERROR(__xludf.DUMMYFUNCTION("""COMPUTED_VALUE"""),1444.55)</f>
        <v>1444.55</v>
      </c>
      <c r="D3586" s="1">
        <f>IFERROR(__xludf.DUMMYFUNCTION("""COMPUTED_VALUE"""),1411.65)</f>
        <v>1411.65</v>
      </c>
      <c r="E3586" s="1">
        <f>IFERROR(__xludf.DUMMYFUNCTION("""COMPUTED_VALUE"""),1411.71)</f>
        <v>1411.71</v>
      </c>
      <c r="F3586" s="1">
        <f>IFERROR(__xludf.DUMMYFUNCTION("""COMPUTED_VALUE"""),1.64140624E8)</f>
        <v>164140624</v>
      </c>
    </row>
    <row r="3587">
      <c r="A3587" s="2">
        <f>IFERROR(__xludf.DUMMYFUNCTION("""COMPUTED_VALUE"""),36566.666666666664)</f>
        <v>36566.66667</v>
      </c>
      <c r="B3587" s="1">
        <f>IFERROR(__xludf.DUMMYFUNCTION("""COMPUTED_VALUE"""),1411.7)</f>
        <v>1411.7</v>
      </c>
      <c r="C3587" s="1">
        <f>IFERROR(__xludf.DUMMYFUNCTION("""COMPUTED_VALUE"""),1422.1)</f>
        <v>1422.1</v>
      </c>
      <c r="D3587" s="1">
        <f>IFERROR(__xludf.DUMMYFUNCTION("""COMPUTED_VALUE"""),1406.43)</f>
        <v>1406.43</v>
      </c>
      <c r="E3587" s="1">
        <f>IFERROR(__xludf.DUMMYFUNCTION("""COMPUTED_VALUE"""),1416.83)</f>
        <v>1416.83</v>
      </c>
      <c r="F3587" s="1">
        <f>IFERROR(__xludf.DUMMYFUNCTION("""COMPUTED_VALUE"""),1.65437504E8)</f>
        <v>165437504</v>
      </c>
    </row>
    <row r="3588">
      <c r="A3588" s="2">
        <f>IFERROR(__xludf.DUMMYFUNCTION("""COMPUTED_VALUE"""),36567.666666666664)</f>
        <v>36567.66667</v>
      </c>
      <c r="B3588" s="1">
        <f>IFERROR(__xludf.DUMMYFUNCTION("""COMPUTED_VALUE"""),1416.83)</f>
        <v>1416.83</v>
      </c>
      <c r="C3588" s="1">
        <f>IFERROR(__xludf.DUMMYFUNCTION("""COMPUTED_VALUE"""),1416.83)</f>
        <v>1416.83</v>
      </c>
      <c r="D3588" s="1">
        <f>IFERROR(__xludf.DUMMYFUNCTION("""COMPUTED_VALUE"""),1378.89)</f>
        <v>1378.89</v>
      </c>
      <c r="E3588" s="1">
        <f>IFERROR(__xludf.DUMMYFUNCTION("""COMPUTED_VALUE"""),1387.12)</f>
        <v>1387.12</v>
      </c>
      <c r="F3588" s="1">
        <f>IFERROR(__xludf.DUMMYFUNCTION("""COMPUTED_VALUE"""),1.60265632E8)</f>
        <v>160265632</v>
      </c>
    </row>
    <row r="3589">
      <c r="A3589" s="2">
        <f>IFERROR(__xludf.DUMMYFUNCTION("""COMPUTED_VALUE"""),36570.666666666664)</f>
        <v>36570.66667</v>
      </c>
      <c r="B3589" s="1">
        <f>IFERROR(__xludf.DUMMYFUNCTION("""COMPUTED_VALUE"""),1387.12)</f>
        <v>1387.12</v>
      </c>
      <c r="C3589" s="1">
        <f>IFERROR(__xludf.DUMMYFUNCTION("""COMPUTED_VALUE"""),1394.79)</f>
        <v>1394.79</v>
      </c>
      <c r="D3589" s="1">
        <f>IFERROR(__xludf.DUMMYFUNCTION("""COMPUTED_VALUE"""),1380.53)</f>
        <v>1380.53</v>
      </c>
      <c r="E3589" s="1">
        <f>IFERROR(__xludf.DUMMYFUNCTION("""COMPUTED_VALUE"""),1389.94)</f>
        <v>1389.94</v>
      </c>
      <c r="F3589" s="1">
        <f>IFERROR(__xludf.DUMMYFUNCTION("""COMPUTED_VALUE"""),1.44890624E8)</f>
        <v>144890624</v>
      </c>
    </row>
    <row r="3590">
      <c r="A3590" s="2">
        <f>IFERROR(__xludf.DUMMYFUNCTION("""COMPUTED_VALUE"""),36571.666666666664)</f>
        <v>36571.66667</v>
      </c>
      <c r="B3590" s="1">
        <f>IFERROR(__xludf.DUMMYFUNCTION("""COMPUTED_VALUE"""),1389.94)</f>
        <v>1389.94</v>
      </c>
      <c r="C3590" s="1">
        <f>IFERROR(__xludf.DUMMYFUNCTION("""COMPUTED_VALUE"""),1407.72)</f>
        <v>1407.72</v>
      </c>
      <c r="D3590" s="1">
        <f>IFERROR(__xludf.DUMMYFUNCTION("""COMPUTED_VALUE"""),1376.25)</f>
        <v>1376.25</v>
      </c>
      <c r="E3590" s="1">
        <f>IFERROR(__xludf.DUMMYFUNCTION("""COMPUTED_VALUE"""),1402.05)</f>
        <v>1402.05</v>
      </c>
      <c r="F3590" s="1">
        <f>IFERROR(__xludf.DUMMYFUNCTION("""COMPUTED_VALUE"""),1.70640624E8)</f>
        <v>170640624</v>
      </c>
    </row>
    <row r="3591">
      <c r="A3591" s="2">
        <f>IFERROR(__xludf.DUMMYFUNCTION("""COMPUTED_VALUE"""),36572.666666666664)</f>
        <v>36572.66667</v>
      </c>
      <c r="B3591" s="1">
        <f>IFERROR(__xludf.DUMMYFUNCTION("""COMPUTED_VALUE"""),1402.05)</f>
        <v>1402.05</v>
      </c>
      <c r="C3591" s="1">
        <f>IFERROR(__xludf.DUMMYFUNCTION("""COMPUTED_VALUE"""),1404.55)</f>
        <v>1404.55</v>
      </c>
      <c r="D3591" s="1">
        <f>IFERROR(__xludf.DUMMYFUNCTION("""COMPUTED_VALUE"""),1385.58)</f>
        <v>1385.58</v>
      </c>
      <c r="E3591" s="1">
        <f>IFERROR(__xludf.DUMMYFUNCTION("""COMPUTED_VALUE"""),1387.67)</f>
        <v>1387.67</v>
      </c>
      <c r="F3591" s="1">
        <f>IFERROR(__xludf.DUMMYFUNCTION("""COMPUTED_VALUE"""),1.59187504E8)</f>
        <v>159187504</v>
      </c>
    </row>
    <row r="3592">
      <c r="A3592" s="2">
        <f>IFERROR(__xludf.DUMMYFUNCTION("""COMPUTED_VALUE"""),36573.666666666664)</f>
        <v>36573.66667</v>
      </c>
      <c r="B3592" s="1">
        <f>IFERROR(__xludf.DUMMYFUNCTION("""COMPUTED_VALUE"""),1387.67)</f>
        <v>1387.67</v>
      </c>
      <c r="C3592" s="1">
        <f>IFERROR(__xludf.DUMMYFUNCTION("""COMPUTED_VALUE"""),1399.88)</f>
        <v>1399.88</v>
      </c>
      <c r="D3592" s="1">
        <f>IFERROR(__xludf.DUMMYFUNCTION("""COMPUTED_VALUE"""),1380.07)</f>
        <v>1380.07</v>
      </c>
      <c r="E3592" s="1">
        <f>IFERROR(__xludf.DUMMYFUNCTION("""COMPUTED_VALUE"""),1388.25)</f>
        <v>1388.25</v>
      </c>
      <c r="F3592" s="1">
        <f>IFERROR(__xludf.DUMMYFUNCTION("""COMPUTED_VALUE"""),1.61687504E8)</f>
        <v>161687504</v>
      </c>
    </row>
    <row r="3593">
      <c r="A3593" s="2">
        <f>IFERROR(__xludf.DUMMYFUNCTION("""COMPUTED_VALUE"""),36574.666666666664)</f>
        <v>36574.66667</v>
      </c>
      <c r="B3593" s="1">
        <f>IFERROR(__xludf.DUMMYFUNCTION("""COMPUTED_VALUE"""),1388.26)</f>
        <v>1388.26</v>
      </c>
      <c r="C3593" s="1">
        <f>IFERROR(__xludf.DUMMYFUNCTION("""COMPUTED_VALUE"""),1388.59)</f>
        <v>1388.59</v>
      </c>
      <c r="D3593" s="1">
        <f>IFERROR(__xludf.DUMMYFUNCTION("""COMPUTED_VALUE"""),1345.32)</f>
        <v>1345.32</v>
      </c>
      <c r="E3593" s="1">
        <f>IFERROR(__xludf.DUMMYFUNCTION("""COMPUTED_VALUE"""),1346.09)</f>
        <v>1346.09</v>
      </c>
      <c r="F3593" s="1">
        <f>IFERROR(__xludf.DUMMYFUNCTION("""COMPUTED_VALUE"""),1.62859376E8)</f>
        <v>162859376</v>
      </c>
    </row>
    <row r="3594">
      <c r="A3594" s="2">
        <f>IFERROR(__xludf.DUMMYFUNCTION("""COMPUTED_VALUE"""),36578.666666666664)</f>
        <v>36578.66667</v>
      </c>
      <c r="B3594" s="1">
        <f>IFERROR(__xludf.DUMMYFUNCTION("""COMPUTED_VALUE"""),1346.09)</f>
        <v>1346.09</v>
      </c>
      <c r="C3594" s="1">
        <f>IFERROR(__xludf.DUMMYFUNCTION("""COMPUTED_VALUE"""),1358.11)</f>
        <v>1358.11</v>
      </c>
      <c r="D3594" s="1">
        <f>IFERROR(__xludf.DUMMYFUNCTION("""COMPUTED_VALUE"""),1331.88)</f>
        <v>1331.88</v>
      </c>
      <c r="E3594" s="1">
        <f>IFERROR(__xludf.DUMMYFUNCTION("""COMPUTED_VALUE"""),1352.17)</f>
        <v>1352.17</v>
      </c>
      <c r="F3594" s="1">
        <f>IFERROR(__xludf.DUMMYFUNCTION("""COMPUTED_VALUE"""),1.53124992E8)</f>
        <v>153124992</v>
      </c>
    </row>
    <row r="3595">
      <c r="A3595" s="2">
        <f>IFERROR(__xludf.DUMMYFUNCTION("""COMPUTED_VALUE"""),36579.666666666664)</f>
        <v>36579.66667</v>
      </c>
      <c r="B3595" s="1">
        <f>IFERROR(__xludf.DUMMYFUNCTION("""COMPUTED_VALUE"""),1352.17)</f>
        <v>1352.17</v>
      </c>
      <c r="C3595" s="1">
        <f>IFERROR(__xludf.DUMMYFUNCTION("""COMPUTED_VALUE"""),1370.11)</f>
        <v>1370.11</v>
      </c>
      <c r="D3595" s="1">
        <f>IFERROR(__xludf.DUMMYFUNCTION("""COMPUTED_VALUE"""),1342.44)</f>
        <v>1342.44</v>
      </c>
      <c r="E3595" s="1">
        <f>IFERROR(__xludf.DUMMYFUNCTION("""COMPUTED_VALUE"""),1360.69)</f>
        <v>1360.69</v>
      </c>
      <c r="F3595" s="1">
        <f>IFERROR(__xludf.DUMMYFUNCTION("""COMPUTED_VALUE"""),1.55265632E8)</f>
        <v>155265632</v>
      </c>
    </row>
    <row r="3596">
      <c r="A3596" s="2">
        <f>IFERROR(__xludf.DUMMYFUNCTION("""COMPUTED_VALUE"""),36580.666666666664)</f>
        <v>36580.66667</v>
      </c>
      <c r="B3596" s="1">
        <f>IFERROR(__xludf.DUMMYFUNCTION("""COMPUTED_VALUE"""),1360.69)</f>
        <v>1360.69</v>
      </c>
      <c r="C3596" s="1">
        <f>IFERROR(__xludf.DUMMYFUNCTION("""COMPUTED_VALUE"""),1364.8)</f>
        <v>1364.8</v>
      </c>
      <c r="D3596" s="1">
        <f>IFERROR(__xludf.DUMMYFUNCTION("""COMPUTED_VALUE"""),1329.88)</f>
        <v>1329.88</v>
      </c>
      <c r="E3596" s="1">
        <f>IFERROR(__xludf.DUMMYFUNCTION("""COMPUTED_VALUE"""),1353.43)</f>
        <v>1353.43</v>
      </c>
      <c r="F3596" s="1">
        <f>IFERROR(__xludf.DUMMYFUNCTION("""COMPUTED_VALUE"""),1.89843744E8)</f>
        <v>189843744</v>
      </c>
    </row>
    <row r="3597">
      <c r="A3597" s="2">
        <f>IFERROR(__xludf.DUMMYFUNCTION("""COMPUTED_VALUE"""),36581.666666666664)</f>
        <v>36581.66667</v>
      </c>
      <c r="B3597" s="1">
        <f>IFERROR(__xludf.DUMMYFUNCTION("""COMPUTED_VALUE"""),1353.43)</f>
        <v>1353.43</v>
      </c>
      <c r="C3597" s="1">
        <f>IFERROR(__xludf.DUMMYFUNCTION("""COMPUTED_VALUE"""),1362.14)</f>
        <v>1362.14</v>
      </c>
      <c r="D3597" s="1">
        <f>IFERROR(__xludf.DUMMYFUNCTION("""COMPUTED_VALUE"""),1329.15)</f>
        <v>1329.15</v>
      </c>
      <c r="E3597" s="1">
        <f>IFERROR(__xludf.DUMMYFUNCTION("""COMPUTED_VALUE"""),1333.36)</f>
        <v>1333.36</v>
      </c>
      <c r="F3597" s="1">
        <f>IFERROR(__xludf.DUMMYFUNCTION("""COMPUTED_VALUE"""),1.66437504E8)</f>
        <v>166437504</v>
      </c>
    </row>
    <row r="3598">
      <c r="A3598" s="2">
        <f>IFERROR(__xludf.DUMMYFUNCTION("""COMPUTED_VALUE"""),36584.666666666664)</f>
        <v>36584.66667</v>
      </c>
      <c r="B3598" s="1">
        <f>IFERROR(__xludf.DUMMYFUNCTION("""COMPUTED_VALUE"""),1333.36)</f>
        <v>1333.36</v>
      </c>
      <c r="C3598" s="1">
        <f>IFERROR(__xludf.DUMMYFUNCTION("""COMPUTED_VALUE"""),1360.82)</f>
        <v>1360.82</v>
      </c>
      <c r="D3598" s="1">
        <f>IFERROR(__xludf.DUMMYFUNCTION("""COMPUTED_VALUE"""),1325.02)</f>
        <v>1325.02</v>
      </c>
      <c r="E3598" s="1">
        <f>IFERROR(__xludf.DUMMYFUNCTION("""COMPUTED_VALUE"""),1348.05)</f>
        <v>1348.05</v>
      </c>
      <c r="F3598" s="1">
        <f>IFERROR(__xludf.DUMMYFUNCTION("""COMPUTED_VALUE"""),1.60390624E8)</f>
        <v>160390624</v>
      </c>
    </row>
    <row r="3599">
      <c r="A3599" s="2">
        <f>IFERROR(__xludf.DUMMYFUNCTION("""COMPUTED_VALUE"""),36585.666666666664)</f>
        <v>36585.66667</v>
      </c>
      <c r="B3599" s="1">
        <f>IFERROR(__xludf.DUMMYFUNCTION("""COMPUTED_VALUE"""),1348.05)</f>
        <v>1348.05</v>
      </c>
      <c r="C3599" s="1">
        <f>IFERROR(__xludf.DUMMYFUNCTION("""COMPUTED_VALUE"""),1369.63)</f>
        <v>1369.63</v>
      </c>
      <c r="D3599" s="1">
        <f>IFERROR(__xludf.DUMMYFUNCTION("""COMPUTED_VALUE"""),1348.05)</f>
        <v>1348.05</v>
      </c>
      <c r="E3599" s="1">
        <f>IFERROR(__xludf.DUMMYFUNCTION("""COMPUTED_VALUE"""),1366.42)</f>
        <v>1366.42</v>
      </c>
      <c r="F3599" s="1">
        <f>IFERROR(__xludf.DUMMYFUNCTION("""COMPUTED_VALUE"""),1.88171872E8)</f>
        <v>188171872</v>
      </c>
    </row>
    <row r="3600">
      <c r="A3600" s="2">
        <f>IFERROR(__xludf.DUMMYFUNCTION("""COMPUTED_VALUE"""),36586.666666666664)</f>
        <v>36586.66667</v>
      </c>
      <c r="B3600" s="1">
        <f>IFERROR(__xludf.DUMMYFUNCTION("""COMPUTED_VALUE"""),1366.42)</f>
        <v>1366.42</v>
      </c>
      <c r="C3600" s="1">
        <f>IFERROR(__xludf.DUMMYFUNCTION("""COMPUTED_VALUE"""),1383.46)</f>
        <v>1383.46</v>
      </c>
      <c r="D3600" s="1">
        <f>IFERROR(__xludf.DUMMYFUNCTION("""COMPUTED_VALUE"""),1366.42)</f>
        <v>1366.42</v>
      </c>
      <c r="E3600" s="1">
        <f>IFERROR(__xludf.DUMMYFUNCTION("""COMPUTED_VALUE"""),1379.19)</f>
        <v>1379.19</v>
      </c>
      <c r="F3600" s="1">
        <f>IFERROR(__xludf.DUMMYFUNCTION("""COMPUTED_VALUE"""),1.99078128E8)</f>
        <v>199078128</v>
      </c>
    </row>
    <row r="3601">
      <c r="A3601" s="2">
        <f>IFERROR(__xludf.DUMMYFUNCTION("""COMPUTED_VALUE"""),36587.666666666664)</f>
        <v>36587.66667</v>
      </c>
      <c r="B3601" s="1">
        <f>IFERROR(__xludf.DUMMYFUNCTION("""COMPUTED_VALUE"""),1379.19)</f>
        <v>1379.19</v>
      </c>
      <c r="C3601" s="1">
        <f>IFERROR(__xludf.DUMMYFUNCTION("""COMPUTED_VALUE"""),1386.56)</f>
        <v>1386.56</v>
      </c>
      <c r="D3601" s="1">
        <f>IFERROR(__xludf.DUMMYFUNCTION("""COMPUTED_VALUE"""),1370.35)</f>
        <v>1370.35</v>
      </c>
      <c r="E3601" s="1">
        <f>IFERROR(__xludf.DUMMYFUNCTION("""COMPUTED_VALUE"""),1381.76)</f>
        <v>1381.76</v>
      </c>
      <c r="F3601" s="1">
        <f>IFERROR(__xludf.DUMMYFUNCTION("""COMPUTED_VALUE"""),1.87281248E8)</f>
        <v>187281248</v>
      </c>
    </row>
    <row r="3602">
      <c r="A3602" s="2">
        <f>IFERROR(__xludf.DUMMYFUNCTION("""COMPUTED_VALUE"""),36588.666666666664)</f>
        <v>36588.66667</v>
      </c>
      <c r="B3602" s="1">
        <f>IFERROR(__xludf.DUMMYFUNCTION("""COMPUTED_VALUE"""),1381.76)</f>
        <v>1381.76</v>
      </c>
      <c r="C3602" s="1">
        <f>IFERROR(__xludf.DUMMYFUNCTION("""COMPUTED_VALUE"""),1410.77)</f>
        <v>1410.77</v>
      </c>
      <c r="D3602" s="1">
        <f>IFERROR(__xludf.DUMMYFUNCTION("""COMPUTED_VALUE"""),1381.76)</f>
        <v>1381.76</v>
      </c>
      <c r="E3602" s="1">
        <f>IFERROR(__xludf.DUMMYFUNCTION("""COMPUTED_VALUE"""),1409.17)</f>
        <v>1409.17</v>
      </c>
      <c r="F3602" s="1">
        <f>IFERROR(__xludf.DUMMYFUNCTION("""COMPUTED_VALUE"""),1.79734368E8)</f>
        <v>179734368</v>
      </c>
    </row>
    <row r="3603">
      <c r="A3603" s="2">
        <f>IFERROR(__xludf.DUMMYFUNCTION("""COMPUTED_VALUE"""),36591.666666666664)</f>
        <v>36591.66667</v>
      </c>
      <c r="B3603" s="1">
        <f>IFERROR(__xludf.DUMMYFUNCTION("""COMPUTED_VALUE"""),1409.17)</f>
        <v>1409.17</v>
      </c>
      <c r="C3603" s="1">
        <f>IFERROR(__xludf.DUMMYFUNCTION("""COMPUTED_VALUE"""),1409.74)</f>
        <v>1409.74</v>
      </c>
      <c r="D3603" s="1">
        <f>IFERROR(__xludf.DUMMYFUNCTION("""COMPUTED_VALUE"""),1384.75)</f>
        <v>1384.75</v>
      </c>
      <c r="E3603" s="1">
        <f>IFERROR(__xludf.DUMMYFUNCTION("""COMPUTED_VALUE"""),1391.28)</f>
        <v>1391.28</v>
      </c>
      <c r="F3603" s="1">
        <f>IFERROR(__xludf.DUMMYFUNCTION("""COMPUTED_VALUE"""),1.60781248E8)</f>
        <v>160781248</v>
      </c>
    </row>
    <row r="3604">
      <c r="A3604" s="2">
        <f>IFERROR(__xludf.DUMMYFUNCTION("""COMPUTED_VALUE"""),36592.666666666664)</f>
        <v>36592.66667</v>
      </c>
      <c r="B3604" s="1">
        <f>IFERROR(__xludf.DUMMYFUNCTION("""COMPUTED_VALUE"""),1391.28)</f>
        <v>1391.28</v>
      </c>
      <c r="C3604" s="1">
        <f>IFERROR(__xludf.DUMMYFUNCTION("""COMPUTED_VALUE"""),1399.21)</f>
        <v>1399.21</v>
      </c>
      <c r="D3604" s="1">
        <f>IFERROR(__xludf.DUMMYFUNCTION("""COMPUTED_VALUE"""),1349.99)</f>
        <v>1349.99</v>
      </c>
      <c r="E3604" s="1">
        <f>IFERROR(__xludf.DUMMYFUNCTION("""COMPUTED_VALUE"""),1355.62)</f>
        <v>1355.62</v>
      </c>
      <c r="F3604" s="1">
        <f>IFERROR(__xludf.DUMMYFUNCTION("""COMPUTED_VALUE"""),2.05328128E8)</f>
        <v>205328128</v>
      </c>
    </row>
    <row r="3605">
      <c r="A3605" s="2">
        <f>IFERROR(__xludf.DUMMYFUNCTION("""COMPUTED_VALUE"""),36593.666666666664)</f>
        <v>36593.66667</v>
      </c>
      <c r="B3605" s="1">
        <f>IFERROR(__xludf.DUMMYFUNCTION("""COMPUTED_VALUE"""),1355.62)</f>
        <v>1355.62</v>
      </c>
      <c r="C3605" s="1">
        <f>IFERROR(__xludf.DUMMYFUNCTION("""COMPUTED_VALUE"""),1373.79)</f>
        <v>1373.79</v>
      </c>
      <c r="D3605" s="1">
        <f>IFERROR(__xludf.DUMMYFUNCTION("""COMPUTED_VALUE"""),1346.62)</f>
        <v>1346.62</v>
      </c>
      <c r="E3605" s="1">
        <f>IFERROR(__xludf.DUMMYFUNCTION("""COMPUTED_VALUE"""),1366.7)</f>
        <v>1366.7</v>
      </c>
      <c r="F3605" s="1">
        <f>IFERROR(__xludf.DUMMYFUNCTION("""COMPUTED_VALUE"""),1.87968752E8)</f>
        <v>187968752</v>
      </c>
    </row>
    <row r="3606">
      <c r="A3606" s="2">
        <f>IFERROR(__xludf.DUMMYFUNCTION("""COMPUTED_VALUE"""),36594.666666666664)</f>
        <v>36594.66667</v>
      </c>
      <c r="B3606" s="1">
        <f>IFERROR(__xludf.DUMMYFUNCTION("""COMPUTED_VALUE"""),1366.7)</f>
        <v>1366.7</v>
      </c>
      <c r="C3606" s="1">
        <f>IFERROR(__xludf.DUMMYFUNCTION("""COMPUTED_VALUE"""),1401.82)</f>
        <v>1401.82</v>
      </c>
      <c r="D3606" s="1">
        <f>IFERROR(__xludf.DUMMYFUNCTION("""COMPUTED_VALUE"""),1357.59)</f>
        <v>1357.59</v>
      </c>
      <c r="E3606" s="1">
        <f>IFERROR(__xludf.DUMMYFUNCTION("""COMPUTED_VALUE"""),1401.69)</f>
        <v>1401.69</v>
      </c>
      <c r="F3606" s="1">
        <f>IFERROR(__xludf.DUMMYFUNCTION("""COMPUTED_VALUE"""),1.75468752E8)</f>
        <v>175468752</v>
      </c>
    </row>
    <row r="3607">
      <c r="A3607" s="2">
        <f>IFERROR(__xludf.DUMMYFUNCTION("""COMPUTED_VALUE"""),36595.666666666664)</f>
        <v>36595.66667</v>
      </c>
      <c r="B3607" s="1">
        <f>IFERROR(__xludf.DUMMYFUNCTION("""COMPUTED_VALUE"""),1401.69)</f>
        <v>1401.69</v>
      </c>
      <c r="C3607" s="1">
        <f>IFERROR(__xludf.DUMMYFUNCTION("""COMPUTED_VALUE"""),1413.45)</f>
        <v>1413.45</v>
      </c>
      <c r="D3607" s="1">
        <f>IFERROR(__xludf.DUMMYFUNCTION("""COMPUTED_VALUE"""),1392.07)</f>
        <v>1392.07</v>
      </c>
      <c r="E3607" s="1">
        <f>IFERROR(__xludf.DUMMYFUNCTION("""COMPUTED_VALUE"""),1395.07)</f>
        <v>1395.07</v>
      </c>
      <c r="F3607" s="1">
        <f>IFERROR(__xludf.DUMMYFUNCTION("""COMPUTED_VALUE"""),1.77937504E8)</f>
        <v>177937504</v>
      </c>
    </row>
    <row r="3608">
      <c r="A3608" s="2">
        <f>IFERROR(__xludf.DUMMYFUNCTION("""COMPUTED_VALUE"""),36598.666666666664)</f>
        <v>36598.66667</v>
      </c>
      <c r="B3608" s="1">
        <f>IFERROR(__xludf.DUMMYFUNCTION("""COMPUTED_VALUE"""),1395.07)</f>
        <v>1395.07</v>
      </c>
      <c r="C3608" s="1">
        <f>IFERROR(__xludf.DUMMYFUNCTION("""COMPUTED_VALUE"""),1398.39)</f>
        <v>1398.39</v>
      </c>
      <c r="D3608" s="1">
        <f>IFERROR(__xludf.DUMMYFUNCTION("""COMPUTED_VALUE"""),1364.84)</f>
        <v>1364.84</v>
      </c>
      <c r="E3608" s="1">
        <f>IFERROR(__xludf.DUMMYFUNCTION("""COMPUTED_VALUE"""),1383.62)</f>
        <v>1383.62</v>
      </c>
      <c r="F3608" s="1">
        <f>IFERROR(__xludf.DUMMYFUNCTION("""COMPUTED_VALUE"""),1.58765632E8)</f>
        <v>158765632</v>
      </c>
    </row>
    <row r="3609">
      <c r="A3609" s="2">
        <f>IFERROR(__xludf.DUMMYFUNCTION("""COMPUTED_VALUE"""),36599.666666666664)</f>
        <v>36599.66667</v>
      </c>
      <c r="B3609" s="1">
        <f>IFERROR(__xludf.DUMMYFUNCTION("""COMPUTED_VALUE"""),1383.62)</f>
        <v>1383.62</v>
      </c>
      <c r="C3609" s="1">
        <f>IFERROR(__xludf.DUMMYFUNCTION("""COMPUTED_VALUE"""),1395.38)</f>
        <v>1395.38</v>
      </c>
      <c r="D3609" s="1">
        <f>IFERROR(__xludf.DUMMYFUNCTION("""COMPUTED_VALUE"""),1359.15)</f>
        <v>1359.15</v>
      </c>
      <c r="E3609" s="1">
        <f>IFERROR(__xludf.DUMMYFUNCTION("""COMPUTED_VALUE"""),1359.15)</f>
        <v>1359.15</v>
      </c>
      <c r="F3609" s="1">
        <f>IFERROR(__xludf.DUMMYFUNCTION("""COMPUTED_VALUE"""),1.70937504E8)</f>
        <v>170937504</v>
      </c>
    </row>
    <row r="3610">
      <c r="A3610" s="2">
        <f>IFERROR(__xludf.DUMMYFUNCTION("""COMPUTED_VALUE"""),36600.666666666664)</f>
        <v>36600.66667</v>
      </c>
      <c r="B3610" s="1">
        <f>IFERROR(__xludf.DUMMYFUNCTION("""COMPUTED_VALUE"""),1359.15)</f>
        <v>1359.15</v>
      </c>
      <c r="C3610" s="1">
        <f>IFERROR(__xludf.DUMMYFUNCTION("""COMPUTED_VALUE"""),1397.99)</f>
        <v>1397.99</v>
      </c>
      <c r="D3610" s="1">
        <f>IFERROR(__xludf.DUMMYFUNCTION("""COMPUTED_VALUE"""),1356.99)</f>
        <v>1356.99</v>
      </c>
      <c r="E3610" s="1">
        <f>IFERROR(__xludf.DUMMYFUNCTION("""COMPUTED_VALUE"""),1392.14)</f>
        <v>1392.14</v>
      </c>
      <c r="F3610" s="1">
        <f>IFERROR(__xludf.DUMMYFUNCTION("""COMPUTED_VALUE"""),2.03562496E8)</f>
        <v>203562496</v>
      </c>
    </row>
    <row r="3611">
      <c r="A3611" s="2">
        <f>IFERROR(__xludf.DUMMYFUNCTION("""COMPUTED_VALUE"""),36601.666666666664)</f>
        <v>36601.66667</v>
      </c>
      <c r="B3611" s="1">
        <f>IFERROR(__xludf.DUMMYFUNCTION("""COMPUTED_VALUE"""),1395.13)</f>
        <v>1395.13</v>
      </c>
      <c r="C3611" s="1">
        <f>IFERROR(__xludf.DUMMYFUNCTION("""COMPUTED_VALUE"""),1458.47)</f>
        <v>1458.47</v>
      </c>
      <c r="D3611" s="1">
        <f>IFERROR(__xludf.DUMMYFUNCTION("""COMPUTED_VALUE"""),1394.9)</f>
        <v>1394.9</v>
      </c>
      <c r="E3611" s="1">
        <f>IFERROR(__xludf.DUMMYFUNCTION("""COMPUTED_VALUE"""),1458.47)</f>
        <v>1458.47</v>
      </c>
      <c r="F3611" s="1">
        <f>IFERROR(__xludf.DUMMYFUNCTION("""COMPUTED_VALUE"""),2.31609376E8)</f>
        <v>231609376</v>
      </c>
    </row>
    <row r="3612">
      <c r="A3612" s="2">
        <f>IFERROR(__xludf.DUMMYFUNCTION("""COMPUTED_VALUE"""),36602.666666666664)</f>
        <v>36602.66667</v>
      </c>
      <c r="B3612" s="1">
        <f>IFERROR(__xludf.DUMMYFUNCTION("""COMPUTED_VALUE"""),1458.47)</f>
        <v>1458.47</v>
      </c>
      <c r="C3612" s="1">
        <f>IFERROR(__xludf.DUMMYFUNCTION("""COMPUTED_VALUE"""),1477.33)</f>
        <v>1477.33</v>
      </c>
      <c r="D3612" s="1">
        <f>IFERROR(__xludf.DUMMYFUNCTION("""COMPUTED_VALUE"""),1453.27)</f>
        <v>1453.27</v>
      </c>
      <c r="E3612" s="1">
        <f>IFERROR(__xludf.DUMMYFUNCTION("""COMPUTED_VALUE"""),1464.47)</f>
        <v>1464.47</v>
      </c>
      <c r="F3612" s="1">
        <f>IFERROR(__xludf.DUMMYFUNCTION("""COMPUTED_VALUE"""),2.02359376E8)</f>
        <v>202359376</v>
      </c>
    </row>
    <row r="3613">
      <c r="A3613" s="2">
        <f>IFERROR(__xludf.DUMMYFUNCTION("""COMPUTED_VALUE"""),36605.666666666664)</f>
        <v>36605.66667</v>
      </c>
      <c r="B3613" s="1">
        <f>IFERROR(__xludf.DUMMYFUNCTION("""COMPUTED_VALUE"""),1464.47)</f>
        <v>1464.47</v>
      </c>
      <c r="C3613" s="1">
        <f>IFERROR(__xludf.DUMMYFUNCTION("""COMPUTED_VALUE"""),1470.74)</f>
        <v>1470.74</v>
      </c>
      <c r="D3613" s="1">
        <f>IFERROR(__xludf.DUMMYFUNCTION("""COMPUTED_VALUE"""),1448.43)</f>
        <v>1448.43</v>
      </c>
      <c r="E3613" s="1">
        <f>IFERROR(__xludf.DUMMYFUNCTION("""COMPUTED_VALUE"""),1456.63)</f>
        <v>1456.63</v>
      </c>
      <c r="F3613" s="1">
        <f>IFERROR(__xludf.DUMMYFUNCTION("""COMPUTED_VALUE"""),1.43875008E8)</f>
        <v>143875008</v>
      </c>
    </row>
    <row r="3614">
      <c r="A3614" s="2">
        <f>IFERROR(__xludf.DUMMYFUNCTION("""COMPUTED_VALUE"""),36606.666666666664)</f>
        <v>36606.66667</v>
      </c>
      <c r="B3614" s="1">
        <f>IFERROR(__xludf.DUMMYFUNCTION("""COMPUTED_VALUE"""),1456.63)</f>
        <v>1456.63</v>
      </c>
      <c r="C3614" s="1">
        <f>IFERROR(__xludf.DUMMYFUNCTION("""COMPUTED_VALUE"""),1493.92)</f>
        <v>1493.92</v>
      </c>
      <c r="D3614" s="1">
        <f>IFERROR(__xludf.DUMMYFUNCTION("""COMPUTED_VALUE"""),1446.06)</f>
        <v>1446.06</v>
      </c>
      <c r="E3614" s="1">
        <f>IFERROR(__xludf.DUMMYFUNCTION("""COMPUTED_VALUE"""),1493.87)</f>
        <v>1493.87</v>
      </c>
      <c r="F3614" s="1">
        <f>IFERROR(__xludf.DUMMYFUNCTION("""COMPUTED_VALUE"""),1.6654688E8)</f>
        <v>166546880</v>
      </c>
    </row>
    <row r="3615">
      <c r="A3615" s="2">
        <f>IFERROR(__xludf.DUMMYFUNCTION("""COMPUTED_VALUE"""),36607.666666666664)</f>
        <v>36607.66667</v>
      </c>
      <c r="B3615" s="1">
        <f>IFERROR(__xludf.DUMMYFUNCTION("""COMPUTED_VALUE"""),1493.87)</f>
        <v>1493.87</v>
      </c>
      <c r="C3615" s="1">
        <f>IFERROR(__xludf.DUMMYFUNCTION("""COMPUTED_VALUE"""),1505.08)</f>
        <v>1505.08</v>
      </c>
      <c r="D3615" s="1">
        <f>IFERROR(__xludf.DUMMYFUNCTION("""COMPUTED_VALUE"""),1487.33)</f>
        <v>1487.33</v>
      </c>
      <c r="E3615" s="1">
        <f>IFERROR(__xludf.DUMMYFUNCTION("""COMPUTED_VALUE"""),1500.64)</f>
        <v>1500.64</v>
      </c>
      <c r="F3615" s="1">
        <f>IFERROR(__xludf.DUMMYFUNCTION("""COMPUTED_VALUE"""),1.67968752E8)</f>
        <v>167968752</v>
      </c>
    </row>
    <row r="3616">
      <c r="A3616" s="2">
        <f>IFERROR(__xludf.DUMMYFUNCTION("""COMPUTED_VALUE"""),36608.666666666664)</f>
        <v>36608.66667</v>
      </c>
      <c r="B3616" s="1">
        <f>IFERROR(__xludf.DUMMYFUNCTION("""COMPUTED_VALUE"""),1500.64)</f>
        <v>1500.64</v>
      </c>
      <c r="C3616" s="1">
        <f>IFERROR(__xludf.DUMMYFUNCTION("""COMPUTED_VALUE"""),1532.5)</f>
        <v>1532.5</v>
      </c>
      <c r="D3616" s="1">
        <f>IFERROR(__xludf.DUMMYFUNCTION("""COMPUTED_VALUE"""),1492.39)</f>
        <v>1492.39</v>
      </c>
      <c r="E3616" s="1">
        <f>IFERROR(__xludf.DUMMYFUNCTION("""COMPUTED_VALUE"""),1527.35)</f>
        <v>1527.35</v>
      </c>
      <c r="F3616" s="1">
        <f>IFERROR(__xludf.DUMMYFUNCTION("""COMPUTED_VALUE"""),1.68484368E8)</f>
        <v>168484368</v>
      </c>
    </row>
    <row r="3617">
      <c r="A3617" s="2">
        <f>IFERROR(__xludf.DUMMYFUNCTION("""COMPUTED_VALUE"""),36609.666666666664)</f>
        <v>36609.66667</v>
      </c>
      <c r="B3617" s="1">
        <f>IFERROR(__xludf.DUMMYFUNCTION("""COMPUTED_VALUE"""),1527.35)</f>
        <v>1527.35</v>
      </c>
      <c r="C3617" s="1">
        <f>IFERROR(__xludf.DUMMYFUNCTION("""COMPUTED_VALUE"""),1552.87)</f>
        <v>1552.87</v>
      </c>
      <c r="D3617" s="1">
        <f>IFERROR(__xludf.DUMMYFUNCTION("""COMPUTED_VALUE"""),1516.83)</f>
        <v>1516.83</v>
      </c>
      <c r="E3617" s="1">
        <f>IFERROR(__xludf.DUMMYFUNCTION("""COMPUTED_VALUE"""),1527.46)</f>
        <v>1527.46</v>
      </c>
      <c r="F3617" s="1">
        <f>IFERROR(__xludf.DUMMYFUNCTION("""COMPUTED_VALUE"""),1.64406256E8)</f>
        <v>164406256</v>
      </c>
    </row>
    <row r="3618">
      <c r="A3618" s="2">
        <f>IFERROR(__xludf.DUMMYFUNCTION("""COMPUTED_VALUE"""),36612.666666666664)</f>
        <v>36612.66667</v>
      </c>
      <c r="B3618" s="1">
        <f>IFERROR(__xludf.DUMMYFUNCTION("""COMPUTED_VALUE"""),1527.46)</f>
        <v>1527.46</v>
      </c>
      <c r="C3618" s="1">
        <f>IFERROR(__xludf.DUMMYFUNCTION("""COMPUTED_VALUE"""),1533.81)</f>
        <v>1533.81</v>
      </c>
      <c r="D3618" s="1">
        <f>IFERROR(__xludf.DUMMYFUNCTION("""COMPUTED_VALUE"""),1518.46)</f>
        <v>1518.46</v>
      </c>
      <c r="E3618" s="1">
        <f>IFERROR(__xludf.DUMMYFUNCTION("""COMPUTED_VALUE"""),1523.86)</f>
        <v>1523.86</v>
      </c>
      <c r="F3618" s="1">
        <f>IFERROR(__xludf.DUMMYFUNCTION("""COMPUTED_VALUE"""),1.40781248E8)</f>
        <v>140781248</v>
      </c>
    </row>
    <row r="3619">
      <c r="A3619" s="2">
        <f>IFERROR(__xludf.DUMMYFUNCTION("""COMPUTED_VALUE"""),36613.666666666664)</f>
        <v>36613.66667</v>
      </c>
      <c r="B3619" s="1">
        <f>IFERROR(__xludf.DUMMYFUNCTION("""COMPUTED_VALUE"""),1523.86)</f>
        <v>1523.86</v>
      </c>
      <c r="C3619" s="1">
        <f>IFERROR(__xludf.DUMMYFUNCTION("""COMPUTED_VALUE"""),1527.36)</f>
        <v>1527.36</v>
      </c>
      <c r="D3619" s="1">
        <f>IFERROR(__xludf.DUMMYFUNCTION("""COMPUTED_VALUE"""),1507.09)</f>
        <v>1507.09</v>
      </c>
      <c r="E3619" s="1">
        <f>IFERROR(__xludf.DUMMYFUNCTION("""COMPUTED_VALUE"""),1507.73)</f>
        <v>1507.73</v>
      </c>
      <c r="F3619" s="1">
        <f>IFERROR(__xludf.DUMMYFUNCTION("""COMPUTED_VALUE"""),1.49859376E8)</f>
        <v>149859376</v>
      </c>
    </row>
    <row r="3620">
      <c r="A3620" s="2">
        <f>IFERROR(__xludf.DUMMYFUNCTION("""COMPUTED_VALUE"""),36614.666666666664)</f>
        <v>36614.66667</v>
      </c>
      <c r="B3620" s="1">
        <f>IFERROR(__xludf.DUMMYFUNCTION("""COMPUTED_VALUE"""),1521.45)</f>
        <v>1521.45</v>
      </c>
      <c r="C3620" s="1">
        <f>IFERROR(__xludf.DUMMYFUNCTION("""COMPUTED_VALUE"""),1521.45)</f>
        <v>1521.45</v>
      </c>
      <c r="D3620" s="1">
        <f>IFERROR(__xludf.DUMMYFUNCTION("""COMPUTED_VALUE"""),1497.45)</f>
        <v>1497.45</v>
      </c>
      <c r="E3620" s="1">
        <f>IFERROR(__xludf.DUMMYFUNCTION("""COMPUTED_VALUE"""),1508.52)</f>
        <v>1508.52</v>
      </c>
      <c r="F3620" s="1">
        <f>IFERROR(__xludf.DUMMYFUNCTION("""COMPUTED_VALUE"""),1.65921872E8)</f>
        <v>165921872</v>
      </c>
    </row>
    <row r="3621">
      <c r="A3621" s="2">
        <f>IFERROR(__xludf.DUMMYFUNCTION("""COMPUTED_VALUE"""),36615.666666666664)</f>
        <v>36615.66667</v>
      </c>
      <c r="B3621" s="1">
        <f>IFERROR(__xludf.DUMMYFUNCTION("""COMPUTED_VALUE"""),1508.52)</f>
        <v>1508.52</v>
      </c>
      <c r="C3621" s="1">
        <f>IFERROR(__xludf.DUMMYFUNCTION("""COMPUTED_VALUE"""),1517.38)</f>
        <v>1517.38</v>
      </c>
      <c r="D3621" s="1">
        <f>IFERROR(__xludf.DUMMYFUNCTION("""COMPUTED_VALUE"""),1474.63)</f>
        <v>1474.63</v>
      </c>
      <c r="E3621" s="1">
        <f>IFERROR(__xludf.DUMMYFUNCTION("""COMPUTED_VALUE"""),1487.92)</f>
        <v>1487.92</v>
      </c>
      <c r="F3621" s="1">
        <f>IFERROR(__xludf.DUMMYFUNCTION("""COMPUTED_VALUE"""),1.86468752E8)</f>
        <v>186468752</v>
      </c>
    </row>
    <row r="3622">
      <c r="A3622" s="2">
        <f>IFERROR(__xludf.DUMMYFUNCTION("""COMPUTED_VALUE"""),36616.666666666664)</f>
        <v>36616.66667</v>
      </c>
      <c r="B3622" s="1">
        <f>IFERROR(__xludf.DUMMYFUNCTION("""COMPUTED_VALUE"""),1487.92)</f>
        <v>1487.92</v>
      </c>
      <c r="C3622" s="1">
        <f>IFERROR(__xludf.DUMMYFUNCTION("""COMPUTED_VALUE"""),1519.81)</f>
        <v>1519.81</v>
      </c>
      <c r="D3622" s="1">
        <f>IFERROR(__xludf.DUMMYFUNCTION("""COMPUTED_VALUE"""),1484.38)</f>
        <v>1484.38</v>
      </c>
      <c r="E3622" s="1">
        <f>IFERROR(__xludf.DUMMYFUNCTION("""COMPUTED_VALUE"""),1498.58)</f>
        <v>1498.58</v>
      </c>
      <c r="F3622" s="1">
        <f>IFERROR(__xludf.DUMMYFUNCTION("""COMPUTED_VALUE"""),1.91781248E8)</f>
        <v>191781248</v>
      </c>
    </row>
    <row r="3623">
      <c r="A3623" s="2">
        <f>IFERROR(__xludf.DUMMYFUNCTION("""COMPUTED_VALUE"""),36619.666666666664)</f>
        <v>36619.66667</v>
      </c>
      <c r="B3623" s="1">
        <f>IFERROR(__xludf.DUMMYFUNCTION("""COMPUTED_VALUE"""),1498.58)</f>
        <v>1498.58</v>
      </c>
      <c r="C3623" s="1">
        <f>IFERROR(__xludf.DUMMYFUNCTION("""COMPUTED_VALUE"""),1507.19)</f>
        <v>1507.19</v>
      </c>
      <c r="D3623" s="1">
        <f>IFERROR(__xludf.DUMMYFUNCTION("""COMPUTED_VALUE"""),1487.63)</f>
        <v>1487.63</v>
      </c>
      <c r="E3623" s="1">
        <f>IFERROR(__xludf.DUMMYFUNCTION("""COMPUTED_VALUE"""),1505.97)</f>
        <v>1505.97</v>
      </c>
      <c r="F3623" s="1">
        <f>IFERROR(__xludf.DUMMYFUNCTION("""COMPUTED_VALUE"""),1.59640624E8)</f>
        <v>159640624</v>
      </c>
    </row>
    <row r="3624">
      <c r="A3624" s="2">
        <f>IFERROR(__xludf.DUMMYFUNCTION("""COMPUTED_VALUE"""),36620.666666666664)</f>
        <v>36620.66667</v>
      </c>
      <c r="B3624" s="1">
        <f>IFERROR(__xludf.DUMMYFUNCTION("""COMPUTED_VALUE"""),1505.98)</f>
        <v>1505.98</v>
      </c>
      <c r="C3624" s="1">
        <f>IFERROR(__xludf.DUMMYFUNCTION("""COMPUTED_VALUE"""),1526.45)</f>
        <v>1526.45</v>
      </c>
      <c r="D3624" s="1">
        <f>IFERROR(__xludf.DUMMYFUNCTION("""COMPUTED_VALUE"""),1416.41)</f>
        <v>1416.41</v>
      </c>
      <c r="E3624" s="1">
        <f>IFERROR(__xludf.DUMMYFUNCTION("""COMPUTED_VALUE"""),1494.73)</f>
        <v>1494.73</v>
      </c>
      <c r="F3624" s="1">
        <f>IFERROR(__xludf.DUMMYFUNCTION("""COMPUTED_VALUE"""),2.36790624E8)</f>
        <v>236790624</v>
      </c>
    </row>
    <row r="3625">
      <c r="A3625" s="2">
        <f>IFERROR(__xludf.DUMMYFUNCTION("""COMPUTED_VALUE"""),36621.666666666664)</f>
        <v>36621.66667</v>
      </c>
      <c r="B3625" s="1">
        <f>IFERROR(__xludf.DUMMYFUNCTION("""COMPUTED_VALUE"""),1494.73)</f>
        <v>1494.73</v>
      </c>
      <c r="C3625" s="1">
        <f>IFERROR(__xludf.DUMMYFUNCTION("""COMPUTED_VALUE"""),1506.55)</f>
        <v>1506.55</v>
      </c>
      <c r="D3625" s="1">
        <f>IFERROR(__xludf.DUMMYFUNCTION("""COMPUTED_VALUE"""),1478.05)</f>
        <v>1478.05</v>
      </c>
      <c r="E3625" s="1">
        <f>IFERROR(__xludf.DUMMYFUNCTION("""COMPUTED_VALUE"""),1487.37)</f>
        <v>1487.37</v>
      </c>
      <c r="F3625" s="1">
        <f>IFERROR(__xludf.DUMMYFUNCTION("""COMPUTED_VALUE"""),1.73484368E8)</f>
        <v>173484368</v>
      </c>
    </row>
    <row r="3626">
      <c r="A3626" s="2">
        <f>IFERROR(__xludf.DUMMYFUNCTION("""COMPUTED_VALUE"""),36622.666666666664)</f>
        <v>36622.66667</v>
      </c>
      <c r="B3626" s="1">
        <f>IFERROR(__xludf.DUMMYFUNCTION("""COMPUTED_VALUE"""),1487.37)</f>
        <v>1487.37</v>
      </c>
      <c r="C3626" s="1">
        <f>IFERROR(__xludf.DUMMYFUNCTION("""COMPUTED_VALUE"""),1511.76)</f>
        <v>1511.76</v>
      </c>
      <c r="D3626" s="1">
        <f>IFERROR(__xludf.DUMMYFUNCTION("""COMPUTED_VALUE"""),1487.37)</f>
        <v>1487.37</v>
      </c>
      <c r="E3626" s="1">
        <f>IFERROR(__xludf.DUMMYFUNCTION("""COMPUTED_VALUE"""),1501.34)</f>
        <v>1501.34</v>
      </c>
      <c r="F3626" s="1">
        <f>IFERROR(__xludf.DUMMYFUNCTION("""COMPUTED_VALUE"""),1.575E8)</f>
        <v>157500000</v>
      </c>
    </row>
    <row r="3627">
      <c r="A3627" s="2">
        <f>IFERROR(__xludf.DUMMYFUNCTION("""COMPUTED_VALUE"""),36623.666666666664)</f>
        <v>36623.66667</v>
      </c>
      <c r="B3627" s="1">
        <f>IFERROR(__xludf.DUMMYFUNCTION("""COMPUTED_VALUE"""),1503.1)</f>
        <v>1503.1</v>
      </c>
      <c r="C3627" s="1">
        <f>IFERROR(__xludf.DUMMYFUNCTION("""COMPUTED_VALUE"""),1518.68)</f>
        <v>1518.68</v>
      </c>
      <c r="D3627" s="1">
        <f>IFERROR(__xludf.DUMMYFUNCTION("""COMPUTED_VALUE"""),1503.05)</f>
        <v>1503.05</v>
      </c>
      <c r="E3627" s="1">
        <f>IFERROR(__xludf.DUMMYFUNCTION("""COMPUTED_VALUE"""),1516.35)</f>
        <v>1516.35</v>
      </c>
      <c r="F3627" s="1">
        <f>IFERROR(__xludf.DUMMYFUNCTION("""COMPUTED_VALUE"""),1.39312496E8)</f>
        <v>139312496</v>
      </c>
    </row>
    <row r="3628">
      <c r="A3628" s="2">
        <f>IFERROR(__xludf.DUMMYFUNCTION("""COMPUTED_VALUE"""),36626.666666666664)</f>
        <v>36626.66667</v>
      </c>
      <c r="B3628" s="1">
        <f>IFERROR(__xludf.DUMMYFUNCTION("""COMPUTED_VALUE"""),1516.35)</f>
        <v>1516.35</v>
      </c>
      <c r="C3628" s="1">
        <f>IFERROR(__xludf.DUMMYFUNCTION("""COMPUTED_VALUE"""),1527.19)</f>
        <v>1527.19</v>
      </c>
      <c r="D3628" s="1">
        <f>IFERROR(__xludf.DUMMYFUNCTION("""COMPUTED_VALUE"""),1503.35)</f>
        <v>1503.35</v>
      </c>
      <c r="E3628" s="1">
        <f>IFERROR(__xludf.DUMMYFUNCTION("""COMPUTED_VALUE"""),1504.46)</f>
        <v>1504.46</v>
      </c>
      <c r="F3628" s="1">
        <f>IFERROR(__xludf.DUMMYFUNCTION("""COMPUTED_VALUE"""),1.33390624E8)</f>
        <v>133390624</v>
      </c>
    </row>
    <row r="3629">
      <c r="A3629" s="2">
        <f>IFERROR(__xludf.DUMMYFUNCTION("""COMPUTED_VALUE"""),36627.666666666664)</f>
        <v>36627.66667</v>
      </c>
      <c r="B3629" s="1">
        <f>IFERROR(__xludf.DUMMYFUNCTION("""COMPUTED_VALUE"""),1504.46)</f>
        <v>1504.46</v>
      </c>
      <c r="C3629" s="1">
        <f>IFERROR(__xludf.DUMMYFUNCTION("""COMPUTED_VALUE"""),1512.8)</f>
        <v>1512.8</v>
      </c>
      <c r="D3629" s="1">
        <f>IFERROR(__xludf.DUMMYFUNCTION("""COMPUTED_VALUE"""),1486.84)</f>
        <v>1486.84</v>
      </c>
      <c r="E3629" s="1">
        <f>IFERROR(__xludf.DUMMYFUNCTION("""COMPUTED_VALUE"""),1500.59)</f>
        <v>1500.59</v>
      </c>
      <c r="F3629" s="1">
        <f>IFERROR(__xludf.DUMMYFUNCTION("""COMPUTED_VALUE"""),1.51781248E8)</f>
        <v>151781248</v>
      </c>
    </row>
    <row r="3630">
      <c r="A3630" s="2">
        <f>IFERROR(__xludf.DUMMYFUNCTION("""COMPUTED_VALUE"""),36628.666666666664)</f>
        <v>36628.66667</v>
      </c>
      <c r="B3630" s="1">
        <f>IFERROR(__xludf.DUMMYFUNCTION("""COMPUTED_VALUE"""),1500.59)</f>
        <v>1500.59</v>
      </c>
      <c r="C3630" s="1">
        <f>IFERROR(__xludf.DUMMYFUNCTION("""COMPUTED_VALUE"""),1509.1)</f>
        <v>1509.1</v>
      </c>
      <c r="D3630" s="1">
        <f>IFERROR(__xludf.DUMMYFUNCTION("""COMPUTED_VALUE"""),1466.15)</f>
        <v>1466.15</v>
      </c>
      <c r="E3630" s="1">
        <f>IFERROR(__xludf.DUMMYFUNCTION("""COMPUTED_VALUE"""),1467.17)</f>
        <v>1467.17</v>
      </c>
      <c r="F3630" s="1">
        <f>IFERROR(__xludf.DUMMYFUNCTION("""COMPUTED_VALUE"""),1.83734368E8)</f>
        <v>183734368</v>
      </c>
    </row>
    <row r="3631">
      <c r="A3631" s="2">
        <f>IFERROR(__xludf.DUMMYFUNCTION("""COMPUTED_VALUE"""),36629.666666666664)</f>
        <v>36629.66667</v>
      </c>
      <c r="B3631" s="1">
        <f>IFERROR(__xludf.DUMMYFUNCTION("""COMPUTED_VALUE"""),1467.17)</f>
        <v>1467.17</v>
      </c>
      <c r="C3631" s="1">
        <f>IFERROR(__xludf.DUMMYFUNCTION("""COMPUTED_VALUE"""),1477.52)</f>
        <v>1477.52</v>
      </c>
      <c r="D3631" s="1">
        <f>IFERROR(__xludf.DUMMYFUNCTION("""COMPUTED_VALUE"""),1439.34)</f>
        <v>1439.34</v>
      </c>
      <c r="E3631" s="1">
        <f>IFERROR(__xludf.DUMMYFUNCTION("""COMPUTED_VALUE"""),1440.51)</f>
        <v>1440.51</v>
      </c>
      <c r="F3631" s="1">
        <f>IFERROR(__xludf.DUMMYFUNCTION("""COMPUTED_VALUE"""),1.6125E8)</f>
        <v>161250000</v>
      </c>
    </row>
    <row r="3632">
      <c r="A3632" s="2">
        <f>IFERROR(__xludf.DUMMYFUNCTION("""COMPUTED_VALUE"""),36630.666666666664)</f>
        <v>36630.66667</v>
      </c>
      <c r="B3632" s="1">
        <f>IFERROR(__xludf.DUMMYFUNCTION("""COMPUTED_VALUE"""),1440.51)</f>
        <v>1440.51</v>
      </c>
      <c r="C3632" s="1">
        <f>IFERROR(__xludf.DUMMYFUNCTION("""COMPUTED_VALUE"""),1440.51)</f>
        <v>1440.51</v>
      </c>
      <c r="D3632" s="1">
        <f>IFERROR(__xludf.DUMMYFUNCTION("""COMPUTED_VALUE"""),1339.4)</f>
        <v>1339.4</v>
      </c>
      <c r="E3632" s="1">
        <f>IFERROR(__xludf.DUMMYFUNCTION("""COMPUTED_VALUE"""),1357.31)</f>
        <v>1357.31</v>
      </c>
      <c r="F3632" s="1">
        <f>IFERROR(__xludf.DUMMYFUNCTION("""COMPUTED_VALUE"""),1.9995312E8)</f>
        <v>199953120</v>
      </c>
    </row>
    <row r="3633">
      <c r="A3633" s="2">
        <f>IFERROR(__xludf.DUMMYFUNCTION("""COMPUTED_VALUE"""),36633.666666666664)</f>
        <v>36633.66667</v>
      </c>
      <c r="B3633" s="1">
        <f>IFERROR(__xludf.DUMMYFUNCTION("""COMPUTED_VALUE"""),1356.56)</f>
        <v>1356.56</v>
      </c>
      <c r="C3633" s="1">
        <f>IFERROR(__xludf.DUMMYFUNCTION("""COMPUTED_VALUE"""),1401.53)</f>
        <v>1401.53</v>
      </c>
      <c r="D3633" s="1">
        <f>IFERROR(__xludf.DUMMYFUNCTION("""COMPUTED_VALUE"""),1346.5)</f>
        <v>1346.5</v>
      </c>
      <c r="E3633" s="1">
        <f>IFERROR(__xludf.DUMMYFUNCTION("""COMPUTED_VALUE"""),1401.44)</f>
        <v>1401.44</v>
      </c>
      <c r="F3633" s="1">
        <f>IFERROR(__xludf.DUMMYFUNCTION("""COMPUTED_VALUE"""),1.88234368E8)</f>
        <v>188234368</v>
      </c>
    </row>
    <row r="3634">
      <c r="A3634" s="2">
        <f>IFERROR(__xludf.DUMMYFUNCTION("""COMPUTED_VALUE"""),36634.666666666664)</f>
        <v>36634.66667</v>
      </c>
      <c r="B3634" s="1">
        <f>IFERROR(__xludf.DUMMYFUNCTION("""COMPUTED_VALUE"""),1401.44)</f>
        <v>1401.44</v>
      </c>
      <c r="C3634" s="1">
        <f>IFERROR(__xludf.DUMMYFUNCTION("""COMPUTED_VALUE"""),1441.61)</f>
        <v>1441.61</v>
      </c>
      <c r="D3634" s="1">
        <f>IFERROR(__xludf.DUMMYFUNCTION("""COMPUTED_VALUE"""),1397.81)</f>
        <v>1397.81</v>
      </c>
      <c r="E3634" s="1">
        <f>IFERROR(__xludf.DUMMYFUNCTION("""COMPUTED_VALUE"""),1441.61)</f>
        <v>1441.61</v>
      </c>
      <c r="F3634" s="1">
        <f>IFERROR(__xludf.DUMMYFUNCTION("""COMPUTED_VALUE"""),1.73343744E8)</f>
        <v>173343744</v>
      </c>
    </row>
    <row r="3635">
      <c r="A3635" s="2">
        <f>IFERROR(__xludf.DUMMYFUNCTION("""COMPUTED_VALUE"""),36635.666666666664)</f>
        <v>36635.66667</v>
      </c>
      <c r="B3635" s="1">
        <f>IFERROR(__xludf.DUMMYFUNCTION("""COMPUTED_VALUE"""),1441.61)</f>
        <v>1441.61</v>
      </c>
      <c r="C3635" s="1">
        <f>IFERROR(__xludf.DUMMYFUNCTION("""COMPUTED_VALUE"""),1447.69)</f>
        <v>1447.69</v>
      </c>
      <c r="D3635" s="1">
        <f>IFERROR(__xludf.DUMMYFUNCTION("""COMPUTED_VALUE"""),1424.26)</f>
        <v>1424.26</v>
      </c>
      <c r="E3635" s="1">
        <f>IFERROR(__xludf.DUMMYFUNCTION("""COMPUTED_VALUE"""),1427.47)</f>
        <v>1427.47</v>
      </c>
      <c r="F3635" s="1">
        <f>IFERROR(__xludf.DUMMYFUNCTION("""COMPUTED_VALUE"""),1.56468752E8)</f>
        <v>156468752</v>
      </c>
    </row>
    <row r="3636">
      <c r="A3636" s="2">
        <f>IFERROR(__xludf.DUMMYFUNCTION("""COMPUTED_VALUE"""),36636.666666666664)</f>
        <v>36636.66667</v>
      </c>
      <c r="B3636" s="1">
        <f>IFERROR(__xludf.DUMMYFUNCTION("""COMPUTED_VALUE"""),1427.47)</f>
        <v>1427.47</v>
      </c>
      <c r="C3636" s="1">
        <f>IFERROR(__xludf.DUMMYFUNCTION("""COMPUTED_VALUE"""),1435.49)</f>
        <v>1435.49</v>
      </c>
      <c r="D3636" s="1">
        <f>IFERROR(__xludf.DUMMYFUNCTION("""COMPUTED_VALUE"""),1422.08)</f>
        <v>1422.08</v>
      </c>
      <c r="E3636" s="1">
        <f>IFERROR(__xludf.DUMMYFUNCTION("""COMPUTED_VALUE"""),1434.54)</f>
        <v>1434.54</v>
      </c>
      <c r="F3636" s="1">
        <f>IFERROR(__xludf.DUMMYFUNCTION("""COMPUTED_VALUE"""),1.40031248E8)</f>
        <v>140031248</v>
      </c>
    </row>
    <row r="3637">
      <c r="A3637" s="2">
        <f>IFERROR(__xludf.DUMMYFUNCTION("""COMPUTED_VALUE"""),36640.666666666664)</f>
        <v>36640.66667</v>
      </c>
      <c r="B3637" s="1">
        <f>IFERROR(__xludf.DUMMYFUNCTION("""COMPUTED_VALUE"""),1434.54)</f>
        <v>1434.54</v>
      </c>
      <c r="C3637" s="1">
        <f>IFERROR(__xludf.DUMMYFUNCTION("""COMPUTED_VALUE"""),1434.54)</f>
        <v>1434.54</v>
      </c>
      <c r="D3637" s="1">
        <f>IFERROR(__xludf.DUMMYFUNCTION("""COMPUTED_VALUE"""),1407.13)</f>
        <v>1407.13</v>
      </c>
      <c r="E3637" s="1">
        <f>IFERROR(__xludf.DUMMYFUNCTION("""COMPUTED_VALUE"""),1429.86)</f>
        <v>1429.86</v>
      </c>
      <c r="F3637" s="1">
        <f>IFERROR(__xludf.DUMMYFUNCTION("""COMPUTED_VALUE"""),1.35734368E8)</f>
        <v>135734368</v>
      </c>
    </row>
    <row r="3638">
      <c r="A3638" s="2">
        <f>IFERROR(__xludf.DUMMYFUNCTION("""COMPUTED_VALUE"""),36641.666666666664)</f>
        <v>36641.66667</v>
      </c>
      <c r="B3638" s="1">
        <f>IFERROR(__xludf.DUMMYFUNCTION("""COMPUTED_VALUE"""),1439.33)</f>
        <v>1439.33</v>
      </c>
      <c r="C3638" s="1">
        <f>IFERROR(__xludf.DUMMYFUNCTION("""COMPUTED_VALUE"""),1477.67)</f>
        <v>1477.67</v>
      </c>
      <c r="D3638" s="1">
        <f>IFERROR(__xludf.DUMMYFUNCTION("""COMPUTED_VALUE"""),1438.42)</f>
        <v>1438.42</v>
      </c>
      <c r="E3638" s="1">
        <f>IFERROR(__xludf.DUMMYFUNCTION("""COMPUTED_VALUE"""),1477.14)</f>
        <v>1477.14</v>
      </c>
      <c r="F3638" s="1">
        <f>IFERROR(__xludf.DUMMYFUNCTION("""COMPUTED_VALUE"""),1.67359376E8)</f>
        <v>167359376</v>
      </c>
    </row>
    <row r="3639">
      <c r="A3639" s="2">
        <f>IFERROR(__xludf.DUMMYFUNCTION("""COMPUTED_VALUE"""),36642.666666666664)</f>
        <v>36642.66667</v>
      </c>
      <c r="B3639" s="1">
        <f>IFERROR(__xludf.DUMMYFUNCTION("""COMPUTED_VALUE"""),1477.44)</f>
        <v>1477.44</v>
      </c>
      <c r="C3639" s="1">
        <f>IFERROR(__xludf.DUMMYFUNCTION("""COMPUTED_VALUE"""),1482.94)</f>
        <v>1482.94</v>
      </c>
      <c r="D3639" s="1">
        <f>IFERROR(__xludf.DUMMYFUNCTION("""COMPUTED_VALUE"""),1456.98)</f>
        <v>1456.98</v>
      </c>
      <c r="E3639" s="1">
        <f>IFERROR(__xludf.DUMMYFUNCTION("""COMPUTED_VALUE"""),1460.99)</f>
        <v>1460.99</v>
      </c>
      <c r="F3639" s="1">
        <f>IFERROR(__xludf.DUMMYFUNCTION("""COMPUTED_VALUE"""),1.56187504E8)</f>
        <v>156187504</v>
      </c>
    </row>
    <row r="3640">
      <c r="A3640" s="2">
        <f>IFERROR(__xludf.DUMMYFUNCTION("""COMPUTED_VALUE"""),36643.666666666664)</f>
        <v>36643.66667</v>
      </c>
      <c r="B3640" s="1">
        <f>IFERROR(__xludf.DUMMYFUNCTION("""COMPUTED_VALUE"""),1460.99)</f>
        <v>1460.99</v>
      </c>
      <c r="C3640" s="1">
        <f>IFERROR(__xludf.DUMMYFUNCTION("""COMPUTED_VALUE"""),1469.21)</f>
        <v>1469.21</v>
      </c>
      <c r="D3640" s="1">
        <f>IFERROR(__xludf.DUMMYFUNCTION("""COMPUTED_VALUE"""),1434.81)</f>
        <v>1434.81</v>
      </c>
      <c r="E3640" s="1">
        <f>IFERROR(__xludf.DUMMYFUNCTION("""COMPUTED_VALUE"""),1464.92)</f>
        <v>1464.92</v>
      </c>
      <c r="F3640" s="1">
        <f>IFERROR(__xludf.DUMMYFUNCTION("""COMPUTED_VALUE"""),1.73593744E8)</f>
        <v>173593744</v>
      </c>
    </row>
    <row r="3641">
      <c r="A3641" s="2">
        <f>IFERROR(__xludf.DUMMYFUNCTION("""COMPUTED_VALUE"""),36644.666666666664)</f>
        <v>36644.66667</v>
      </c>
      <c r="B3641" s="1">
        <f>IFERROR(__xludf.DUMMYFUNCTION("""COMPUTED_VALUE"""),1464.92)</f>
        <v>1464.92</v>
      </c>
      <c r="C3641" s="1">
        <f>IFERROR(__xludf.DUMMYFUNCTION("""COMPUTED_VALUE"""),1473.62)</f>
        <v>1473.62</v>
      </c>
      <c r="D3641" s="1">
        <f>IFERROR(__xludf.DUMMYFUNCTION("""COMPUTED_VALUE"""),1448.15)</f>
        <v>1448.15</v>
      </c>
      <c r="E3641" s="1">
        <f>IFERROR(__xludf.DUMMYFUNCTION("""COMPUTED_VALUE"""),1452.43)</f>
        <v>1452.43</v>
      </c>
      <c r="F3641" s="1">
        <f>IFERROR(__xludf.DUMMYFUNCTION("""COMPUTED_VALUE"""),1.53843744E8)</f>
        <v>153843744</v>
      </c>
    </row>
    <row r="3642">
      <c r="A3642" s="2">
        <f>IFERROR(__xludf.DUMMYFUNCTION("""COMPUTED_VALUE"""),36647.666666666664)</f>
        <v>36647.66667</v>
      </c>
      <c r="B3642" s="1">
        <f>IFERROR(__xludf.DUMMYFUNCTION("""COMPUTED_VALUE"""),1452.43)</f>
        <v>1452.43</v>
      </c>
      <c r="C3642" s="1">
        <f>IFERROR(__xludf.DUMMYFUNCTION("""COMPUTED_VALUE"""),1481.51)</f>
        <v>1481.51</v>
      </c>
      <c r="D3642" s="1">
        <f>IFERROR(__xludf.DUMMYFUNCTION("""COMPUTED_VALUE"""),1452.43)</f>
        <v>1452.43</v>
      </c>
      <c r="E3642" s="1">
        <f>IFERROR(__xludf.DUMMYFUNCTION("""COMPUTED_VALUE"""),1468.25)</f>
        <v>1468.25</v>
      </c>
      <c r="F3642" s="1">
        <f>IFERROR(__xludf.DUMMYFUNCTION("""COMPUTED_VALUE"""),1.50984368E8)</f>
        <v>150984368</v>
      </c>
    </row>
    <row r="3643">
      <c r="A3643" s="2">
        <f>IFERROR(__xludf.DUMMYFUNCTION("""COMPUTED_VALUE"""),36648.666666666664)</f>
        <v>36648.66667</v>
      </c>
      <c r="B3643" s="1">
        <f>IFERROR(__xludf.DUMMYFUNCTION("""COMPUTED_VALUE"""),1468.25)</f>
        <v>1468.25</v>
      </c>
      <c r="C3643" s="1">
        <f>IFERROR(__xludf.DUMMYFUNCTION("""COMPUTED_VALUE"""),1468.25)</f>
        <v>1468.25</v>
      </c>
      <c r="D3643" s="1">
        <f>IFERROR(__xludf.DUMMYFUNCTION("""COMPUTED_VALUE"""),1445.22)</f>
        <v>1445.22</v>
      </c>
      <c r="E3643" s="1">
        <f>IFERROR(__xludf.DUMMYFUNCTION("""COMPUTED_VALUE"""),1446.29)</f>
        <v>1446.29</v>
      </c>
      <c r="F3643" s="1">
        <f>IFERROR(__xludf.DUMMYFUNCTION("""COMPUTED_VALUE"""),1.5804688E8)</f>
        <v>158046880</v>
      </c>
    </row>
    <row r="3644">
      <c r="A3644" s="2">
        <f>IFERROR(__xludf.DUMMYFUNCTION("""COMPUTED_VALUE"""),36649.666666666664)</f>
        <v>36649.66667</v>
      </c>
      <c r="B3644" s="1">
        <f>IFERROR(__xludf.DUMMYFUNCTION("""COMPUTED_VALUE"""),1446.29)</f>
        <v>1446.29</v>
      </c>
      <c r="C3644" s="1">
        <f>IFERROR(__xludf.DUMMYFUNCTION("""COMPUTED_VALUE"""),1446.29)</f>
        <v>1446.29</v>
      </c>
      <c r="D3644" s="1">
        <f>IFERROR(__xludf.DUMMYFUNCTION("""COMPUTED_VALUE"""),1398.36)</f>
        <v>1398.36</v>
      </c>
      <c r="E3644" s="1">
        <f>IFERROR(__xludf.DUMMYFUNCTION("""COMPUTED_VALUE"""),1415.1)</f>
        <v>1415.1</v>
      </c>
      <c r="F3644" s="1">
        <f>IFERROR(__xludf.DUMMYFUNCTION("""COMPUTED_VALUE"""),1.54937504E8)</f>
        <v>154937504</v>
      </c>
    </row>
    <row r="3645">
      <c r="A3645" s="2">
        <f>IFERROR(__xludf.DUMMYFUNCTION("""COMPUTED_VALUE"""),36650.666666666664)</f>
        <v>36650.66667</v>
      </c>
      <c r="B3645" s="1">
        <f>IFERROR(__xludf.DUMMYFUNCTION("""COMPUTED_VALUE"""),1415.1)</f>
        <v>1415.1</v>
      </c>
      <c r="C3645" s="1">
        <f>IFERROR(__xludf.DUMMYFUNCTION("""COMPUTED_VALUE"""),1420.99)</f>
        <v>1420.99</v>
      </c>
      <c r="D3645" s="1">
        <f>IFERROR(__xludf.DUMMYFUNCTION("""COMPUTED_VALUE"""),1404.94)</f>
        <v>1404.94</v>
      </c>
      <c r="E3645" s="1">
        <f>IFERROR(__xludf.DUMMYFUNCTION("""COMPUTED_VALUE"""),1409.57)</f>
        <v>1409.57</v>
      </c>
      <c r="F3645" s="1">
        <f>IFERROR(__xludf.DUMMYFUNCTION("""COMPUTED_VALUE"""),1.44656256E8)</f>
        <v>144656256</v>
      </c>
    </row>
    <row r="3646">
      <c r="A3646" s="2">
        <f>IFERROR(__xludf.DUMMYFUNCTION("""COMPUTED_VALUE"""),36651.666666666664)</f>
        <v>36651.66667</v>
      </c>
      <c r="B3646" s="1">
        <f>IFERROR(__xludf.DUMMYFUNCTION("""COMPUTED_VALUE"""),1409.57)</f>
        <v>1409.57</v>
      </c>
      <c r="C3646" s="1">
        <f>IFERROR(__xludf.DUMMYFUNCTION("""COMPUTED_VALUE"""),1436.03)</f>
        <v>1436.03</v>
      </c>
      <c r="D3646" s="1">
        <f>IFERROR(__xludf.DUMMYFUNCTION("""COMPUTED_VALUE"""),1405.08)</f>
        <v>1405.08</v>
      </c>
      <c r="E3646" s="1">
        <f>IFERROR(__xludf.DUMMYFUNCTION("""COMPUTED_VALUE"""),1432.63)</f>
        <v>1432.63</v>
      </c>
      <c r="F3646" s="1">
        <f>IFERROR(__xludf.DUMMYFUNCTION("""COMPUTED_VALUE"""),1.25859376E8)</f>
        <v>125859376</v>
      </c>
    </row>
    <row r="3647">
      <c r="A3647" s="2">
        <f>IFERROR(__xludf.DUMMYFUNCTION("""COMPUTED_VALUE"""),36654.666666666664)</f>
        <v>36654.66667</v>
      </c>
      <c r="B3647" s="1">
        <f>IFERROR(__xludf.DUMMYFUNCTION("""COMPUTED_VALUE"""),1432.63)</f>
        <v>1432.63</v>
      </c>
      <c r="C3647" s="1">
        <f>IFERROR(__xludf.DUMMYFUNCTION("""COMPUTED_VALUE"""),1432.63)</f>
        <v>1432.63</v>
      </c>
      <c r="D3647" s="1">
        <f>IFERROR(__xludf.DUMMYFUNCTION("""COMPUTED_VALUE"""),1417.05)</f>
        <v>1417.05</v>
      </c>
      <c r="E3647" s="1">
        <f>IFERROR(__xludf.DUMMYFUNCTION("""COMPUTED_VALUE"""),1424.17)</f>
        <v>1424.17</v>
      </c>
      <c r="F3647" s="1">
        <f>IFERROR(__xludf.DUMMYFUNCTION("""COMPUTED_VALUE"""),1.23062496E8)</f>
        <v>123062496</v>
      </c>
    </row>
    <row r="3648">
      <c r="A3648" s="2">
        <f>IFERROR(__xludf.DUMMYFUNCTION("""COMPUTED_VALUE"""),36655.666666666664)</f>
        <v>36655.66667</v>
      </c>
      <c r="B3648" s="1">
        <f>IFERROR(__xludf.DUMMYFUNCTION("""COMPUTED_VALUE"""),1424.17)</f>
        <v>1424.17</v>
      </c>
      <c r="C3648" s="1">
        <f>IFERROR(__xludf.DUMMYFUNCTION("""COMPUTED_VALUE"""),1430.28)</f>
        <v>1430.28</v>
      </c>
      <c r="D3648" s="1">
        <f>IFERROR(__xludf.DUMMYFUNCTION("""COMPUTED_VALUE"""),1401.85)</f>
        <v>1401.85</v>
      </c>
      <c r="E3648" s="1">
        <f>IFERROR(__xludf.DUMMYFUNCTION("""COMPUTED_VALUE"""),1412.14)</f>
        <v>1412.14</v>
      </c>
      <c r="F3648" s="1">
        <f>IFERROR(__xludf.DUMMYFUNCTION("""COMPUTED_VALUE"""),1.40093744E8)</f>
        <v>140093744</v>
      </c>
    </row>
    <row r="3649">
      <c r="A3649" s="2">
        <f>IFERROR(__xludf.DUMMYFUNCTION("""COMPUTED_VALUE"""),36656.666666666664)</f>
        <v>36656.66667</v>
      </c>
      <c r="B3649" s="1">
        <f>IFERROR(__xludf.DUMMYFUNCTION("""COMPUTED_VALUE"""),1412.14)</f>
        <v>1412.14</v>
      </c>
      <c r="C3649" s="1">
        <f>IFERROR(__xludf.DUMMYFUNCTION("""COMPUTED_VALUE"""),1412.14)</f>
        <v>1412.14</v>
      </c>
      <c r="D3649" s="1">
        <f>IFERROR(__xludf.DUMMYFUNCTION("""COMPUTED_VALUE"""),1375.14)</f>
        <v>1375.14</v>
      </c>
      <c r="E3649" s="1">
        <f>IFERROR(__xludf.DUMMYFUNCTION("""COMPUTED_VALUE"""),1383.05)</f>
        <v>1383.05</v>
      </c>
      <c r="F3649" s="1">
        <f>IFERROR(__xludf.DUMMYFUNCTION("""COMPUTED_VALUE"""),1.5725E8)</f>
        <v>157250000</v>
      </c>
    </row>
    <row r="3650">
      <c r="A3650" s="2">
        <f>IFERROR(__xludf.DUMMYFUNCTION("""COMPUTED_VALUE"""),36657.666666666664)</f>
        <v>36657.66667</v>
      </c>
      <c r="B3650" s="1">
        <f>IFERROR(__xludf.DUMMYFUNCTION("""COMPUTED_VALUE"""),1383.05)</f>
        <v>1383.05</v>
      </c>
      <c r="C3650" s="1">
        <f>IFERROR(__xludf.DUMMYFUNCTION("""COMPUTED_VALUE"""),1410.26)</f>
        <v>1410.26</v>
      </c>
      <c r="D3650" s="1">
        <f>IFERROR(__xludf.DUMMYFUNCTION("""COMPUTED_VALUE"""),1383.05)</f>
        <v>1383.05</v>
      </c>
      <c r="E3650" s="1">
        <f>IFERROR(__xludf.DUMMYFUNCTION("""COMPUTED_VALUE"""),1407.81)</f>
        <v>1407.81</v>
      </c>
      <c r="F3650" s="1">
        <f>IFERROR(__xludf.DUMMYFUNCTION("""COMPUTED_VALUE"""),1.49E8)</f>
        <v>149000000</v>
      </c>
    </row>
    <row r="3651">
      <c r="A3651" s="2">
        <f>IFERROR(__xludf.DUMMYFUNCTION("""COMPUTED_VALUE"""),36658.666666666664)</f>
        <v>36658.66667</v>
      </c>
      <c r="B3651" s="1">
        <f>IFERROR(__xludf.DUMMYFUNCTION("""COMPUTED_VALUE"""),1407.81)</f>
        <v>1407.81</v>
      </c>
      <c r="C3651" s="1">
        <f>IFERROR(__xludf.DUMMYFUNCTION("""COMPUTED_VALUE"""),1430.13)</f>
        <v>1430.13</v>
      </c>
      <c r="D3651" s="1">
        <f>IFERROR(__xludf.DUMMYFUNCTION("""COMPUTED_VALUE"""),1407.81)</f>
        <v>1407.81</v>
      </c>
      <c r="E3651" s="1">
        <f>IFERROR(__xludf.DUMMYFUNCTION("""COMPUTED_VALUE"""),1420.96)</f>
        <v>1420.96</v>
      </c>
      <c r="F3651" s="1">
        <f>IFERROR(__xludf.DUMMYFUNCTION("""COMPUTED_VALUE"""),1.34093752E8)</f>
        <v>134093752</v>
      </c>
    </row>
    <row r="3652">
      <c r="A3652" s="2">
        <f>IFERROR(__xludf.DUMMYFUNCTION("""COMPUTED_VALUE"""),36661.666666666664)</f>
        <v>36661.66667</v>
      </c>
      <c r="B3652" s="1">
        <f>IFERROR(__xludf.DUMMYFUNCTION("""COMPUTED_VALUE"""),1420.96)</f>
        <v>1420.96</v>
      </c>
      <c r="C3652" s="1">
        <f>IFERROR(__xludf.DUMMYFUNCTION("""COMPUTED_VALUE"""),1452.39)</f>
        <v>1452.39</v>
      </c>
      <c r="D3652" s="1">
        <f>IFERROR(__xludf.DUMMYFUNCTION("""COMPUTED_VALUE"""),1416.54)</f>
        <v>1416.54</v>
      </c>
      <c r="E3652" s="1">
        <f>IFERROR(__xludf.DUMMYFUNCTION("""COMPUTED_VALUE"""),1452.36)</f>
        <v>1452.36</v>
      </c>
      <c r="F3652" s="1">
        <f>IFERROR(__xludf.DUMMYFUNCTION("""COMPUTED_VALUE"""),1.33531248E8)</f>
        <v>133531248</v>
      </c>
    </row>
    <row r="3653">
      <c r="A3653" s="2">
        <f>IFERROR(__xludf.DUMMYFUNCTION("""COMPUTED_VALUE"""),36662.666666666664)</f>
        <v>36662.66667</v>
      </c>
      <c r="B3653" s="1">
        <f>IFERROR(__xludf.DUMMYFUNCTION("""COMPUTED_VALUE"""),1452.36)</f>
        <v>1452.36</v>
      </c>
      <c r="C3653" s="1">
        <f>IFERROR(__xludf.DUMMYFUNCTION("""COMPUTED_VALUE"""),1470.4)</f>
        <v>1470.4</v>
      </c>
      <c r="D3653" s="1">
        <f>IFERROR(__xludf.DUMMYFUNCTION("""COMPUTED_VALUE"""),1450.76)</f>
        <v>1450.76</v>
      </c>
      <c r="E3653" s="1">
        <f>IFERROR(__xludf.DUMMYFUNCTION("""COMPUTED_VALUE"""),1466.04)</f>
        <v>1466.04</v>
      </c>
      <c r="F3653" s="1">
        <f>IFERROR(__xludf.DUMMYFUNCTION("""COMPUTED_VALUE"""),1.4929688E8)</f>
        <v>149296880</v>
      </c>
    </row>
    <row r="3654">
      <c r="A3654" s="2">
        <f>IFERROR(__xludf.DUMMYFUNCTION("""COMPUTED_VALUE"""),36663.666666666664)</f>
        <v>36663.66667</v>
      </c>
      <c r="B3654" s="1">
        <f>IFERROR(__xludf.DUMMYFUNCTION("""COMPUTED_VALUE"""),1466.04)</f>
        <v>1466.04</v>
      </c>
      <c r="C3654" s="1">
        <f>IFERROR(__xludf.DUMMYFUNCTION("""COMPUTED_VALUE"""),1466.04)</f>
        <v>1466.04</v>
      </c>
      <c r="D3654" s="1">
        <f>IFERROR(__xludf.DUMMYFUNCTION("""COMPUTED_VALUE"""),1441.67)</f>
        <v>1441.67</v>
      </c>
      <c r="E3654" s="1">
        <f>IFERROR(__xludf.DUMMYFUNCTION("""COMPUTED_VALUE"""),1447.8)</f>
        <v>1447.8</v>
      </c>
      <c r="F3654" s="1">
        <f>IFERROR(__xludf.DUMMYFUNCTION("""COMPUTED_VALUE"""),1.28203128E8)</f>
        <v>128203128</v>
      </c>
    </row>
    <row r="3655">
      <c r="A3655" s="2">
        <f>IFERROR(__xludf.DUMMYFUNCTION("""COMPUTED_VALUE"""),36664.666666666664)</f>
        <v>36664.66667</v>
      </c>
      <c r="B3655" s="1">
        <f>IFERROR(__xludf.DUMMYFUNCTION("""COMPUTED_VALUE"""),1447.8)</f>
        <v>1447.8</v>
      </c>
      <c r="C3655" s="1">
        <f>IFERROR(__xludf.DUMMYFUNCTION("""COMPUTED_VALUE"""),1458.04)</f>
        <v>1458.04</v>
      </c>
      <c r="D3655" s="1">
        <f>IFERROR(__xludf.DUMMYFUNCTION("""COMPUTED_VALUE"""),1436.59)</f>
        <v>1436.59</v>
      </c>
      <c r="E3655" s="1">
        <f>IFERROR(__xludf.DUMMYFUNCTION("""COMPUTED_VALUE"""),1437.21)</f>
        <v>1437.21</v>
      </c>
      <c r="F3655" s="1">
        <f>IFERROR(__xludf.DUMMYFUNCTION("""COMPUTED_VALUE"""),1.26234376E8)</f>
        <v>126234376</v>
      </c>
    </row>
    <row r="3656">
      <c r="A3656" s="2">
        <f>IFERROR(__xludf.DUMMYFUNCTION("""COMPUTED_VALUE"""),36665.666666666664)</f>
        <v>36665.66667</v>
      </c>
      <c r="B3656" s="1">
        <f>IFERROR(__xludf.DUMMYFUNCTION("""COMPUTED_VALUE"""),1437.21)</f>
        <v>1437.21</v>
      </c>
      <c r="C3656" s="1">
        <f>IFERROR(__xludf.DUMMYFUNCTION("""COMPUTED_VALUE"""),1437.21)</f>
        <v>1437.21</v>
      </c>
      <c r="D3656" s="1">
        <f>IFERROR(__xludf.DUMMYFUNCTION("""COMPUTED_VALUE"""),1401.74)</f>
        <v>1401.74</v>
      </c>
      <c r="E3656" s="1">
        <f>IFERROR(__xludf.DUMMYFUNCTION("""COMPUTED_VALUE"""),1406.95)</f>
        <v>1406.95</v>
      </c>
      <c r="F3656" s="1">
        <f>IFERROR(__xludf.DUMMYFUNCTION("""COMPUTED_VALUE"""),1.33390624E8)</f>
        <v>133390624</v>
      </c>
    </row>
    <row r="3657">
      <c r="A3657" s="2">
        <f>IFERROR(__xludf.DUMMYFUNCTION("""COMPUTED_VALUE"""),36668.666666666664)</f>
        <v>36668.66667</v>
      </c>
      <c r="B3657" s="1">
        <f>IFERROR(__xludf.DUMMYFUNCTION("""COMPUTED_VALUE"""),1406.95)</f>
        <v>1406.95</v>
      </c>
      <c r="C3657" s="1">
        <f>IFERROR(__xludf.DUMMYFUNCTION("""COMPUTED_VALUE"""),1410.55)</f>
        <v>1410.55</v>
      </c>
      <c r="D3657" s="1">
        <f>IFERROR(__xludf.DUMMYFUNCTION("""COMPUTED_VALUE"""),1368.73)</f>
        <v>1368.73</v>
      </c>
      <c r="E3657" s="1">
        <f>IFERROR(__xludf.DUMMYFUNCTION("""COMPUTED_VALUE"""),1400.72)</f>
        <v>1400.72</v>
      </c>
      <c r="F3657" s="1">
        <f>IFERROR(__xludf.DUMMYFUNCTION("""COMPUTED_VALUE"""),1.35781248E8)</f>
        <v>135781248</v>
      </c>
    </row>
    <row r="3658">
      <c r="A3658" s="2">
        <f>IFERROR(__xludf.DUMMYFUNCTION("""COMPUTED_VALUE"""),36669.666666666664)</f>
        <v>36669.66667</v>
      </c>
      <c r="B3658" s="1">
        <f>IFERROR(__xludf.DUMMYFUNCTION("""COMPUTED_VALUE"""),1400.72)</f>
        <v>1400.72</v>
      </c>
      <c r="C3658" s="1">
        <f>IFERROR(__xludf.DUMMYFUNCTION("""COMPUTED_VALUE"""),1404.04)</f>
        <v>1404.04</v>
      </c>
      <c r="D3658" s="1">
        <f>IFERROR(__xludf.DUMMYFUNCTION("""COMPUTED_VALUE"""),1373.6)</f>
        <v>1373.6</v>
      </c>
      <c r="E3658" s="1">
        <f>IFERROR(__xludf.DUMMYFUNCTION("""COMPUTED_VALUE"""),1373.86)</f>
        <v>1373.86</v>
      </c>
      <c r="F3658" s="1">
        <f>IFERROR(__xludf.DUMMYFUNCTION("""COMPUTED_VALUE"""),1.35921872E8)</f>
        <v>135921872</v>
      </c>
    </row>
    <row r="3659">
      <c r="A3659" s="2">
        <f>IFERROR(__xludf.DUMMYFUNCTION("""COMPUTED_VALUE"""),36670.666666666664)</f>
        <v>36670.66667</v>
      </c>
      <c r="B3659" s="1">
        <f>IFERROR(__xludf.DUMMYFUNCTION("""COMPUTED_VALUE"""),1373.86)</f>
        <v>1373.86</v>
      </c>
      <c r="C3659" s="1">
        <f>IFERROR(__xludf.DUMMYFUNCTION("""COMPUTED_VALUE"""),1401.75)</f>
        <v>1401.75</v>
      </c>
      <c r="D3659" s="1">
        <f>IFERROR(__xludf.DUMMYFUNCTION("""COMPUTED_VALUE"""),1361.09)</f>
        <v>1361.09</v>
      </c>
      <c r="E3659" s="1">
        <f>IFERROR(__xludf.DUMMYFUNCTION("""COMPUTED_VALUE"""),1399.05)</f>
        <v>1399.05</v>
      </c>
      <c r="F3659" s="1">
        <f>IFERROR(__xludf.DUMMYFUNCTION("""COMPUTED_VALUE"""),1.8004688E8)</f>
        <v>180046880</v>
      </c>
    </row>
    <row r="3660">
      <c r="A3660" s="2">
        <f>IFERROR(__xludf.DUMMYFUNCTION("""COMPUTED_VALUE"""),36671.666666666664)</f>
        <v>36671.66667</v>
      </c>
      <c r="B3660" s="1">
        <f>IFERROR(__xludf.DUMMYFUNCTION("""COMPUTED_VALUE"""),1405.89)</f>
        <v>1405.89</v>
      </c>
      <c r="C3660" s="1">
        <f>IFERROR(__xludf.DUMMYFUNCTION("""COMPUTED_VALUE"""),1409.39)</f>
        <v>1409.39</v>
      </c>
      <c r="D3660" s="1">
        <f>IFERROR(__xludf.DUMMYFUNCTION("""COMPUTED_VALUE"""),1373.93)</f>
        <v>1373.93</v>
      </c>
      <c r="E3660" s="1">
        <f>IFERROR(__xludf.DUMMYFUNCTION("""COMPUTED_VALUE"""),1381.52)</f>
        <v>1381.52</v>
      </c>
      <c r="F3660" s="1">
        <f>IFERROR(__xludf.DUMMYFUNCTION("""COMPUTED_VALUE"""),1.53828128E8)</f>
        <v>153828128</v>
      </c>
    </row>
    <row r="3661">
      <c r="A3661" s="2">
        <f>IFERROR(__xludf.DUMMYFUNCTION("""COMPUTED_VALUE"""),36672.666666666664)</f>
        <v>36672.66667</v>
      </c>
      <c r="B3661" s="1">
        <f>IFERROR(__xludf.DUMMYFUNCTION("""COMPUTED_VALUE"""),1381.52)</f>
        <v>1381.52</v>
      </c>
      <c r="C3661" s="1">
        <f>IFERROR(__xludf.DUMMYFUNCTION("""COMPUTED_VALUE"""),1391.42)</f>
        <v>1391.42</v>
      </c>
      <c r="D3661" s="1">
        <f>IFERROR(__xludf.DUMMYFUNCTION("""COMPUTED_VALUE"""),1369.75)</f>
        <v>1369.75</v>
      </c>
      <c r="E3661" s="1">
        <f>IFERROR(__xludf.DUMMYFUNCTION("""COMPUTED_VALUE"""),1378.02)</f>
        <v>1378.02</v>
      </c>
      <c r="F3661" s="1">
        <f>IFERROR(__xludf.DUMMYFUNCTION("""COMPUTED_VALUE"""),1.12906248E8)</f>
        <v>112906248</v>
      </c>
    </row>
    <row r="3662">
      <c r="A3662" s="2">
        <f>IFERROR(__xludf.DUMMYFUNCTION("""COMPUTED_VALUE"""),36676.666666666664)</f>
        <v>36676.66667</v>
      </c>
      <c r="B3662" s="1">
        <f>IFERROR(__xludf.DUMMYFUNCTION("""COMPUTED_VALUE"""),1378.02)</f>
        <v>1378.02</v>
      </c>
      <c r="C3662" s="1">
        <f>IFERROR(__xludf.DUMMYFUNCTION("""COMPUTED_VALUE"""),1422.45)</f>
        <v>1422.45</v>
      </c>
      <c r="D3662" s="1">
        <f>IFERROR(__xludf.DUMMYFUNCTION("""COMPUTED_VALUE"""),1378.02)</f>
        <v>1378.02</v>
      </c>
      <c r="E3662" s="1">
        <f>IFERROR(__xludf.DUMMYFUNCTION("""COMPUTED_VALUE"""),1422.45)</f>
        <v>1422.45</v>
      </c>
      <c r="F3662" s="1">
        <f>IFERROR(__xludf.DUMMYFUNCTION("""COMPUTED_VALUE"""),1.31906248E8)</f>
        <v>131906248</v>
      </c>
    </row>
    <row r="3663">
      <c r="A3663" s="2">
        <f>IFERROR(__xludf.DUMMYFUNCTION("""COMPUTED_VALUE"""),36677.666666666664)</f>
        <v>36677.66667</v>
      </c>
      <c r="B3663" s="1">
        <f>IFERROR(__xludf.DUMMYFUNCTION("""COMPUTED_VALUE"""),1422.44)</f>
        <v>1422.44</v>
      </c>
      <c r="C3663" s="1">
        <f>IFERROR(__xludf.DUMMYFUNCTION("""COMPUTED_VALUE"""),1434.49)</f>
        <v>1434.49</v>
      </c>
      <c r="D3663" s="1">
        <f>IFERROR(__xludf.DUMMYFUNCTION("""COMPUTED_VALUE"""),1415.5)</f>
        <v>1415.5</v>
      </c>
      <c r="E3663" s="1">
        <f>IFERROR(__xludf.DUMMYFUNCTION("""COMPUTED_VALUE"""),1420.6)</f>
        <v>1420.6</v>
      </c>
      <c r="F3663" s="1">
        <f>IFERROR(__xludf.DUMMYFUNCTION("""COMPUTED_VALUE"""),1.50078128E8)</f>
        <v>150078128</v>
      </c>
    </row>
    <row r="3664">
      <c r="A3664" s="2">
        <f>IFERROR(__xludf.DUMMYFUNCTION("""COMPUTED_VALUE"""),36678.666666666664)</f>
        <v>36678.66667</v>
      </c>
      <c r="B3664" s="1">
        <f>IFERROR(__xludf.DUMMYFUNCTION("""COMPUTED_VALUE"""),1420.6)</f>
        <v>1420.6</v>
      </c>
      <c r="C3664" s="1">
        <f>IFERROR(__xludf.DUMMYFUNCTION("""COMPUTED_VALUE"""),1448.81)</f>
        <v>1448.81</v>
      </c>
      <c r="D3664" s="1">
        <f>IFERROR(__xludf.DUMMYFUNCTION("""COMPUTED_VALUE"""),1420.6)</f>
        <v>1420.6</v>
      </c>
      <c r="E3664" s="1">
        <f>IFERROR(__xludf.DUMMYFUNCTION("""COMPUTED_VALUE"""),1448.81)</f>
        <v>1448.81</v>
      </c>
      <c r="F3664" s="1">
        <f>IFERROR(__xludf.DUMMYFUNCTION("""COMPUTED_VALUE"""),1.50015632E8)</f>
        <v>150015632</v>
      </c>
    </row>
    <row r="3665">
      <c r="A3665" s="2">
        <f>IFERROR(__xludf.DUMMYFUNCTION("""COMPUTED_VALUE"""),36679.666666666664)</f>
        <v>36679.66667</v>
      </c>
      <c r="B3665" s="1">
        <f>IFERROR(__xludf.DUMMYFUNCTION("""COMPUTED_VALUE"""),1448.81)</f>
        <v>1448.81</v>
      </c>
      <c r="C3665" s="1">
        <f>IFERROR(__xludf.DUMMYFUNCTION("""COMPUTED_VALUE"""),1483.23)</f>
        <v>1483.23</v>
      </c>
      <c r="D3665" s="1">
        <f>IFERROR(__xludf.DUMMYFUNCTION("""COMPUTED_VALUE"""),1448.81)</f>
        <v>1448.81</v>
      </c>
      <c r="E3665" s="1">
        <f>IFERROR(__xludf.DUMMYFUNCTION("""COMPUTED_VALUE"""),1477.26)</f>
        <v>1477.26</v>
      </c>
      <c r="F3665" s="1">
        <f>IFERROR(__xludf.DUMMYFUNCTION("""COMPUTED_VALUE"""),1.81624992E8)</f>
        <v>181624992</v>
      </c>
    </row>
    <row r="3666">
      <c r="A3666" s="2">
        <f>IFERROR(__xludf.DUMMYFUNCTION("""COMPUTED_VALUE"""),36682.666666666664)</f>
        <v>36682.66667</v>
      </c>
      <c r="B3666" s="1">
        <f>IFERROR(__xludf.DUMMYFUNCTION("""COMPUTED_VALUE"""),1477.26)</f>
        <v>1477.26</v>
      </c>
      <c r="C3666" s="1">
        <f>IFERROR(__xludf.DUMMYFUNCTION("""COMPUTED_VALUE"""),1477.28)</f>
        <v>1477.28</v>
      </c>
      <c r="D3666" s="1">
        <f>IFERROR(__xludf.DUMMYFUNCTION("""COMPUTED_VALUE"""),1464.68)</f>
        <v>1464.68</v>
      </c>
      <c r="E3666" s="1">
        <f>IFERROR(__xludf.DUMMYFUNCTION("""COMPUTED_VALUE"""),1467.63)</f>
        <v>1467.63</v>
      </c>
      <c r="F3666" s="1">
        <f>IFERROR(__xludf.DUMMYFUNCTION("""COMPUTED_VALUE"""),1.31031248E8)</f>
        <v>131031248</v>
      </c>
    </row>
    <row r="3667">
      <c r="A3667" s="2">
        <f>IFERROR(__xludf.DUMMYFUNCTION("""COMPUTED_VALUE"""),36683.666666666664)</f>
        <v>36683.66667</v>
      </c>
      <c r="B3667" s="1">
        <f>IFERROR(__xludf.DUMMYFUNCTION("""COMPUTED_VALUE"""),1467.63)</f>
        <v>1467.63</v>
      </c>
      <c r="C3667" s="1">
        <f>IFERROR(__xludf.DUMMYFUNCTION("""COMPUTED_VALUE"""),1471.36)</f>
        <v>1471.36</v>
      </c>
      <c r="D3667" s="1">
        <f>IFERROR(__xludf.DUMMYFUNCTION("""COMPUTED_VALUE"""),1454.74)</f>
        <v>1454.74</v>
      </c>
      <c r="E3667" s="1">
        <f>IFERROR(__xludf.DUMMYFUNCTION("""COMPUTED_VALUE"""),1457.84)</f>
        <v>1457.84</v>
      </c>
      <c r="F3667" s="1">
        <f>IFERROR(__xludf.DUMMYFUNCTION("""COMPUTED_VALUE"""),1.4845312E8)</f>
        <v>148453120</v>
      </c>
    </row>
    <row r="3668">
      <c r="A3668" s="2">
        <f>IFERROR(__xludf.DUMMYFUNCTION("""COMPUTED_VALUE"""),36684.666666666664)</f>
        <v>36684.66667</v>
      </c>
      <c r="B3668" s="1">
        <f>IFERROR(__xludf.DUMMYFUNCTION("""COMPUTED_VALUE"""),1457.84)</f>
        <v>1457.84</v>
      </c>
      <c r="C3668" s="1">
        <f>IFERROR(__xludf.DUMMYFUNCTION("""COMPUTED_VALUE"""),1474.64)</f>
        <v>1474.64</v>
      </c>
      <c r="D3668" s="1">
        <f>IFERROR(__xludf.DUMMYFUNCTION("""COMPUTED_VALUE"""),1455.06)</f>
        <v>1455.06</v>
      </c>
      <c r="E3668" s="1">
        <f>IFERROR(__xludf.DUMMYFUNCTION("""COMPUTED_VALUE"""),1471.36)</f>
        <v>1471.36</v>
      </c>
      <c r="F3668" s="1">
        <f>IFERROR(__xludf.DUMMYFUNCTION("""COMPUTED_VALUE"""),1.33531248E8)</f>
        <v>133531248</v>
      </c>
    </row>
    <row r="3669">
      <c r="A3669" s="2">
        <f>IFERROR(__xludf.DUMMYFUNCTION("""COMPUTED_VALUE"""),36685.666666666664)</f>
        <v>36685.66667</v>
      </c>
      <c r="B3669" s="1">
        <f>IFERROR(__xludf.DUMMYFUNCTION("""COMPUTED_VALUE"""),1471.36)</f>
        <v>1471.36</v>
      </c>
      <c r="C3669" s="1">
        <f>IFERROR(__xludf.DUMMYFUNCTION("""COMPUTED_VALUE"""),1475.65)</f>
        <v>1475.65</v>
      </c>
      <c r="D3669" s="1">
        <f>IFERROR(__xludf.DUMMYFUNCTION("""COMPUTED_VALUE"""),1456.49)</f>
        <v>1456.49</v>
      </c>
      <c r="E3669" s="1">
        <f>IFERROR(__xludf.DUMMYFUNCTION("""COMPUTED_VALUE"""),1461.67)</f>
        <v>1461.67</v>
      </c>
      <c r="F3669" s="1">
        <f>IFERROR(__xludf.DUMMYFUNCTION("""COMPUTED_VALUE"""),1.33484376E8)</f>
        <v>133484376</v>
      </c>
    </row>
    <row r="3670">
      <c r="A3670" s="2">
        <f>IFERROR(__xludf.DUMMYFUNCTION("""COMPUTED_VALUE"""),36686.666666666664)</f>
        <v>36686.66667</v>
      </c>
      <c r="B3670" s="1">
        <f>IFERROR(__xludf.DUMMYFUNCTION("""COMPUTED_VALUE"""),1461.67)</f>
        <v>1461.67</v>
      </c>
      <c r="C3670" s="1">
        <f>IFERROR(__xludf.DUMMYFUNCTION("""COMPUTED_VALUE"""),1472.67)</f>
        <v>1472.67</v>
      </c>
      <c r="D3670" s="1">
        <f>IFERROR(__xludf.DUMMYFUNCTION("""COMPUTED_VALUE"""),1454.96)</f>
        <v>1454.96</v>
      </c>
      <c r="E3670" s="1">
        <f>IFERROR(__xludf.DUMMYFUNCTION("""COMPUTED_VALUE"""),1456.95)</f>
        <v>1456.95</v>
      </c>
      <c r="F3670" s="1">
        <f>IFERROR(__xludf.DUMMYFUNCTION("""COMPUTED_VALUE"""),1.22812496E8)</f>
        <v>122812496</v>
      </c>
    </row>
    <row r="3671">
      <c r="A3671" s="2">
        <f>IFERROR(__xludf.DUMMYFUNCTION("""COMPUTED_VALUE"""),36689.666666666664)</f>
        <v>36689.66667</v>
      </c>
      <c r="B3671" s="1">
        <f>IFERROR(__xludf.DUMMYFUNCTION("""COMPUTED_VALUE"""),1456.95)</f>
        <v>1456.95</v>
      </c>
      <c r="C3671" s="1">
        <f>IFERROR(__xludf.DUMMYFUNCTION("""COMPUTED_VALUE"""),1462.93)</f>
        <v>1462.93</v>
      </c>
      <c r="D3671" s="1">
        <f>IFERROR(__xludf.DUMMYFUNCTION("""COMPUTED_VALUE"""),1445.99)</f>
        <v>1445.99</v>
      </c>
      <c r="E3671" s="1">
        <f>IFERROR(__xludf.DUMMYFUNCTION("""COMPUTED_VALUE"""),1446.0)</f>
        <v>1446</v>
      </c>
      <c r="F3671" s="1">
        <f>IFERROR(__xludf.DUMMYFUNCTION("""COMPUTED_VALUE"""),1.20953128E8)</f>
        <v>120953128</v>
      </c>
    </row>
    <row r="3672">
      <c r="A3672" s="2">
        <f>IFERROR(__xludf.DUMMYFUNCTION("""COMPUTED_VALUE"""),36690.666666666664)</f>
        <v>36690.66667</v>
      </c>
      <c r="B3672" s="1">
        <f>IFERROR(__xludf.DUMMYFUNCTION("""COMPUTED_VALUE"""),1446.0)</f>
        <v>1446</v>
      </c>
      <c r="C3672" s="1">
        <f>IFERROR(__xludf.DUMMYFUNCTION("""COMPUTED_VALUE"""),1470.42)</f>
        <v>1470.42</v>
      </c>
      <c r="D3672" s="1">
        <f>IFERROR(__xludf.DUMMYFUNCTION("""COMPUTED_VALUE"""),1442.38)</f>
        <v>1442.38</v>
      </c>
      <c r="E3672" s="1">
        <f>IFERROR(__xludf.DUMMYFUNCTION("""COMPUTED_VALUE"""),1469.44)</f>
        <v>1469.44</v>
      </c>
      <c r="F3672" s="1">
        <f>IFERROR(__xludf.DUMMYFUNCTION("""COMPUTED_VALUE"""),1.46234368E8)</f>
        <v>146234368</v>
      </c>
    </row>
    <row r="3673">
      <c r="A3673" s="2">
        <f>IFERROR(__xludf.DUMMYFUNCTION("""COMPUTED_VALUE"""),36691.666666666664)</f>
        <v>36691.66667</v>
      </c>
      <c r="B3673" s="1">
        <f>IFERROR(__xludf.DUMMYFUNCTION("""COMPUTED_VALUE"""),1469.44)</f>
        <v>1469.44</v>
      </c>
      <c r="C3673" s="1">
        <f>IFERROR(__xludf.DUMMYFUNCTION("""COMPUTED_VALUE"""),1483.62)</f>
        <v>1483.62</v>
      </c>
      <c r="D3673" s="1">
        <f>IFERROR(__xludf.DUMMYFUNCTION("""COMPUTED_VALUE"""),1467.71)</f>
        <v>1467.71</v>
      </c>
      <c r="E3673" s="1">
        <f>IFERROR(__xludf.DUMMYFUNCTION("""COMPUTED_VALUE"""),1470.54)</f>
        <v>1470.54</v>
      </c>
      <c r="F3673" s="1">
        <f>IFERROR(__xludf.DUMMYFUNCTION("""COMPUTED_VALUE"""),1.45265632E8)</f>
        <v>145265632</v>
      </c>
    </row>
    <row r="3674">
      <c r="A3674" s="2">
        <f>IFERROR(__xludf.DUMMYFUNCTION("""COMPUTED_VALUE"""),36692.666666666664)</f>
        <v>36692.66667</v>
      </c>
      <c r="B3674" s="1">
        <f>IFERROR(__xludf.DUMMYFUNCTION("""COMPUTED_VALUE"""),1470.54)</f>
        <v>1470.54</v>
      </c>
      <c r="C3674" s="1">
        <f>IFERROR(__xludf.DUMMYFUNCTION("""COMPUTED_VALUE"""),1482.04)</f>
        <v>1482.04</v>
      </c>
      <c r="D3674" s="1">
        <f>IFERROR(__xludf.DUMMYFUNCTION("""COMPUTED_VALUE"""),1464.62)</f>
        <v>1464.62</v>
      </c>
      <c r="E3674" s="1">
        <f>IFERROR(__xludf.DUMMYFUNCTION("""COMPUTED_VALUE"""),1478.6)</f>
        <v>1478.6</v>
      </c>
      <c r="F3674" s="1">
        <f>IFERROR(__xludf.DUMMYFUNCTION("""COMPUTED_VALUE"""),1.58031248E8)</f>
        <v>158031248</v>
      </c>
    </row>
    <row r="3675">
      <c r="A3675" s="2">
        <f>IFERROR(__xludf.DUMMYFUNCTION("""COMPUTED_VALUE"""),36693.666666666664)</f>
        <v>36693.66667</v>
      </c>
      <c r="B3675" s="1">
        <f>IFERROR(__xludf.DUMMYFUNCTION("""COMPUTED_VALUE"""),1478.73)</f>
        <v>1478.73</v>
      </c>
      <c r="C3675" s="1">
        <f>IFERROR(__xludf.DUMMYFUNCTION("""COMPUTED_VALUE"""),1480.77)</f>
        <v>1480.77</v>
      </c>
      <c r="D3675" s="1">
        <f>IFERROR(__xludf.DUMMYFUNCTION("""COMPUTED_VALUE"""),1460.42)</f>
        <v>1460.42</v>
      </c>
      <c r="E3675" s="1">
        <f>IFERROR(__xludf.DUMMYFUNCTION("""COMPUTED_VALUE"""),1464.46)</f>
        <v>1464.46</v>
      </c>
      <c r="F3675" s="1">
        <f>IFERROR(__xludf.DUMMYFUNCTION("""COMPUTED_VALUE"""),1.95437504E8)</f>
        <v>195437504</v>
      </c>
    </row>
    <row r="3676">
      <c r="A3676" s="2">
        <f>IFERROR(__xludf.DUMMYFUNCTION("""COMPUTED_VALUE"""),36696.666666666664)</f>
        <v>36696.66667</v>
      </c>
      <c r="B3676" s="1">
        <f>IFERROR(__xludf.DUMMYFUNCTION("""COMPUTED_VALUE"""),1464.46)</f>
        <v>1464.46</v>
      </c>
      <c r="C3676" s="1">
        <f>IFERROR(__xludf.DUMMYFUNCTION("""COMPUTED_VALUE"""),1488.93)</f>
        <v>1488.93</v>
      </c>
      <c r="D3676" s="1">
        <f>IFERROR(__xludf.DUMMYFUNCTION("""COMPUTED_VALUE"""),1459.05)</f>
        <v>1459.05</v>
      </c>
      <c r="E3676" s="1">
        <f>IFERROR(__xludf.DUMMYFUNCTION("""COMPUTED_VALUE"""),1486.0)</f>
        <v>1486</v>
      </c>
      <c r="F3676" s="1">
        <f>IFERROR(__xludf.DUMMYFUNCTION("""COMPUTED_VALUE"""),1.44015632E8)</f>
        <v>144015632</v>
      </c>
    </row>
    <row r="3677">
      <c r="A3677" s="2">
        <f>IFERROR(__xludf.DUMMYFUNCTION("""COMPUTED_VALUE"""),36697.666666666664)</f>
        <v>36697.66667</v>
      </c>
      <c r="B3677" s="1">
        <f>IFERROR(__xludf.DUMMYFUNCTION("""COMPUTED_VALUE"""),1486.0)</f>
        <v>1486</v>
      </c>
      <c r="C3677" s="1">
        <f>IFERROR(__xludf.DUMMYFUNCTION("""COMPUTED_VALUE"""),1487.32)</f>
        <v>1487.32</v>
      </c>
      <c r="D3677" s="1">
        <f>IFERROR(__xludf.DUMMYFUNCTION("""COMPUTED_VALUE"""),1470.18)</f>
        <v>1470.18</v>
      </c>
      <c r="E3677" s="1">
        <f>IFERROR(__xludf.DUMMYFUNCTION("""COMPUTED_VALUE"""),1476.28)</f>
        <v>1476.28</v>
      </c>
      <c r="F3677" s="1">
        <f>IFERROR(__xludf.DUMMYFUNCTION("""COMPUTED_VALUE"""),1.61171872E8)</f>
        <v>161171872</v>
      </c>
    </row>
    <row r="3678">
      <c r="A3678" s="2">
        <f>IFERROR(__xludf.DUMMYFUNCTION("""COMPUTED_VALUE"""),36698.666666666664)</f>
        <v>36698.66667</v>
      </c>
      <c r="B3678" s="1">
        <f>IFERROR(__xludf.DUMMYFUNCTION("""COMPUTED_VALUE"""),1475.95)</f>
        <v>1475.95</v>
      </c>
      <c r="C3678" s="1">
        <f>IFERROR(__xludf.DUMMYFUNCTION("""COMPUTED_VALUE"""),1482.19)</f>
        <v>1482.19</v>
      </c>
      <c r="D3678" s="1">
        <f>IFERROR(__xludf.DUMMYFUNCTION("""COMPUTED_VALUE"""),1468.0)</f>
        <v>1468</v>
      </c>
      <c r="E3678" s="1">
        <f>IFERROR(__xludf.DUMMYFUNCTION("""COMPUTED_VALUE"""),1479.13)</f>
        <v>1479.13</v>
      </c>
      <c r="F3678" s="1">
        <f>IFERROR(__xludf.DUMMYFUNCTION("""COMPUTED_VALUE"""),1.5775E8)</f>
        <v>157750000</v>
      </c>
    </row>
    <row r="3679">
      <c r="A3679" s="2">
        <f>IFERROR(__xludf.DUMMYFUNCTION("""COMPUTED_VALUE"""),36699.666666666664)</f>
        <v>36699.66667</v>
      </c>
      <c r="B3679" s="1">
        <f>IFERROR(__xludf.DUMMYFUNCTION("""COMPUTED_VALUE"""),1479.13)</f>
        <v>1479.13</v>
      </c>
      <c r="C3679" s="1">
        <f>IFERROR(__xludf.DUMMYFUNCTION("""COMPUTED_VALUE"""),1479.13)</f>
        <v>1479.13</v>
      </c>
      <c r="D3679" s="1">
        <f>IFERROR(__xludf.DUMMYFUNCTION("""COMPUTED_VALUE"""),1448.03)</f>
        <v>1448.03</v>
      </c>
      <c r="E3679" s="1">
        <f>IFERROR(__xludf.DUMMYFUNCTION("""COMPUTED_VALUE"""),1452.18)</f>
        <v>1452.18</v>
      </c>
      <c r="F3679" s="1">
        <f>IFERROR(__xludf.DUMMYFUNCTION("""COMPUTED_VALUE"""),1.5979688E8)</f>
        <v>159796880</v>
      </c>
    </row>
    <row r="3680">
      <c r="A3680" s="2">
        <f>IFERROR(__xludf.DUMMYFUNCTION("""COMPUTED_VALUE"""),36700.666666666664)</f>
        <v>36700.66667</v>
      </c>
      <c r="B3680" s="1">
        <f>IFERROR(__xludf.DUMMYFUNCTION("""COMPUTED_VALUE"""),1452.18)</f>
        <v>1452.18</v>
      </c>
      <c r="C3680" s="1">
        <f>IFERROR(__xludf.DUMMYFUNCTION("""COMPUTED_VALUE"""),1459.94)</f>
        <v>1459.94</v>
      </c>
      <c r="D3680" s="1">
        <f>IFERROR(__xludf.DUMMYFUNCTION("""COMPUTED_VALUE"""),1438.31)</f>
        <v>1438.31</v>
      </c>
      <c r="E3680" s="1">
        <f>IFERROR(__xludf.DUMMYFUNCTION("""COMPUTED_VALUE"""),1441.48)</f>
        <v>1441.48</v>
      </c>
      <c r="F3680" s="1">
        <f>IFERROR(__xludf.DUMMYFUNCTION("""COMPUTED_VALUE"""),1.32437504E8)</f>
        <v>132437504</v>
      </c>
    </row>
    <row r="3681">
      <c r="A3681" s="2">
        <f>IFERROR(__xludf.DUMMYFUNCTION("""COMPUTED_VALUE"""),36703.666666666664)</f>
        <v>36703.66667</v>
      </c>
      <c r="B3681" s="1">
        <f>IFERROR(__xludf.DUMMYFUNCTION("""COMPUTED_VALUE"""),1441.48)</f>
        <v>1441.48</v>
      </c>
      <c r="C3681" s="1">
        <f>IFERROR(__xludf.DUMMYFUNCTION("""COMPUTED_VALUE"""),1459.66)</f>
        <v>1459.66</v>
      </c>
      <c r="D3681" s="1">
        <f>IFERROR(__xludf.DUMMYFUNCTION("""COMPUTED_VALUE"""),1441.48)</f>
        <v>1441.48</v>
      </c>
      <c r="E3681" s="1">
        <f>IFERROR(__xludf.DUMMYFUNCTION("""COMPUTED_VALUE"""),1455.25)</f>
        <v>1455.25</v>
      </c>
      <c r="F3681" s="1">
        <f>IFERROR(__xludf.DUMMYFUNCTION("""COMPUTED_VALUE"""),1.38906256E8)</f>
        <v>138906256</v>
      </c>
    </row>
    <row r="3682">
      <c r="A3682" s="2">
        <f>IFERROR(__xludf.DUMMYFUNCTION("""COMPUTED_VALUE"""),36704.666666666664)</f>
        <v>36704.66667</v>
      </c>
      <c r="B3682" s="1">
        <f>IFERROR(__xludf.DUMMYFUNCTION("""COMPUTED_VALUE"""),1455.31)</f>
        <v>1455.31</v>
      </c>
      <c r="C3682" s="1">
        <f>IFERROR(__xludf.DUMMYFUNCTION("""COMPUTED_VALUE"""),1463.44)</f>
        <v>1463.44</v>
      </c>
      <c r="D3682" s="1">
        <f>IFERROR(__xludf.DUMMYFUNCTION("""COMPUTED_VALUE"""),1450.55)</f>
        <v>1450.55</v>
      </c>
      <c r="E3682" s="1">
        <f>IFERROR(__xludf.DUMMYFUNCTION("""COMPUTED_VALUE"""),1450.55)</f>
        <v>1450.55</v>
      </c>
      <c r="F3682" s="1">
        <f>IFERROR(__xludf.DUMMYFUNCTION("""COMPUTED_VALUE"""),1.62890624E8)</f>
        <v>162890624</v>
      </c>
    </row>
    <row r="3683">
      <c r="A3683" s="2">
        <f>IFERROR(__xludf.DUMMYFUNCTION("""COMPUTED_VALUE"""),36705.666666666664)</f>
        <v>36705.66667</v>
      </c>
      <c r="B3683" s="1">
        <f>IFERROR(__xludf.DUMMYFUNCTION("""COMPUTED_VALUE"""),1452.57)</f>
        <v>1452.57</v>
      </c>
      <c r="C3683" s="1">
        <f>IFERROR(__xludf.DUMMYFUNCTION("""COMPUTED_VALUE"""),1467.6)</f>
        <v>1467.6</v>
      </c>
      <c r="D3683" s="1">
        <f>IFERROR(__xludf.DUMMYFUNCTION("""COMPUTED_VALUE"""),1451.51)</f>
        <v>1451.51</v>
      </c>
      <c r="E3683" s="1">
        <f>IFERROR(__xludf.DUMMYFUNCTION("""COMPUTED_VALUE"""),1454.82)</f>
        <v>1454.82</v>
      </c>
      <c r="F3683" s="1">
        <f>IFERROR(__xludf.DUMMYFUNCTION("""COMPUTED_VALUE"""),1.71109376E8)</f>
        <v>171109376</v>
      </c>
    </row>
    <row r="3684">
      <c r="A3684" s="2">
        <f>IFERROR(__xludf.DUMMYFUNCTION("""COMPUTED_VALUE"""),36706.666666666664)</f>
        <v>36706.66667</v>
      </c>
      <c r="B3684" s="1">
        <f>IFERROR(__xludf.DUMMYFUNCTION("""COMPUTED_VALUE"""),1454.82)</f>
        <v>1454.82</v>
      </c>
      <c r="C3684" s="1">
        <f>IFERROR(__xludf.DUMMYFUNCTION("""COMPUTED_VALUE"""),1455.14)</f>
        <v>1455.14</v>
      </c>
      <c r="D3684" s="1">
        <f>IFERROR(__xludf.DUMMYFUNCTION("""COMPUTED_VALUE"""),1434.63)</f>
        <v>1434.63</v>
      </c>
      <c r="E3684" s="1">
        <f>IFERROR(__xludf.DUMMYFUNCTION("""COMPUTED_VALUE"""),1442.39)</f>
        <v>1442.39</v>
      </c>
      <c r="F3684" s="1">
        <f>IFERROR(__xludf.DUMMYFUNCTION("""COMPUTED_VALUE"""),1.73578128E8)</f>
        <v>173578128</v>
      </c>
    </row>
    <row r="3685">
      <c r="A3685" s="2">
        <f>IFERROR(__xludf.DUMMYFUNCTION("""COMPUTED_VALUE"""),36707.666666666664)</f>
        <v>36707.66667</v>
      </c>
      <c r="B3685" s="1">
        <f>IFERROR(__xludf.DUMMYFUNCTION("""COMPUTED_VALUE"""),1442.39)</f>
        <v>1442.39</v>
      </c>
      <c r="C3685" s="1">
        <f>IFERROR(__xludf.DUMMYFUNCTION("""COMPUTED_VALUE"""),1454.68)</f>
        <v>1454.68</v>
      </c>
      <c r="D3685" s="1">
        <f>IFERROR(__xludf.DUMMYFUNCTION("""COMPUTED_VALUE"""),1438.71)</f>
        <v>1438.71</v>
      </c>
      <c r="E3685" s="1">
        <f>IFERROR(__xludf.DUMMYFUNCTION("""COMPUTED_VALUE"""),1454.6)</f>
        <v>1454.6</v>
      </c>
      <c r="F3685" s="1">
        <f>IFERROR(__xludf.DUMMYFUNCTION("""COMPUTED_VALUE"""),2.28078128E8)</f>
        <v>228078128</v>
      </c>
    </row>
    <row r="3686">
      <c r="A3686" s="2">
        <f>IFERROR(__xludf.DUMMYFUNCTION("""COMPUTED_VALUE"""),36710.666666666664)</f>
        <v>36710.66667</v>
      </c>
      <c r="B3686" s="1">
        <f>IFERROR(__xludf.DUMMYFUNCTION("""COMPUTED_VALUE"""),1454.6)</f>
        <v>1454.6</v>
      </c>
      <c r="C3686" s="1">
        <f>IFERROR(__xludf.DUMMYFUNCTION("""COMPUTED_VALUE"""),1469.58)</f>
        <v>1469.58</v>
      </c>
      <c r="D3686" s="1">
        <f>IFERROR(__xludf.DUMMYFUNCTION("""COMPUTED_VALUE"""),1450.85)</f>
        <v>1450.85</v>
      </c>
      <c r="E3686" s="1">
        <f>IFERROR(__xludf.DUMMYFUNCTION("""COMPUTED_VALUE"""),1469.32)</f>
        <v>1469.32</v>
      </c>
      <c r="F3686" s="1">
        <f>IFERROR(__xludf.DUMMYFUNCTION("""COMPUTED_VALUE"""),7.0609376E7)</f>
        <v>70609376</v>
      </c>
    </row>
    <row r="3687">
      <c r="A3687" s="2">
        <f>IFERROR(__xludf.DUMMYFUNCTION("""COMPUTED_VALUE"""),36712.666666666664)</f>
        <v>36712.66667</v>
      </c>
      <c r="B3687" s="1">
        <f>IFERROR(__xludf.DUMMYFUNCTION("""COMPUTED_VALUE"""),1469.54)</f>
        <v>1469.54</v>
      </c>
      <c r="C3687" s="1">
        <f>IFERROR(__xludf.DUMMYFUNCTION("""COMPUTED_VALUE"""),1469.54)</f>
        <v>1469.54</v>
      </c>
      <c r="D3687" s="1">
        <f>IFERROR(__xludf.DUMMYFUNCTION("""COMPUTED_VALUE"""),1442.45)</f>
        <v>1442.45</v>
      </c>
      <c r="E3687" s="1">
        <f>IFERROR(__xludf.DUMMYFUNCTION("""COMPUTED_VALUE"""),1446.23)</f>
        <v>1446.23</v>
      </c>
      <c r="F3687" s="1">
        <f>IFERROR(__xludf.DUMMYFUNCTION("""COMPUTED_VALUE"""),1.59265632E8)</f>
        <v>159265632</v>
      </c>
    </row>
    <row r="3688">
      <c r="A3688" s="2">
        <f>IFERROR(__xludf.DUMMYFUNCTION("""COMPUTED_VALUE"""),36713.666666666664)</f>
        <v>36713.66667</v>
      </c>
      <c r="B3688" s="1">
        <f>IFERROR(__xludf.DUMMYFUNCTION("""COMPUTED_VALUE"""),1446.23)</f>
        <v>1446.23</v>
      </c>
      <c r="C3688" s="1">
        <f>IFERROR(__xludf.DUMMYFUNCTION("""COMPUTED_VALUE"""),1461.65)</f>
        <v>1461.65</v>
      </c>
      <c r="D3688" s="1">
        <f>IFERROR(__xludf.DUMMYFUNCTION("""COMPUTED_VALUE"""),1439.56)</f>
        <v>1439.56</v>
      </c>
      <c r="E3688" s="1">
        <f>IFERROR(__xludf.DUMMYFUNCTION("""COMPUTED_VALUE"""),1456.67)</f>
        <v>1456.67</v>
      </c>
      <c r="F3688" s="1">
        <f>IFERROR(__xludf.DUMMYFUNCTION("""COMPUTED_VALUE"""),1.48015632E8)</f>
        <v>148015632</v>
      </c>
    </row>
    <row r="3689">
      <c r="A3689" s="2">
        <f>IFERROR(__xludf.DUMMYFUNCTION("""COMPUTED_VALUE"""),36714.666666666664)</f>
        <v>36714.66667</v>
      </c>
      <c r="B3689" s="1">
        <f>IFERROR(__xludf.DUMMYFUNCTION("""COMPUTED_VALUE"""),1456.67)</f>
        <v>1456.67</v>
      </c>
      <c r="C3689" s="1">
        <f>IFERROR(__xludf.DUMMYFUNCTION("""COMPUTED_VALUE"""),1484.12)</f>
        <v>1484.12</v>
      </c>
      <c r="D3689" s="1">
        <f>IFERROR(__xludf.DUMMYFUNCTION("""COMPUTED_VALUE"""),1456.67)</f>
        <v>1456.67</v>
      </c>
      <c r="E3689" s="1">
        <f>IFERROR(__xludf.DUMMYFUNCTION("""COMPUTED_VALUE"""),1478.9)</f>
        <v>1478.9</v>
      </c>
      <c r="F3689" s="1">
        <f>IFERROR(__xludf.DUMMYFUNCTION("""COMPUTED_VALUE"""),1.45578128E8)</f>
        <v>145578128</v>
      </c>
    </row>
    <row r="3690">
      <c r="A3690" s="2">
        <f>IFERROR(__xludf.DUMMYFUNCTION("""COMPUTED_VALUE"""),36717.666666666664)</f>
        <v>36717.66667</v>
      </c>
      <c r="B3690" s="1">
        <f>IFERROR(__xludf.DUMMYFUNCTION("""COMPUTED_VALUE"""),1478.9)</f>
        <v>1478.9</v>
      </c>
      <c r="C3690" s="1">
        <f>IFERROR(__xludf.DUMMYFUNCTION("""COMPUTED_VALUE"""),1486.56)</f>
        <v>1486.56</v>
      </c>
      <c r="D3690" s="1">
        <f>IFERROR(__xludf.DUMMYFUNCTION("""COMPUTED_VALUE"""),1474.76)</f>
        <v>1474.76</v>
      </c>
      <c r="E3690" s="1">
        <f>IFERROR(__xludf.DUMMYFUNCTION("""COMPUTED_VALUE"""),1475.62)</f>
        <v>1475.62</v>
      </c>
      <c r="F3690" s="1">
        <f>IFERROR(__xludf.DUMMYFUNCTION("""COMPUTED_VALUE"""),1.31046872E8)</f>
        <v>131046872</v>
      </c>
    </row>
    <row r="3691">
      <c r="A3691" s="2">
        <f>IFERROR(__xludf.DUMMYFUNCTION("""COMPUTED_VALUE"""),36718.666666666664)</f>
        <v>36718.66667</v>
      </c>
      <c r="B3691" s="1">
        <f>IFERROR(__xludf.DUMMYFUNCTION("""COMPUTED_VALUE"""),1475.62)</f>
        <v>1475.62</v>
      </c>
      <c r="C3691" s="1">
        <f>IFERROR(__xludf.DUMMYFUNCTION("""COMPUTED_VALUE"""),1488.77)</f>
        <v>1488.77</v>
      </c>
      <c r="D3691" s="1">
        <f>IFERROR(__xludf.DUMMYFUNCTION("""COMPUTED_VALUE"""),1470.48)</f>
        <v>1470.48</v>
      </c>
      <c r="E3691" s="1">
        <f>IFERROR(__xludf.DUMMYFUNCTION("""COMPUTED_VALUE"""),1480.88)</f>
        <v>1480.88</v>
      </c>
      <c r="F3691" s="1">
        <f>IFERROR(__xludf.DUMMYFUNCTION("""COMPUTED_VALUE"""),1.5320312E8)</f>
        <v>153203120</v>
      </c>
    </row>
    <row r="3692">
      <c r="A3692" s="2">
        <f>IFERROR(__xludf.DUMMYFUNCTION("""COMPUTED_VALUE"""),36719.666666666664)</f>
        <v>36719.66667</v>
      </c>
      <c r="B3692" s="1">
        <f>IFERROR(__xludf.DUMMYFUNCTION("""COMPUTED_VALUE"""),1480.88)</f>
        <v>1480.88</v>
      </c>
      <c r="C3692" s="1">
        <f>IFERROR(__xludf.DUMMYFUNCTION("""COMPUTED_VALUE"""),1497.69)</f>
        <v>1497.69</v>
      </c>
      <c r="D3692" s="1">
        <f>IFERROR(__xludf.DUMMYFUNCTION("""COMPUTED_VALUE"""),1480.88)</f>
        <v>1480.88</v>
      </c>
      <c r="E3692" s="1">
        <f>IFERROR(__xludf.DUMMYFUNCTION("""COMPUTED_VALUE"""),1492.92)</f>
        <v>1492.92</v>
      </c>
      <c r="F3692" s="1">
        <f>IFERROR(__xludf.DUMMYFUNCTION("""COMPUTED_VALUE"""),1.56437504E8)</f>
        <v>156437504</v>
      </c>
    </row>
    <row r="3693">
      <c r="A3693" s="2">
        <f>IFERROR(__xludf.DUMMYFUNCTION("""COMPUTED_VALUE"""),36720.666666666664)</f>
        <v>36720.66667</v>
      </c>
      <c r="B3693" s="1">
        <f>IFERROR(__xludf.DUMMYFUNCTION("""COMPUTED_VALUE"""),1492.92)</f>
        <v>1492.92</v>
      </c>
      <c r="C3693" s="1">
        <f>IFERROR(__xludf.DUMMYFUNCTION("""COMPUTED_VALUE"""),1501.39)</f>
        <v>1501.39</v>
      </c>
      <c r="D3693" s="1">
        <f>IFERROR(__xludf.DUMMYFUNCTION("""COMPUTED_VALUE"""),1489.65)</f>
        <v>1489.65</v>
      </c>
      <c r="E3693" s="1">
        <f>IFERROR(__xludf.DUMMYFUNCTION("""COMPUTED_VALUE"""),1495.84)</f>
        <v>1495.84</v>
      </c>
      <c r="F3693" s="1">
        <f>IFERROR(__xludf.DUMMYFUNCTION("""COMPUTED_VALUE"""),1.60437504E8)</f>
        <v>160437504</v>
      </c>
    </row>
    <row r="3694">
      <c r="A3694" s="2">
        <f>IFERROR(__xludf.DUMMYFUNCTION("""COMPUTED_VALUE"""),36721.666666666664)</f>
        <v>36721.66667</v>
      </c>
      <c r="B3694" s="1">
        <f>IFERROR(__xludf.DUMMYFUNCTION("""COMPUTED_VALUE"""),1495.2)</f>
        <v>1495.2</v>
      </c>
      <c r="C3694" s="1">
        <f>IFERROR(__xludf.DUMMYFUNCTION("""COMPUTED_VALUE"""),1509.99)</f>
        <v>1509.99</v>
      </c>
      <c r="D3694" s="1">
        <f>IFERROR(__xludf.DUMMYFUNCTION("""COMPUTED_VALUE"""),1494.8)</f>
        <v>1494.8</v>
      </c>
      <c r="E3694" s="1">
        <f>IFERROR(__xludf.DUMMYFUNCTION("""COMPUTED_VALUE"""),1509.98)</f>
        <v>1509.98</v>
      </c>
      <c r="F3694" s="1">
        <f>IFERROR(__xludf.DUMMYFUNCTION("""COMPUTED_VALUE"""),1.50093744E8)</f>
        <v>150093744</v>
      </c>
    </row>
    <row r="3695">
      <c r="A3695" s="2">
        <f>IFERROR(__xludf.DUMMYFUNCTION("""COMPUTED_VALUE"""),36724.666666666664)</f>
        <v>36724.66667</v>
      </c>
      <c r="B3695" s="1">
        <f>IFERROR(__xludf.DUMMYFUNCTION("""COMPUTED_VALUE"""),1509.98)</f>
        <v>1509.98</v>
      </c>
      <c r="C3695" s="1">
        <f>IFERROR(__xludf.DUMMYFUNCTION("""COMPUTED_VALUE"""),1517.22)</f>
        <v>1517.22</v>
      </c>
      <c r="D3695" s="1">
        <f>IFERROR(__xludf.DUMMYFUNCTION("""COMPUTED_VALUE"""),1505.26)</f>
        <v>1505.26</v>
      </c>
      <c r="E3695" s="1">
        <f>IFERROR(__xludf.DUMMYFUNCTION("""COMPUTED_VALUE"""),1510.49)</f>
        <v>1510.49</v>
      </c>
      <c r="F3695" s="1">
        <f>IFERROR(__xludf.DUMMYFUNCTION("""COMPUTED_VALUE"""),1.41562496E8)</f>
        <v>141562496</v>
      </c>
    </row>
    <row r="3696">
      <c r="A3696" s="2">
        <f>IFERROR(__xludf.DUMMYFUNCTION("""COMPUTED_VALUE"""),36725.666666666664)</f>
        <v>36725.66667</v>
      </c>
      <c r="B3696" s="1">
        <f>IFERROR(__xludf.DUMMYFUNCTION("""COMPUTED_VALUE"""),1510.49)</f>
        <v>1510.49</v>
      </c>
      <c r="C3696" s="1">
        <f>IFERROR(__xludf.DUMMYFUNCTION("""COMPUTED_VALUE"""),1510.49)</f>
        <v>1510.49</v>
      </c>
      <c r="D3696" s="1">
        <f>IFERROR(__xludf.DUMMYFUNCTION("""COMPUTED_VALUE"""),1491.35)</f>
        <v>1491.35</v>
      </c>
      <c r="E3696" s="1">
        <f>IFERROR(__xludf.DUMMYFUNCTION("""COMPUTED_VALUE"""),1493.74)</f>
        <v>1493.74</v>
      </c>
      <c r="F3696" s="1">
        <f>IFERROR(__xludf.DUMMYFUNCTION("""COMPUTED_VALUE"""),1.41921872E8)</f>
        <v>141921872</v>
      </c>
    </row>
    <row r="3697">
      <c r="A3697" s="2">
        <f>IFERROR(__xludf.DUMMYFUNCTION("""COMPUTED_VALUE"""),36726.666666666664)</f>
        <v>36726.66667</v>
      </c>
      <c r="B3697" s="1">
        <f>IFERROR(__xludf.DUMMYFUNCTION("""COMPUTED_VALUE"""),1494.99)</f>
        <v>1494.99</v>
      </c>
      <c r="C3697" s="1">
        <f>IFERROR(__xludf.DUMMYFUNCTION("""COMPUTED_VALUE"""),1494.99)</f>
        <v>1494.99</v>
      </c>
      <c r="D3697" s="1">
        <f>IFERROR(__xludf.DUMMYFUNCTION("""COMPUTED_VALUE"""),1479.92)</f>
        <v>1479.92</v>
      </c>
      <c r="E3697" s="1">
        <f>IFERROR(__xludf.DUMMYFUNCTION("""COMPUTED_VALUE"""),1481.96)</f>
        <v>1481.96</v>
      </c>
      <c r="F3697" s="1">
        <f>IFERROR(__xludf.DUMMYFUNCTION("""COMPUTED_VALUE"""),1.42093744E8)</f>
        <v>142093744</v>
      </c>
    </row>
    <row r="3698">
      <c r="A3698" s="2">
        <f>IFERROR(__xludf.DUMMYFUNCTION("""COMPUTED_VALUE"""),36727.666666666664)</f>
        <v>36727.66667</v>
      </c>
      <c r="B3698" s="1">
        <f>IFERROR(__xludf.DUMMYFUNCTION("""COMPUTED_VALUE"""),1481.96)</f>
        <v>1481.96</v>
      </c>
      <c r="C3698" s="1">
        <f>IFERROR(__xludf.DUMMYFUNCTION("""COMPUTED_VALUE"""),1501.92)</f>
        <v>1501.92</v>
      </c>
      <c r="D3698" s="1">
        <f>IFERROR(__xludf.DUMMYFUNCTION("""COMPUTED_VALUE"""),1481.96)</f>
        <v>1481.96</v>
      </c>
      <c r="E3698" s="1">
        <f>IFERROR(__xludf.DUMMYFUNCTION("""COMPUTED_VALUE"""),1495.47)</f>
        <v>1495.47</v>
      </c>
      <c r="F3698" s="1">
        <f>IFERROR(__xludf.DUMMYFUNCTION("""COMPUTED_VALUE"""),1.66343744E8)</f>
        <v>166343744</v>
      </c>
    </row>
    <row r="3699">
      <c r="A3699" s="2">
        <f>IFERROR(__xludf.DUMMYFUNCTION("""COMPUTED_VALUE"""),36728.666666666664)</f>
        <v>36728.66667</v>
      </c>
      <c r="B3699" s="1">
        <f>IFERROR(__xludf.DUMMYFUNCTION("""COMPUTED_VALUE"""),1495.57)</f>
        <v>1495.57</v>
      </c>
      <c r="C3699" s="1">
        <f>IFERROR(__xludf.DUMMYFUNCTION("""COMPUTED_VALUE"""),1495.57)</f>
        <v>1495.57</v>
      </c>
      <c r="D3699" s="1">
        <f>IFERROR(__xludf.DUMMYFUNCTION("""COMPUTED_VALUE"""),1477.91)</f>
        <v>1477.91</v>
      </c>
      <c r="E3699" s="1">
        <f>IFERROR(__xludf.DUMMYFUNCTION("""COMPUTED_VALUE"""),1480.19)</f>
        <v>1480.19</v>
      </c>
      <c r="F3699" s="1">
        <f>IFERROR(__xludf.DUMMYFUNCTION("""COMPUTED_VALUE"""),1.5129688E8)</f>
        <v>151296880</v>
      </c>
    </row>
    <row r="3700">
      <c r="A3700" s="2">
        <f>IFERROR(__xludf.DUMMYFUNCTION("""COMPUTED_VALUE"""),36731.666666666664)</f>
        <v>36731.66667</v>
      </c>
      <c r="B3700" s="1">
        <f>IFERROR(__xludf.DUMMYFUNCTION("""COMPUTED_VALUE"""),1485.88)</f>
        <v>1485.88</v>
      </c>
      <c r="C3700" s="1">
        <f>IFERROR(__xludf.DUMMYFUNCTION("""COMPUTED_VALUE"""),1485.88)</f>
        <v>1485.88</v>
      </c>
      <c r="D3700" s="1">
        <f>IFERROR(__xludf.DUMMYFUNCTION("""COMPUTED_VALUE"""),1463.8)</f>
        <v>1463.8</v>
      </c>
      <c r="E3700" s="1">
        <f>IFERROR(__xludf.DUMMYFUNCTION("""COMPUTED_VALUE"""),1464.29)</f>
        <v>1464.29</v>
      </c>
      <c r="F3700" s="1">
        <f>IFERROR(__xludf.DUMMYFUNCTION("""COMPUTED_VALUE"""),1.3754688E8)</f>
        <v>137546880</v>
      </c>
    </row>
    <row r="3701">
      <c r="A3701" s="2">
        <f>IFERROR(__xludf.DUMMYFUNCTION("""COMPUTED_VALUE"""),36732.666666666664)</f>
        <v>36732.66667</v>
      </c>
      <c r="B3701" s="1">
        <f>IFERROR(__xludf.DUMMYFUNCTION("""COMPUTED_VALUE"""),1464.29)</f>
        <v>1464.29</v>
      </c>
      <c r="C3701" s="1">
        <f>IFERROR(__xludf.DUMMYFUNCTION("""COMPUTED_VALUE"""),1476.23)</f>
        <v>1476.23</v>
      </c>
      <c r="D3701" s="1">
        <f>IFERROR(__xludf.DUMMYFUNCTION("""COMPUTED_VALUE"""),1464.29)</f>
        <v>1464.29</v>
      </c>
      <c r="E3701" s="1">
        <f>IFERROR(__xludf.DUMMYFUNCTION("""COMPUTED_VALUE"""),1474.47)</f>
        <v>1474.47</v>
      </c>
      <c r="F3701" s="1">
        <f>IFERROR(__xludf.DUMMYFUNCTION("""COMPUTED_VALUE"""),1.51468752E8)</f>
        <v>151468752</v>
      </c>
    </row>
    <row r="3702">
      <c r="A3702" s="2">
        <f>IFERROR(__xludf.DUMMYFUNCTION("""COMPUTED_VALUE"""),36733.666666666664)</f>
        <v>36733.66667</v>
      </c>
      <c r="B3702" s="1">
        <f>IFERROR(__xludf.DUMMYFUNCTION("""COMPUTED_VALUE"""),1471.55)</f>
        <v>1471.55</v>
      </c>
      <c r="C3702" s="1">
        <f>IFERROR(__xludf.DUMMYFUNCTION("""COMPUTED_VALUE"""),1472.08)</f>
        <v>1472.08</v>
      </c>
      <c r="D3702" s="1">
        <f>IFERROR(__xludf.DUMMYFUNCTION("""COMPUTED_VALUE"""),1452.42)</f>
        <v>1452.42</v>
      </c>
      <c r="E3702" s="1">
        <f>IFERROR(__xludf.DUMMYFUNCTION("""COMPUTED_VALUE"""),1452.42)</f>
        <v>1452.42</v>
      </c>
      <c r="F3702" s="1">
        <f>IFERROR(__xludf.DUMMYFUNCTION("""COMPUTED_VALUE"""),1.93093744E8)</f>
        <v>193093744</v>
      </c>
    </row>
    <row r="3703">
      <c r="A3703" s="2">
        <f>IFERROR(__xludf.DUMMYFUNCTION("""COMPUTED_VALUE"""),36734.666666666664)</f>
        <v>36734.66667</v>
      </c>
      <c r="B3703" s="1">
        <f>IFERROR(__xludf.DUMMYFUNCTION("""COMPUTED_VALUE"""),1464.91)</f>
        <v>1464.91</v>
      </c>
      <c r="C3703" s="1">
        <f>IFERROR(__xludf.DUMMYFUNCTION("""COMPUTED_VALUE"""),1464.91)</f>
        <v>1464.91</v>
      </c>
      <c r="D3703" s="1">
        <f>IFERROR(__xludf.DUMMYFUNCTION("""COMPUTED_VALUE"""),1445.43)</f>
        <v>1445.43</v>
      </c>
      <c r="E3703" s="1">
        <f>IFERROR(__xludf.DUMMYFUNCTION("""COMPUTED_VALUE"""),1449.63)</f>
        <v>1449.63</v>
      </c>
      <c r="F3703" s="1">
        <f>IFERROR(__xludf.DUMMYFUNCTION("""COMPUTED_VALUE"""),1.80687504E8)</f>
        <v>180687504</v>
      </c>
    </row>
    <row r="3704">
      <c r="A3704" s="2">
        <f>IFERROR(__xludf.DUMMYFUNCTION("""COMPUTED_VALUE"""),36735.666666666664)</f>
        <v>36735.66667</v>
      </c>
      <c r="B3704" s="1">
        <f>IFERROR(__xludf.DUMMYFUNCTION("""COMPUTED_VALUE"""),1449.62)</f>
        <v>1449.62</v>
      </c>
      <c r="C3704" s="1">
        <f>IFERROR(__xludf.DUMMYFUNCTION("""COMPUTED_VALUE"""),1456.68)</f>
        <v>1456.68</v>
      </c>
      <c r="D3704" s="1">
        <f>IFERROR(__xludf.DUMMYFUNCTION("""COMPUTED_VALUE"""),1413.89)</f>
        <v>1413.89</v>
      </c>
      <c r="E3704" s="1">
        <f>IFERROR(__xludf.DUMMYFUNCTION("""COMPUTED_VALUE"""),1419.89)</f>
        <v>1419.89</v>
      </c>
      <c r="F3704" s="1">
        <f>IFERROR(__xludf.DUMMYFUNCTION("""COMPUTED_VALUE"""),1.53124992E8)</f>
        <v>153124992</v>
      </c>
    </row>
    <row r="3705">
      <c r="A3705" s="2">
        <f>IFERROR(__xludf.DUMMYFUNCTION("""COMPUTED_VALUE"""),36738.666666666664)</f>
        <v>36738.66667</v>
      </c>
      <c r="B3705" s="1">
        <f>IFERROR(__xludf.DUMMYFUNCTION("""COMPUTED_VALUE"""),1437.65)</f>
        <v>1437.65</v>
      </c>
      <c r="C3705" s="1">
        <f>IFERROR(__xludf.DUMMYFUNCTION("""COMPUTED_VALUE"""),1437.65)</f>
        <v>1437.65</v>
      </c>
      <c r="D3705" s="1">
        <f>IFERROR(__xludf.DUMMYFUNCTION("""COMPUTED_VALUE"""),1418.71)</f>
        <v>1418.71</v>
      </c>
      <c r="E3705" s="1">
        <f>IFERROR(__xludf.DUMMYFUNCTION("""COMPUTED_VALUE"""),1430.83)</f>
        <v>1430.83</v>
      </c>
      <c r="F3705" s="1">
        <f>IFERROR(__xludf.DUMMYFUNCTION("""COMPUTED_VALUE"""),1.48843744E8)</f>
        <v>148843744</v>
      </c>
    </row>
    <row r="3706">
      <c r="A3706" s="2">
        <f>IFERROR(__xludf.DUMMYFUNCTION("""COMPUTED_VALUE"""),36739.666666666664)</f>
        <v>36739.66667</v>
      </c>
      <c r="B3706" s="1">
        <f>IFERROR(__xludf.DUMMYFUNCTION("""COMPUTED_VALUE"""),1430.83)</f>
        <v>1430.83</v>
      </c>
      <c r="C3706" s="1">
        <f>IFERROR(__xludf.DUMMYFUNCTION("""COMPUTED_VALUE"""),1443.54)</f>
        <v>1443.54</v>
      </c>
      <c r="D3706" s="1">
        <f>IFERROR(__xludf.DUMMYFUNCTION("""COMPUTED_VALUE"""),1428.96)</f>
        <v>1428.96</v>
      </c>
      <c r="E3706" s="1">
        <f>IFERROR(__xludf.DUMMYFUNCTION("""COMPUTED_VALUE"""),1438.1)</f>
        <v>1438.1</v>
      </c>
      <c r="F3706" s="1">
        <f>IFERROR(__xludf.DUMMYFUNCTION("""COMPUTED_VALUE"""),1.46671872E8)</f>
        <v>146671872</v>
      </c>
    </row>
    <row r="3707">
      <c r="A3707" s="2">
        <f>IFERROR(__xludf.DUMMYFUNCTION("""COMPUTED_VALUE"""),36740.666666666664)</f>
        <v>36740.66667</v>
      </c>
      <c r="B3707" s="1">
        <f>IFERROR(__xludf.DUMMYFUNCTION("""COMPUTED_VALUE"""),1434.08)</f>
        <v>1434.08</v>
      </c>
      <c r="C3707" s="1">
        <f>IFERROR(__xludf.DUMMYFUNCTION("""COMPUTED_VALUE"""),1451.59)</f>
        <v>1451.59</v>
      </c>
      <c r="D3707" s="1">
        <f>IFERROR(__xludf.DUMMYFUNCTION("""COMPUTED_VALUE"""),1434.08)</f>
        <v>1434.08</v>
      </c>
      <c r="E3707" s="1">
        <f>IFERROR(__xludf.DUMMYFUNCTION("""COMPUTED_VALUE"""),1438.69)</f>
        <v>1438.69</v>
      </c>
      <c r="F3707" s="1">
        <f>IFERROR(__xludf.DUMMYFUNCTION("""COMPUTED_VALUE"""),1.55390624E8)</f>
        <v>155390624</v>
      </c>
    </row>
    <row r="3708">
      <c r="A3708" s="2">
        <f>IFERROR(__xludf.DUMMYFUNCTION("""COMPUTED_VALUE"""),36741.666666666664)</f>
        <v>36741.66667</v>
      </c>
      <c r="B3708" s="1">
        <f>IFERROR(__xludf.DUMMYFUNCTION("""COMPUTED_VALUE"""),1426.25)</f>
        <v>1426.25</v>
      </c>
      <c r="C3708" s="1">
        <f>IFERROR(__xludf.DUMMYFUNCTION("""COMPUTED_VALUE"""),1454.19)</f>
        <v>1454.19</v>
      </c>
      <c r="D3708" s="1">
        <f>IFERROR(__xludf.DUMMYFUNCTION("""COMPUTED_VALUE"""),1425.43)</f>
        <v>1425.43</v>
      </c>
      <c r="E3708" s="1">
        <f>IFERROR(__xludf.DUMMYFUNCTION("""COMPUTED_VALUE"""),1452.56)</f>
        <v>1452.56</v>
      </c>
      <c r="F3708" s="1">
        <f>IFERROR(__xludf.DUMMYFUNCTION("""COMPUTED_VALUE"""),1.71187504E8)</f>
        <v>171187504</v>
      </c>
    </row>
    <row r="3709">
      <c r="A3709" s="2">
        <f>IFERROR(__xludf.DUMMYFUNCTION("""COMPUTED_VALUE"""),36742.666666666664)</f>
        <v>36742.66667</v>
      </c>
      <c r="B3709" s="1">
        <f>IFERROR(__xludf.DUMMYFUNCTION("""COMPUTED_VALUE"""),1452.06)</f>
        <v>1452.06</v>
      </c>
      <c r="C3709" s="1">
        <f>IFERROR(__xludf.DUMMYFUNCTION("""COMPUTED_VALUE"""),1462.93)</f>
        <v>1462.93</v>
      </c>
      <c r="D3709" s="1">
        <f>IFERROR(__xludf.DUMMYFUNCTION("""COMPUTED_VALUE"""),1452.06)</f>
        <v>1452.06</v>
      </c>
      <c r="E3709" s="1">
        <f>IFERROR(__xludf.DUMMYFUNCTION("""COMPUTED_VALUE"""),1462.93)</f>
        <v>1462.93</v>
      </c>
      <c r="F3709" s="1">
        <f>IFERROR(__xludf.DUMMYFUNCTION("""COMPUTED_VALUE"""),1.49375008E8)</f>
        <v>149375008</v>
      </c>
    </row>
    <row r="3710">
      <c r="A3710" s="2">
        <f>IFERROR(__xludf.DUMMYFUNCTION("""COMPUTED_VALUE"""),36745.666666666664)</f>
        <v>36745.66667</v>
      </c>
      <c r="B3710" s="1">
        <f>IFERROR(__xludf.DUMMYFUNCTION("""COMPUTED_VALUE"""),1460.72)</f>
        <v>1460.72</v>
      </c>
      <c r="C3710" s="1">
        <f>IFERROR(__xludf.DUMMYFUNCTION("""COMPUTED_VALUE"""),1480.8)</f>
        <v>1480.8</v>
      </c>
      <c r="D3710" s="1">
        <f>IFERROR(__xludf.DUMMYFUNCTION("""COMPUTED_VALUE"""),1460.72)</f>
        <v>1460.72</v>
      </c>
      <c r="E3710" s="1">
        <f>IFERROR(__xludf.DUMMYFUNCTION("""COMPUTED_VALUE"""),1479.32)</f>
        <v>1479.32</v>
      </c>
      <c r="F3710" s="1">
        <f>IFERROR(__xludf.DUMMYFUNCTION("""COMPUTED_VALUE"""),1.33562496E8)</f>
        <v>133562496</v>
      </c>
    </row>
    <row r="3711">
      <c r="A3711" s="2">
        <f>IFERROR(__xludf.DUMMYFUNCTION("""COMPUTED_VALUE"""),36746.666666666664)</f>
        <v>36746.66667</v>
      </c>
      <c r="B3711" s="1">
        <f>IFERROR(__xludf.DUMMYFUNCTION("""COMPUTED_VALUE"""),1479.32)</f>
        <v>1479.32</v>
      </c>
      <c r="C3711" s="1">
        <f>IFERROR(__xludf.DUMMYFUNCTION("""COMPUTED_VALUE"""),1484.4)</f>
        <v>1484.4</v>
      </c>
      <c r="D3711" s="1">
        <f>IFERROR(__xludf.DUMMYFUNCTION("""COMPUTED_VALUE"""),1472.53)</f>
        <v>1472.53</v>
      </c>
      <c r="E3711" s="1">
        <f>IFERROR(__xludf.DUMMYFUNCTION("""COMPUTED_VALUE"""),1482.81)</f>
        <v>1482.81</v>
      </c>
      <c r="F3711" s="1">
        <f>IFERROR(__xludf.DUMMYFUNCTION("""COMPUTED_VALUE"""),1.55031248E8)</f>
        <v>155031248</v>
      </c>
    </row>
    <row r="3712">
      <c r="A3712" s="2">
        <f>IFERROR(__xludf.DUMMYFUNCTION("""COMPUTED_VALUE"""),36747.666666666664)</f>
        <v>36747.66667</v>
      </c>
      <c r="B3712" s="1">
        <f>IFERROR(__xludf.DUMMYFUNCTION("""COMPUTED_VALUE"""),1482.8)</f>
        <v>1482.8</v>
      </c>
      <c r="C3712" s="1">
        <f>IFERROR(__xludf.DUMMYFUNCTION("""COMPUTED_VALUE"""),1490.37)</f>
        <v>1490.37</v>
      </c>
      <c r="D3712" s="1">
        <f>IFERROR(__xludf.DUMMYFUNCTION("""COMPUTED_VALUE"""),1471.32)</f>
        <v>1471.32</v>
      </c>
      <c r="E3712" s="1">
        <f>IFERROR(__xludf.DUMMYFUNCTION("""COMPUTED_VALUE"""),1472.87)</f>
        <v>1472.87</v>
      </c>
      <c r="F3712" s="1">
        <f>IFERROR(__xludf.DUMMYFUNCTION("""COMPUTED_VALUE"""),1.64687504E8)</f>
        <v>164687504</v>
      </c>
    </row>
    <row r="3713">
      <c r="A3713" s="2">
        <f>IFERROR(__xludf.DUMMYFUNCTION("""COMPUTED_VALUE"""),36748.666666666664)</f>
        <v>36748.66667</v>
      </c>
      <c r="B3713" s="1">
        <f>IFERROR(__xludf.DUMMYFUNCTION("""COMPUTED_VALUE"""),1472.87)</f>
        <v>1472.87</v>
      </c>
      <c r="C3713" s="1">
        <f>IFERROR(__xludf.DUMMYFUNCTION("""COMPUTED_VALUE"""),1475.19)</f>
        <v>1475.19</v>
      </c>
      <c r="D3713" s="1">
        <f>IFERROR(__xludf.DUMMYFUNCTION("""COMPUTED_VALUE"""),1459.85)</f>
        <v>1459.85</v>
      </c>
      <c r="E3713" s="1">
        <f>IFERROR(__xludf.DUMMYFUNCTION("""COMPUTED_VALUE"""),1460.25)</f>
        <v>1460.25</v>
      </c>
      <c r="F3713" s="1">
        <f>IFERROR(__xludf.DUMMYFUNCTION("""COMPUTED_VALUE"""),1.47E8)</f>
        <v>147000000</v>
      </c>
    </row>
    <row r="3714">
      <c r="A3714" s="2">
        <f>IFERROR(__xludf.DUMMYFUNCTION("""COMPUTED_VALUE"""),36749.666666666664)</f>
        <v>36749.66667</v>
      </c>
      <c r="B3714" s="1">
        <f>IFERROR(__xludf.DUMMYFUNCTION("""COMPUTED_VALUE"""),1460.25)</f>
        <v>1460.25</v>
      </c>
      <c r="C3714" s="1">
        <f>IFERROR(__xludf.DUMMYFUNCTION("""COMPUTED_VALUE"""),1475.72)</f>
        <v>1475.72</v>
      </c>
      <c r="D3714" s="1">
        <f>IFERROR(__xludf.DUMMYFUNCTION("""COMPUTED_VALUE"""),1453.06)</f>
        <v>1453.06</v>
      </c>
      <c r="E3714" s="1">
        <f>IFERROR(__xludf.DUMMYFUNCTION("""COMPUTED_VALUE"""),1471.84)</f>
        <v>1471.84</v>
      </c>
      <c r="F3714" s="1">
        <f>IFERROR(__xludf.DUMMYFUNCTION("""COMPUTED_VALUE"""),1.30546872E8)</f>
        <v>130546872</v>
      </c>
    </row>
    <row r="3715">
      <c r="A3715" s="2">
        <f>IFERROR(__xludf.DUMMYFUNCTION("""COMPUTED_VALUE"""),36752.666666666664)</f>
        <v>36752.66667</v>
      </c>
      <c r="B3715" s="1">
        <f>IFERROR(__xludf.DUMMYFUNCTION("""COMPUTED_VALUE"""),1471.84)</f>
        <v>1471.84</v>
      </c>
      <c r="C3715" s="1">
        <f>IFERROR(__xludf.DUMMYFUNCTION("""COMPUTED_VALUE"""),1491.64)</f>
        <v>1491.64</v>
      </c>
      <c r="D3715" s="1">
        <f>IFERROR(__xludf.DUMMYFUNCTION("""COMPUTED_VALUE"""),1468.56)</f>
        <v>1468.56</v>
      </c>
      <c r="E3715" s="1">
        <f>IFERROR(__xludf.DUMMYFUNCTION("""COMPUTED_VALUE"""),1491.56)</f>
        <v>1491.56</v>
      </c>
      <c r="F3715" s="1">
        <f>IFERROR(__xludf.DUMMYFUNCTION("""COMPUTED_VALUE"""),1.22468752E8)</f>
        <v>122468752</v>
      </c>
    </row>
    <row r="3716">
      <c r="A3716" s="2">
        <f>IFERROR(__xludf.DUMMYFUNCTION("""COMPUTED_VALUE"""),36753.666666666664)</f>
        <v>36753.66667</v>
      </c>
      <c r="B3716" s="1">
        <f>IFERROR(__xludf.DUMMYFUNCTION("""COMPUTED_VALUE"""),1491.56)</f>
        <v>1491.56</v>
      </c>
      <c r="C3716" s="1">
        <f>IFERROR(__xludf.DUMMYFUNCTION("""COMPUTED_VALUE"""),1493.12)</f>
        <v>1493.12</v>
      </c>
      <c r="D3716" s="1">
        <f>IFERROR(__xludf.DUMMYFUNCTION("""COMPUTED_VALUE"""),1482.74)</f>
        <v>1482.74</v>
      </c>
      <c r="E3716" s="1">
        <f>IFERROR(__xludf.DUMMYFUNCTION("""COMPUTED_VALUE"""),1484.43)</f>
        <v>1484.43</v>
      </c>
      <c r="F3716" s="1">
        <f>IFERROR(__xludf.DUMMYFUNCTION("""COMPUTED_VALUE"""),1.39984368E8)</f>
        <v>139984368</v>
      </c>
    </row>
    <row r="3717">
      <c r="A3717" s="2">
        <f>IFERROR(__xludf.DUMMYFUNCTION("""COMPUTED_VALUE"""),36754.666666666664)</f>
        <v>36754.66667</v>
      </c>
      <c r="B3717" s="1">
        <f>IFERROR(__xludf.DUMMYFUNCTION("""COMPUTED_VALUE"""),1484.43)</f>
        <v>1484.43</v>
      </c>
      <c r="C3717" s="1">
        <f>IFERROR(__xludf.DUMMYFUNCTION("""COMPUTED_VALUE"""),1496.09)</f>
        <v>1496.09</v>
      </c>
      <c r="D3717" s="1">
        <f>IFERROR(__xludf.DUMMYFUNCTION("""COMPUTED_VALUE"""),1475.74)</f>
        <v>1475.74</v>
      </c>
      <c r="E3717" s="1">
        <f>IFERROR(__xludf.DUMMYFUNCTION("""COMPUTED_VALUE"""),1479.85)</f>
        <v>1479.85</v>
      </c>
      <c r="F3717" s="1">
        <f>IFERROR(__xludf.DUMMYFUNCTION("""COMPUTED_VALUE"""),1.45281248E8)</f>
        <v>145281248</v>
      </c>
    </row>
    <row r="3718">
      <c r="A3718" s="2">
        <f>IFERROR(__xludf.DUMMYFUNCTION("""COMPUTED_VALUE"""),36755.666666666664)</f>
        <v>36755.66667</v>
      </c>
      <c r="B3718" s="1">
        <f>IFERROR(__xludf.DUMMYFUNCTION("""COMPUTED_VALUE"""),1479.85)</f>
        <v>1479.85</v>
      </c>
      <c r="C3718" s="1">
        <f>IFERROR(__xludf.DUMMYFUNCTION("""COMPUTED_VALUE"""),1499.32)</f>
        <v>1499.32</v>
      </c>
      <c r="D3718" s="1">
        <f>IFERROR(__xludf.DUMMYFUNCTION("""COMPUTED_VALUE"""),1479.85)</f>
        <v>1479.85</v>
      </c>
      <c r="E3718" s="1">
        <f>IFERROR(__xludf.DUMMYFUNCTION("""COMPUTED_VALUE"""),1496.07)</f>
        <v>1496.07</v>
      </c>
      <c r="F3718" s="1">
        <f>IFERROR(__xludf.DUMMYFUNCTION("""COMPUTED_VALUE"""),1.44124992E8)</f>
        <v>144124992</v>
      </c>
    </row>
    <row r="3719">
      <c r="A3719" s="2">
        <f>IFERROR(__xludf.DUMMYFUNCTION("""COMPUTED_VALUE"""),36756.666666666664)</f>
        <v>36756.66667</v>
      </c>
      <c r="B3719" s="1">
        <f>IFERROR(__xludf.DUMMYFUNCTION("""COMPUTED_VALUE"""),1496.07)</f>
        <v>1496.07</v>
      </c>
      <c r="C3719" s="1">
        <f>IFERROR(__xludf.DUMMYFUNCTION("""COMPUTED_VALUE"""),1499.47)</f>
        <v>1499.47</v>
      </c>
      <c r="D3719" s="1">
        <f>IFERROR(__xludf.DUMMYFUNCTION("""COMPUTED_VALUE"""),1488.99)</f>
        <v>1488.99</v>
      </c>
      <c r="E3719" s="1">
        <f>IFERROR(__xludf.DUMMYFUNCTION("""COMPUTED_VALUE"""),1491.72)</f>
        <v>1491.72</v>
      </c>
      <c r="F3719" s="1">
        <f>IFERROR(__xludf.DUMMYFUNCTION("""COMPUTED_VALUE"""),1.28343752E8)</f>
        <v>128343752</v>
      </c>
    </row>
    <row r="3720">
      <c r="A3720" s="2">
        <f>IFERROR(__xludf.DUMMYFUNCTION("""COMPUTED_VALUE"""),36759.666666666664)</f>
        <v>36759.66667</v>
      </c>
      <c r="B3720" s="1">
        <f>IFERROR(__xludf.DUMMYFUNCTION("""COMPUTED_VALUE"""),1491.72)</f>
        <v>1491.72</v>
      </c>
      <c r="C3720" s="1">
        <f>IFERROR(__xludf.DUMMYFUNCTION("""COMPUTED_VALUE"""),1502.84)</f>
        <v>1502.84</v>
      </c>
      <c r="D3720" s="1">
        <f>IFERROR(__xludf.DUMMYFUNCTION("""COMPUTED_VALUE"""),1491.13)</f>
        <v>1491.13</v>
      </c>
      <c r="E3720" s="1">
        <f>IFERROR(__xludf.DUMMYFUNCTION("""COMPUTED_VALUE"""),1499.48)</f>
        <v>1499.48</v>
      </c>
      <c r="F3720" s="1">
        <f>IFERROR(__xludf.DUMMYFUNCTION("""COMPUTED_VALUE"""),1.14312496E8)</f>
        <v>114312496</v>
      </c>
    </row>
    <row r="3721">
      <c r="A3721" s="2">
        <f>IFERROR(__xludf.DUMMYFUNCTION("""COMPUTED_VALUE"""),36760.666666666664)</f>
        <v>36760.66667</v>
      </c>
      <c r="B3721" s="1">
        <f>IFERROR(__xludf.DUMMYFUNCTION("""COMPUTED_VALUE"""),1499.48)</f>
        <v>1499.48</v>
      </c>
      <c r="C3721" s="1">
        <f>IFERROR(__xludf.DUMMYFUNCTION("""COMPUTED_VALUE"""),1508.45)</f>
        <v>1508.45</v>
      </c>
      <c r="D3721" s="1">
        <f>IFERROR(__xludf.DUMMYFUNCTION("""COMPUTED_VALUE"""),1497.42)</f>
        <v>1497.42</v>
      </c>
      <c r="E3721" s="1">
        <f>IFERROR(__xludf.DUMMYFUNCTION("""COMPUTED_VALUE"""),1498.13)</f>
        <v>1498.13</v>
      </c>
      <c r="F3721" s="1">
        <f>IFERROR(__xludf.DUMMYFUNCTION("""COMPUTED_VALUE"""),1.27937504E8)</f>
        <v>127937504</v>
      </c>
    </row>
    <row r="3722">
      <c r="A3722" s="2">
        <f>IFERROR(__xludf.DUMMYFUNCTION("""COMPUTED_VALUE"""),36761.666666666664)</f>
        <v>36761.66667</v>
      </c>
      <c r="B3722" s="1">
        <f>IFERROR(__xludf.DUMMYFUNCTION("""COMPUTED_VALUE"""),1498.13)</f>
        <v>1498.13</v>
      </c>
      <c r="C3722" s="1">
        <f>IFERROR(__xludf.DUMMYFUNCTION("""COMPUTED_VALUE"""),1507.2)</f>
        <v>1507.2</v>
      </c>
      <c r="D3722" s="1">
        <f>IFERROR(__xludf.DUMMYFUNCTION("""COMPUTED_VALUE"""),1489.52)</f>
        <v>1489.52</v>
      </c>
      <c r="E3722" s="1">
        <f>IFERROR(__xludf.DUMMYFUNCTION("""COMPUTED_VALUE"""),1505.97)</f>
        <v>1505.97</v>
      </c>
      <c r="F3722" s="1">
        <f>IFERROR(__xludf.DUMMYFUNCTION("""COMPUTED_VALUE"""),1.36093744E8)</f>
        <v>136093744</v>
      </c>
    </row>
    <row r="3723">
      <c r="A3723" s="2">
        <f>IFERROR(__xludf.DUMMYFUNCTION("""COMPUTED_VALUE"""),36762.666666666664)</f>
        <v>36762.66667</v>
      </c>
      <c r="B3723" s="1">
        <f>IFERROR(__xludf.DUMMYFUNCTION("""COMPUTED_VALUE"""),1505.97)</f>
        <v>1505.97</v>
      </c>
      <c r="C3723" s="1">
        <f>IFERROR(__xludf.DUMMYFUNCTION("""COMPUTED_VALUE"""),1511.16)</f>
        <v>1511.16</v>
      </c>
      <c r="D3723" s="1">
        <f>IFERROR(__xludf.DUMMYFUNCTION("""COMPUTED_VALUE"""),1501.25)</f>
        <v>1501.25</v>
      </c>
      <c r="E3723" s="1">
        <f>IFERROR(__xludf.DUMMYFUNCTION("""COMPUTED_VALUE"""),1508.31)</f>
        <v>1508.31</v>
      </c>
      <c r="F3723" s="1">
        <f>IFERROR(__xludf.DUMMYFUNCTION("""COMPUTED_VALUE"""),1.30796872E8)</f>
        <v>130796872</v>
      </c>
    </row>
    <row r="3724">
      <c r="A3724" s="2">
        <f>IFERROR(__xludf.DUMMYFUNCTION("""COMPUTED_VALUE"""),36763.666666666664)</f>
        <v>36763.66667</v>
      </c>
      <c r="B3724" s="1">
        <f>IFERROR(__xludf.DUMMYFUNCTION("""COMPUTED_VALUE"""),1508.31)</f>
        <v>1508.31</v>
      </c>
      <c r="C3724" s="1">
        <f>IFERROR(__xludf.DUMMYFUNCTION("""COMPUTED_VALUE"""),1513.47)</f>
        <v>1513.47</v>
      </c>
      <c r="D3724" s="1">
        <f>IFERROR(__xludf.DUMMYFUNCTION("""COMPUTED_VALUE"""),1505.09)</f>
        <v>1505.09</v>
      </c>
      <c r="E3724" s="1">
        <f>IFERROR(__xludf.DUMMYFUNCTION("""COMPUTED_VALUE"""),1506.46)</f>
        <v>1506.46</v>
      </c>
      <c r="F3724" s="1">
        <f>IFERROR(__xludf.DUMMYFUNCTION("""COMPUTED_VALUE"""),1.07125E8)</f>
        <v>107125000</v>
      </c>
    </row>
    <row r="3725">
      <c r="A3725" s="2">
        <f>IFERROR(__xludf.DUMMYFUNCTION("""COMPUTED_VALUE"""),36766.666666666664)</f>
        <v>36766.66667</v>
      </c>
      <c r="B3725" s="1">
        <f>IFERROR(__xludf.DUMMYFUNCTION("""COMPUTED_VALUE"""),1506.45)</f>
        <v>1506.45</v>
      </c>
      <c r="C3725" s="1">
        <f>IFERROR(__xludf.DUMMYFUNCTION("""COMPUTED_VALUE"""),1523.95)</f>
        <v>1523.95</v>
      </c>
      <c r="D3725" s="1">
        <f>IFERROR(__xludf.DUMMYFUNCTION("""COMPUTED_VALUE"""),1506.45)</f>
        <v>1506.45</v>
      </c>
      <c r="E3725" s="1">
        <f>IFERROR(__xludf.DUMMYFUNCTION("""COMPUTED_VALUE"""),1514.09)</f>
        <v>1514.09</v>
      </c>
      <c r="F3725" s="1">
        <f>IFERROR(__xludf.DUMMYFUNCTION("""COMPUTED_VALUE"""),1.14625E8)</f>
        <v>114625000</v>
      </c>
    </row>
    <row r="3726">
      <c r="A3726" s="2">
        <f>IFERROR(__xludf.DUMMYFUNCTION("""COMPUTED_VALUE"""),36767.666666666664)</f>
        <v>36767.66667</v>
      </c>
      <c r="B3726" s="1">
        <f>IFERROR(__xludf.DUMMYFUNCTION("""COMPUTED_VALUE"""),1514.09)</f>
        <v>1514.09</v>
      </c>
      <c r="C3726" s="1">
        <f>IFERROR(__xludf.DUMMYFUNCTION("""COMPUTED_VALUE"""),1514.89)</f>
        <v>1514.89</v>
      </c>
      <c r="D3726" s="1">
        <f>IFERROR(__xludf.DUMMYFUNCTION("""COMPUTED_VALUE"""),1505.48)</f>
        <v>1505.48</v>
      </c>
      <c r="E3726" s="1">
        <f>IFERROR(__xludf.DUMMYFUNCTION("""COMPUTED_VALUE"""),1509.84)</f>
        <v>1509.84</v>
      </c>
      <c r="F3726" s="1">
        <f>IFERROR(__xludf.DUMMYFUNCTION("""COMPUTED_VALUE"""),1.24312496E8)</f>
        <v>124312496</v>
      </c>
    </row>
    <row r="3727">
      <c r="A3727" s="2">
        <f>IFERROR(__xludf.DUMMYFUNCTION("""COMPUTED_VALUE"""),36768.666666666664)</f>
        <v>36768.66667</v>
      </c>
      <c r="B3727" s="1">
        <f>IFERROR(__xludf.DUMMYFUNCTION("""COMPUTED_VALUE"""),1509.84)</f>
        <v>1509.84</v>
      </c>
      <c r="C3727" s="1">
        <f>IFERROR(__xludf.DUMMYFUNCTION("""COMPUTED_VALUE"""),1510.49)</f>
        <v>1510.49</v>
      </c>
      <c r="D3727" s="1">
        <f>IFERROR(__xludf.DUMMYFUNCTION("""COMPUTED_VALUE"""),1500.09)</f>
        <v>1500.09</v>
      </c>
      <c r="E3727" s="1">
        <f>IFERROR(__xludf.DUMMYFUNCTION("""COMPUTED_VALUE"""),1502.59)</f>
        <v>1502.59</v>
      </c>
      <c r="F3727" s="1">
        <f>IFERROR(__xludf.DUMMYFUNCTION("""COMPUTED_VALUE"""),1.27875E8)</f>
        <v>127875000</v>
      </c>
    </row>
    <row r="3728">
      <c r="A3728" s="2">
        <f>IFERROR(__xludf.DUMMYFUNCTION("""COMPUTED_VALUE"""),36769.666666666664)</f>
        <v>36769.66667</v>
      </c>
      <c r="B3728" s="1">
        <f>IFERROR(__xludf.DUMMYFUNCTION("""COMPUTED_VALUE"""),1502.59)</f>
        <v>1502.59</v>
      </c>
      <c r="C3728" s="1">
        <f>IFERROR(__xludf.DUMMYFUNCTION("""COMPUTED_VALUE"""),1525.21)</f>
        <v>1525.21</v>
      </c>
      <c r="D3728" s="1">
        <f>IFERROR(__xludf.DUMMYFUNCTION("""COMPUTED_VALUE"""),1502.59)</f>
        <v>1502.59</v>
      </c>
      <c r="E3728" s="1">
        <f>IFERROR(__xludf.DUMMYFUNCTION("""COMPUTED_VALUE"""),1517.68)</f>
        <v>1517.68</v>
      </c>
      <c r="F3728" s="1">
        <f>IFERROR(__xludf.DUMMYFUNCTION("""COMPUTED_VALUE"""),1.65093744E8)</f>
        <v>165093744</v>
      </c>
    </row>
    <row r="3729">
      <c r="A3729" s="2">
        <f>IFERROR(__xludf.DUMMYFUNCTION("""COMPUTED_VALUE"""),36770.666666666664)</f>
        <v>36770.66667</v>
      </c>
      <c r="B3729" s="1">
        <f>IFERROR(__xludf.DUMMYFUNCTION("""COMPUTED_VALUE"""),1517.68)</f>
        <v>1517.68</v>
      </c>
      <c r="C3729" s="1">
        <f>IFERROR(__xludf.DUMMYFUNCTION("""COMPUTED_VALUE"""),1530.09)</f>
        <v>1530.09</v>
      </c>
      <c r="D3729" s="1">
        <f>IFERROR(__xludf.DUMMYFUNCTION("""COMPUTED_VALUE"""),1515.53)</f>
        <v>1515.53</v>
      </c>
      <c r="E3729" s="1">
        <f>IFERROR(__xludf.DUMMYFUNCTION("""COMPUTED_VALUE"""),1520.77)</f>
        <v>1520.77</v>
      </c>
      <c r="F3729" s="1">
        <f>IFERROR(__xludf.DUMMYFUNCTION("""COMPUTED_VALUE"""),1.19953128E8)</f>
        <v>119953128</v>
      </c>
    </row>
    <row r="3730">
      <c r="A3730" s="2">
        <f>IFERROR(__xludf.DUMMYFUNCTION("""COMPUTED_VALUE"""),36774.666666666664)</f>
        <v>36774.66667</v>
      </c>
      <c r="B3730" s="1">
        <f>IFERROR(__xludf.DUMMYFUNCTION("""COMPUTED_VALUE"""),1520.77)</f>
        <v>1520.77</v>
      </c>
      <c r="C3730" s="1">
        <f>IFERROR(__xludf.DUMMYFUNCTION("""COMPUTED_VALUE"""),1520.77)</f>
        <v>1520.77</v>
      </c>
      <c r="D3730" s="1">
        <f>IFERROR(__xludf.DUMMYFUNCTION("""COMPUTED_VALUE"""),1503.75)</f>
        <v>1503.75</v>
      </c>
      <c r="E3730" s="1">
        <f>IFERROR(__xludf.DUMMYFUNCTION("""COMPUTED_VALUE"""),1507.08)</f>
        <v>1507.08</v>
      </c>
      <c r="F3730" s="1">
        <f>IFERROR(__xludf.DUMMYFUNCTION("""COMPUTED_VALUE"""),1.31015624E8)</f>
        <v>131015624</v>
      </c>
    </row>
    <row r="3731">
      <c r="A3731" s="2">
        <f>IFERROR(__xludf.DUMMYFUNCTION("""COMPUTED_VALUE"""),36775.666666666664)</f>
        <v>36775.66667</v>
      </c>
      <c r="B3731" s="1">
        <f>IFERROR(__xludf.DUMMYFUNCTION("""COMPUTED_VALUE"""),1507.08)</f>
        <v>1507.08</v>
      </c>
      <c r="C3731" s="1">
        <f>IFERROR(__xludf.DUMMYFUNCTION("""COMPUTED_VALUE"""),1512.61)</f>
        <v>1512.61</v>
      </c>
      <c r="D3731" s="1">
        <f>IFERROR(__xludf.DUMMYFUNCTION("""COMPUTED_VALUE"""),1492.12)</f>
        <v>1492.12</v>
      </c>
      <c r="E3731" s="1">
        <f>IFERROR(__xludf.DUMMYFUNCTION("""COMPUTED_VALUE"""),1492.25)</f>
        <v>1492.25</v>
      </c>
      <c r="F3731" s="1">
        <f>IFERROR(__xludf.DUMMYFUNCTION("""COMPUTED_VALUE"""),1.55484368E8)</f>
        <v>155484368</v>
      </c>
    </row>
    <row r="3732">
      <c r="A3732" s="2">
        <f>IFERROR(__xludf.DUMMYFUNCTION("""COMPUTED_VALUE"""),36776.666666666664)</f>
        <v>36776.66667</v>
      </c>
      <c r="B3732" s="1">
        <f>IFERROR(__xludf.DUMMYFUNCTION("""COMPUTED_VALUE"""),1492.25)</f>
        <v>1492.25</v>
      </c>
      <c r="C3732" s="1">
        <f>IFERROR(__xludf.DUMMYFUNCTION("""COMPUTED_VALUE"""),1505.34)</f>
        <v>1505.34</v>
      </c>
      <c r="D3732" s="1">
        <f>IFERROR(__xludf.DUMMYFUNCTION("""COMPUTED_VALUE"""),1492.25)</f>
        <v>1492.25</v>
      </c>
      <c r="E3732" s="1">
        <f>IFERROR(__xludf.DUMMYFUNCTION("""COMPUTED_VALUE"""),1502.51)</f>
        <v>1502.51</v>
      </c>
      <c r="F3732" s="1">
        <f>IFERROR(__xludf.DUMMYFUNCTION("""COMPUTED_VALUE"""),1.53984368E8)</f>
        <v>153984368</v>
      </c>
    </row>
    <row r="3733">
      <c r="A3733" s="2">
        <f>IFERROR(__xludf.DUMMYFUNCTION("""COMPUTED_VALUE"""),36777.666666666664)</f>
        <v>36777.66667</v>
      </c>
      <c r="B3733" s="1">
        <f>IFERROR(__xludf.DUMMYFUNCTION("""COMPUTED_VALUE"""),1502.51)</f>
        <v>1502.51</v>
      </c>
      <c r="C3733" s="1">
        <f>IFERROR(__xludf.DUMMYFUNCTION("""COMPUTED_VALUE"""),1502.51)</f>
        <v>1502.51</v>
      </c>
      <c r="D3733" s="1">
        <f>IFERROR(__xludf.DUMMYFUNCTION("""COMPUTED_VALUE"""),1489.88)</f>
        <v>1489.88</v>
      </c>
      <c r="E3733" s="1">
        <f>IFERROR(__xludf.DUMMYFUNCTION("""COMPUTED_VALUE"""),1494.5)</f>
        <v>1494.5</v>
      </c>
      <c r="F3733" s="1">
        <f>IFERROR(__xludf.DUMMYFUNCTION("""COMPUTED_VALUE"""),1.50156256E8)</f>
        <v>150156256</v>
      </c>
    </row>
    <row r="3734">
      <c r="A3734" s="2">
        <f>IFERROR(__xludf.DUMMYFUNCTION("""COMPUTED_VALUE"""),36780.666666666664)</f>
        <v>36780.66667</v>
      </c>
      <c r="B3734" s="1">
        <f>IFERROR(__xludf.DUMMYFUNCTION("""COMPUTED_VALUE"""),1494.5)</f>
        <v>1494.5</v>
      </c>
      <c r="C3734" s="1">
        <f>IFERROR(__xludf.DUMMYFUNCTION("""COMPUTED_VALUE"""),1506.76)</f>
        <v>1506.76</v>
      </c>
      <c r="D3734" s="1">
        <f>IFERROR(__xludf.DUMMYFUNCTION("""COMPUTED_VALUE"""),1483.01)</f>
        <v>1483.01</v>
      </c>
      <c r="E3734" s="1">
        <f>IFERROR(__xludf.DUMMYFUNCTION("""COMPUTED_VALUE"""),1487.85)</f>
        <v>1487.85</v>
      </c>
      <c r="F3734" s="1">
        <f>IFERROR(__xludf.DUMMYFUNCTION("""COMPUTED_VALUE"""),1.40515632E8)</f>
        <v>140515632</v>
      </c>
    </row>
    <row r="3735">
      <c r="A3735" s="2">
        <f>IFERROR(__xludf.DUMMYFUNCTION("""COMPUTED_VALUE"""),36781.666666666664)</f>
        <v>36781.66667</v>
      </c>
      <c r="B3735" s="1">
        <f>IFERROR(__xludf.DUMMYFUNCTION("""COMPUTED_VALUE"""),1489.26)</f>
        <v>1489.26</v>
      </c>
      <c r="C3735" s="1">
        <f>IFERROR(__xludf.DUMMYFUNCTION("""COMPUTED_VALUE"""),1496.93)</f>
        <v>1496.93</v>
      </c>
      <c r="D3735" s="1">
        <f>IFERROR(__xludf.DUMMYFUNCTION("""COMPUTED_VALUE"""),1479.67)</f>
        <v>1479.67</v>
      </c>
      <c r="E3735" s="1">
        <f>IFERROR(__xludf.DUMMYFUNCTION("""COMPUTED_VALUE"""),1481.99)</f>
        <v>1481.99</v>
      </c>
      <c r="F3735" s="1">
        <f>IFERROR(__xludf.DUMMYFUNCTION("""COMPUTED_VALUE"""),1.54875008E8)</f>
        <v>154875008</v>
      </c>
    </row>
    <row r="3736">
      <c r="A3736" s="2">
        <f>IFERROR(__xludf.DUMMYFUNCTION("""COMPUTED_VALUE"""),36782.666666666664)</f>
        <v>36782.66667</v>
      </c>
      <c r="B3736" s="1">
        <f>IFERROR(__xludf.DUMMYFUNCTION("""COMPUTED_VALUE"""),1481.99)</f>
        <v>1481.99</v>
      </c>
      <c r="C3736" s="1">
        <f>IFERROR(__xludf.DUMMYFUNCTION("""COMPUTED_VALUE"""),1487.45)</f>
        <v>1487.45</v>
      </c>
      <c r="D3736" s="1">
        <f>IFERROR(__xludf.DUMMYFUNCTION("""COMPUTED_VALUE"""),1473.61)</f>
        <v>1473.61</v>
      </c>
      <c r="E3736" s="1">
        <f>IFERROR(__xludf.DUMMYFUNCTION("""COMPUTED_VALUE"""),1484.91)</f>
        <v>1484.91</v>
      </c>
      <c r="F3736" s="1">
        <f>IFERROR(__xludf.DUMMYFUNCTION("""COMPUTED_VALUE"""),1.66921872E8)</f>
        <v>166921872</v>
      </c>
    </row>
    <row r="3737">
      <c r="A3737" s="2">
        <f>IFERROR(__xludf.DUMMYFUNCTION("""COMPUTED_VALUE"""),36783.666666666664)</f>
        <v>36783.66667</v>
      </c>
      <c r="B3737" s="1">
        <f>IFERROR(__xludf.DUMMYFUNCTION("""COMPUTED_VALUE"""),1484.91)</f>
        <v>1484.91</v>
      </c>
      <c r="C3737" s="1">
        <f>IFERROR(__xludf.DUMMYFUNCTION("""COMPUTED_VALUE"""),1494.16)</f>
        <v>1494.16</v>
      </c>
      <c r="D3737" s="1">
        <f>IFERROR(__xludf.DUMMYFUNCTION("""COMPUTED_VALUE"""),1476.73)</f>
        <v>1476.73</v>
      </c>
      <c r="E3737" s="1">
        <f>IFERROR(__xludf.DUMMYFUNCTION("""COMPUTED_VALUE"""),1480.87)</f>
        <v>1480.87</v>
      </c>
      <c r="F3737" s="1">
        <f>IFERROR(__xludf.DUMMYFUNCTION("""COMPUTED_VALUE"""),1.58437504E8)</f>
        <v>158437504</v>
      </c>
    </row>
    <row r="3738">
      <c r="A3738" s="2">
        <f>IFERROR(__xludf.DUMMYFUNCTION("""COMPUTED_VALUE"""),36784.666666666664)</f>
        <v>36784.66667</v>
      </c>
      <c r="B3738" s="1">
        <f>IFERROR(__xludf.DUMMYFUNCTION("""COMPUTED_VALUE"""),1480.87)</f>
        <v>1480.87</v>
      </c>
      <c r="C3738" s="1">
        <f>IFERROR(__xludf.DUMMYFUNCTION("""COMPUTED_VALUE"""),1480.96)</f>
        <v>1480.96</v>
      </c>
      <c r="D3738" s="1">
        <f>IFERROR(__xludf.DUMMYFUNCTION("""COMPUTED_VALUE"""),1460.22)</f>
        <v>1460.22</v>
      </c>
      <c r="E3738" s="1">
        <f>IFERROR(__xludf.DUMMYFUNCTION("""COMPUTED_VALUE"""),1465.81)</f>
        <v>1465.81</v>
      </c>
      <c r="F3738" s="1">
        <f>IFERROR(__xludf.DUMMYFUNCTION("""COMPUTED_VALUE"""),1.98187504E8)</f>
        <v>198187504</v>
      </c>
    </row>
    <row r="3739">
      <c r="A3739" s="2">
        <f>IFERROR(__xludf.DUMMYFUNCTION("""COMPUTED_VALUE"""),36787.666666666664)</f>
        <v>36787.66667</v>
      </c>
      <c r="B3739" s="1">
        <f>IFERROR(__xludf.DUMMYFUNCTION("""COMPUTED_VALUE"""),1465.81)</f>
        <v>1465.81</v>
      </c>
      <c r="C3739" s="1">
        <f>IFERROR(__xludf.DUMMYFUNCTION("""COMPUTED_VALUE"""),1467.77)</f>
        <v>1467.77</v>
      </c>
      <c r="D3739" s="1">
        <f>IFERROR(__xludf.DUMMYFUNCTION("""COMPUTED_VALUE"""),1441.92)</f>
        <v>1441.92</v>
      </c>
      <c r="E3739" s="1">
        <f>IFERROR(__xludf.DUMMYFUNCTION("""COMPUTED_VALUE"""),1444.51)</f>
        <v>1444.51</v>
      </c>
      <c r="F3739" s="1">
        <f>IFERROR(__xludf.DUMMYFUNCTION("""COMPUTED_VALUE"""),1.50390624E8)</f>
        <v>150390624</v>
      </c>
    </row>
    <row r="3740">
      <c r="A3740" s="2">
        <f>IFERROR(__xludf.DUMMYFUNCTION("""COMPUTED_VALUE"""),36788.666666666664)</f>
        <v>36788.66667</v>
      </c>
      <c r="B3740" s="1">
        <f>IFERROR(__xludf.DUMMYFUNCTION("""COMPUTED_VALUE"""),1444.51)</f>
        <v>1444.51</v>
      </c>
      <c r="C3740" s="1">
        <f>IFERROR(__xludf.DUMMYFUNCTION("""COMPUTED_VALUE"""),1461.16)</f>
        <v>1461.16</v>
      </c>
      <c r="D3740" s="1">
        <f>IFERROR(__xludf.DUMMYFUNCTION("""COMPUTED_VALUE"""),1444.51)</f>
        <v>1444.51</v>
      </c>
      <c r="E3740" s="1">
        <f>IFERROR(__xludf.DUMMYFUNCTION("""COMPUTED_VALUE"""),1459.9)</f>
        <v>1459.9</v>
      </c>
      <c r="F3740" s="1">
        <f>IFERROR(__xludf.DUMMYFUNCTION("""COMPUTED_VALUE"""),1.60140624E8)</f>
        <v>160140624</v>
      </c>
    </row>
    <row r="3741">
      <c r="A3741" s="2">
        <f>IFERROR(__xludf.DUMMYFUNCTION("""COMPUTED_VALUE"""),36789.666666666664)</f>
        <v>36789.66667</v>
      </c>
      <c r="B3741" s="1">
        <f>IFERROR(__xludf.DUMMYFUNCTION("""COMPUTED_VALUE"""),1459.9)</f>
        <v>1459.9</v>
      </c>
      <c r="C3741" s="1">
        <f>IFERROR(__xludf.DUMMYFUNCTION("""COMPUTED_VALUE"""),1460.49)</f>
        <v>1460.49</v>
      </c>
      <c r="D3741" s="1">
        <f>IFERROR(__xludf.DUMMYFUNCTION("""COMPUTED_VALUE"""),1430.95)</f>
        <v>1430.95</v>
      </c>
      <c r="E3741" s="1">
        <f>IFERROR(__xludf.DUMMYFUNCTION("""COMPUTED_VALUE"""),1451.34)</f>
        <v>1451.34</v>
      </c>
      <c r="F3741" s="1">
        <f>IFERROR(__xludf.DUMMYFUNCTION("""COMPUTED_VALUE"""),1.725E8)</f>
        <v>172500000</v>
      </c>
    </row>
    <row r="3742">
      <c r="A3742" s="2">
        <f>IFERROR(__xludf.DUMMYFUNCTION("""COMPUTED_VALUE"""),36790.666666666664)</f>
        <v>36790.66667</v>
      </c>
      <c r="B3742" s="1">
        <f>IFERROR(__xludf.DUMMYFUNCTION("""COMPUTED_VALUE"""),1451.34)</f>
        <v>1451.34</v>
      </c>
      <c r="C3742" s="1">
        <f>IFERROR(__xludf.DUMMYFUNCTION("""COMPUTED_VALUE"""),1452.77)</f>
        <v>1452.77</v>
      </c>
      <c r="D3742" s="1">
        <f>IFERROR(__xludf.DUMMYFUNCTION("""COMPUTED_VALUE"""),1436.3)</f>
        <v>1436.3</v>
      </c>
      <c r="E3742" s="1">
        <f>IFERROR(__xludf.DUMMYFUNCTION("""COMPUTED_VALUE"""),1449.05)</f>
        <v>1449.05</v>
      </c>
      <c r="F3742" s="1">
        <f>IFERROR(__xludf.DUMMYFUNCTION("""COMPUTED_VALUE"""),1.72718752E8)</f>
        <v>172718752</v>
      </c>
    </row>
    <row r="3743">
      <c r="A3743" s="2">
        <f>IFERROR(__xludf.DUMMYFUNCTION("""COMPUTED_VALUE"""),36791.666666666664)</f>
        <v>36791.66667</v>
      </c>
      <c r="B3743" s="1">
        <f>IFERROR(__xludf.DUMMYFUNCTION("""COMPUTED_VALUE"""),1449.05)</f>
        <v>1449.05</v>
      </c>
      <c r="C3743" s="1">
        <f>IFERROR(__xludf.DUMMYFUNCTION("""COMPUTED_VALUE"""),1449.05)</f>
        <v>1449.05</v>
      </c>
      <c r="D3743" s="1">
        <f>IFERROR(__xludf.DUMMYFUNCTION("""COMPUTED_VALUE"""),1421.08)</f>
        <v>1421.08</v>
      </c>
      <c r="E3743" s="1">
        <f>IFERROR(__xludf.DUMMYFUNCTION("""COMPUTED_VALUE"""),1448.72)</f>
        <v>1448.72</v>
      </c>
      <c r="F3743" s="1">
        <f>IFERROR(__xludf.DUMMYFUNCTION("""COMPUTED_VALUE"""),1.85234368E8)</f>
        <v>185234368</v>
      </c>
    </row>
    <row r="3744">
      <c r="A3744" s="2">
        <f>IFERROR(__xludf.DUMMYFUNCTION("""COMPUTED_VALUE"""),36794.666666666664)</f>
        <v>36794.66667</v>
      </c>
      <c r="B3744" s="1">
        <f>IFERROR(__xludf.DUMMYFUNCTION("""COMPUTED_VALUE"""),1448.72)</f>
        <v>1448.72</v>
      </c>
      <c r="C3744" s="1">
        <f>IFERROR(__xludf.DUMMYFUNCTION("""COMPUTED_VALUE"""),1457.42)</f>
        <v>1457.42</v>
      </c>
      <c r="D3744" s="1">
        <f>IFERROR(__xludf.DUMMYFUNCTION("""COMPUTED_VALUE"""),1435.93)</f>
        <v>1435.93</v>
      </c>
      <c r="E3744" s="1">
        <f>IFERROR(__xludf.DUMMYFUNCTION("""COMPUTED_VALUE"""),1439.03)</f>
        <v>1439.03</v>
      </c>
      <c r="F3744" s="1">
        <f>IFERROR(__xludf.DUMMYFUNCTION("""COMPUTED_VALUE"""),1.535E8)</f>
        <v>153500000</v>
      </c>
    </row>
    <row r="3745">
      <c r="A3745" s="2">
        <f>IFERROR(__xludf.DUMMYFUNCTION("""COMPUTED_VALUE"""),36795.666666666664)</f>
        <v>36795.66667</v>
      </c>
      <c r="B3745" s="1">
        <f>IFERROR(__xludf.DUMMYFUNCTION("""COMPUTED_VALUE"""),1439.03)</f>
        <v>1439.03</v>
      </c>
      <c r="C3745" s="1">
        <f>IFERROR(__xludf.DUMMYFUNCTION("""COMPUTED_VALUE"""),1448.04)</f>
        <v>1448.04</v>
      </c>
      <c r="D3745" s="1">
        <f>IFERROR(__xludf.DUMMYFUNCTION("""COMPUTED_VALUE"""),1425.25)</f>
        <v>1425.25</v>
      </c>
      <c r="E3745" s="1">
        <f>IFERROR(__xludf.DUMMYFUNCTION("""COMPUTED_VALUE"""),1427.21)</f>
        <v>1427.21</v>
      </c>
      <c r="F3745" s="1">
        <f>IFERROR(__xludf.DUMMYFUNCTION("""COMPUTED_VALUE"""),1.72906256E8)</f>
        <v>172906256</v>
      </c>
    </row>
    <row r="3746">
      <c r="A3746" s="2">
        <f>IFERROR(__xludf.DUMMYFUNCTION("""COMPUTED_VALUE"""),36796.666666666664)</f>
        <v>36796.66667</v>
      </c>
      <c r="B3746" s="1">
        <f>IFERROR(__xludf.DUMMYFUNCTION("""COMPUTED_VALUE"""),1427.21)</f>
        <v>1427.21</v>
      </c>
      <c r="C3746" s="1">
        <f>IFERROR(__xludf.DUMMYFUNCTION("""COMPUTED_VALUE"""),1437.22)</f>
        <v>1437.22</v>
      </c>
      <c r="D3746" s="1">
        <f>IFERROR(__xludf.DUMMYFUNCTION("""COMPUTED_VALUE"""),1419.44)</f>
        <v>1419.44</v>
      </c>
      <c r="E3746" s="1">
        <f>IFERROR(__xludf.DUMMYFUNCTION("""COMPUTED_VALUE"""),1426.57)</f>
        <v>1426.57</v>
      </c>
      <c r="F3746" s="1">
        <f>IFERROR(__xludf.DUMMYFUNCTION("""COMPUTED_VALUE"""),1.8354688E8)</f>
        <v>183546880</v>
      </c>
    </row>
    <row r="3747">
      <c r="A3747" s="2">
        <f>IFERROR(__xludf.DUMMYFUNCTION("""COMPUTED_VALUE"""),36797.666666666664)</f>
        <v>36797.66667</v>
      </c>
      <c r="B3747" s="1">
        <f>IFERROR(__xludf.DUMMYFUNCTION("""COMPUTED_VALUE"""),1426.57)</f>
        <v>1426.57</v>
      </c>
      <c r="C3747" s="1">
        <f>IFERROR(__xludf.DUMMYFUNCTION("""COMPUTED_VALUE"""),1461.69)</f>
        <v>1461.69</v>
      </c>
      <c r="D3747" s="1">
        <f>IFERROR(__xludf.DUMMYFUNCTION("""COMPUTED_VALUE"""),1425.78)</f>
        <v>1425.78</v>
      </c>
      <c r="E3747" s="1">
        <f>IFERROR(__xludf.DUMMYFUNCTION("""COMPUTED_VALUE"""),1458.29)</f>
        <v>1458.29</v>
      </c>
      <c r="F3747" s="1">
        <f>IFERROR(__xludf.DUMMYFUNCTION("""COMPUTED_VALUE"""),1.88468752E8)</f>
        <v>188468752</v>
      </c>
    </row>
    <row r="3748">
      <c r="A3748" s="2">
        <f>IFERROR(__xludf.DUMMYFUNCTION("""COMPUTED_VALUE"""),36798.666666666664)</f>
        <v>36798.66667</v>
      </c>
      <c r="B3748" s="1">
        <f>IFERROR(__xludf.DUMMYFUNCTION("""COMPUTED_VALUE"""),1458.29)</f>
        <v>1458.29</v>
      </c>
      <c r="C3748" s="1">
        <f>IFERROR(__xludf.DUMMYFUNCTION("""COMPUTED_VALUE"""),1458.29)</f>
        <v>1458.29</v>
      </c>
      <c r="D3748" s="1">
        <f>IFERROR(__xludf.DUMMYFUNCTION("""COMPUTED_VALUE"""),1436.29)</f>
        <v>1436.29</v>
      </c>
      <c r="E3748" s="1">
        <f>IFERROR(__xludf.DUMMYFUNCTION("""COMPUTED_VALUE"""),1436.51)</f>
        <v>1436.51</v>
      </c>
      <c r="F3748" s="1">
        <f>IFERROR(__xludf.DUMMYFUNCTION("""COMPUTED_VALUE"""),1.8704688E8)</f>
        <v>187046880</v>
      </c>
    </row>
    <row r="3749">
      <c r="A3749" s="2">
        <f>IFERROR(__xludf.DUMMYFUNCTION("""COMPUTED_VALUE"""),36801.666666666664)</f>
        <v>36801.66667</v>
      </c>
      <c r="B3749" s="1">
        <f>IFERROR(__xludf.DUMMYFUNCTION("""COMPUTED_VALUE"""),1436.52)</f>
        <v>1436.52</v>
      </c>
      <c r="C3749" s="1">
        <f>IFERROR(__xludf.DUMMYFUNCTION("""COMPUTED_VALUE"""),1445.6)</f>
        <v>1445.6</v>
      </c>
      <c r="D3749" s="1">
        <f>IFERROR(__xludf.DUMMYFUNCTION("""COMPUTED_VALUE"""),1429.83)</f>
        <v>1429.83</v>
      </c>
      <c r="E3749" s="1">
        <f>IFERROR(__xludf.DUMMYFUNCTION("""COMPUTED_VALUE"""),1436.23)</f>
        <v>1436.23</v>
      </c>
      <c r="F3749" s="1">
        <f>IFERROR(__xludf.DUMMYFUNCTION("""COMPUTED_VALUE"""),1.6425E8)</f>
        <v>164250000</v>
      </c>
    </row>
    <row r="3750">
      <c r="A3750" s="2">
        <f>IFERROR(__xludf.DUMMYFUNCTION("""COMPUTED_VALUE"""),36802.666666666664)</f>
        <v>36802.66667</v>
      </c>
      <c r="B3750" s="1">
        <f>IFERROR(__xludf.DUMMYFUNCTION("""COMPUTED_VALUE"""),1436.23)</f>
        <v>1436.23</v>
      </c>
      <c r="C3750" s="1">
        <f>IFERROR(__xludf.DUMMYFUNCTION("""COMPUTED_VALUE"""),1454.82)</f>
        <v>1454.82</v>
      </c>
      <c r="D3750" s="1">
        <f>IFERROR(__xludf.DUMMYFUNCTION("""COMPUTED_VALUE"""),1425.28)</f>
        <v>1425.28</v>
      </c>
      <c r="E3750" s="1">
        <f>IFERROR(__xludf.DUMMYFUNCTION("""COMPUTED_VALUE"""),1426.46)</f>
        <v>1426.46</v>
      </c>
      <c r="F3750" s="1">
        <f>IFERROR(__xludf.DUMMYFUNCTION("""COMPUTED_VALUE"""),1.71578128E8)</f>
        <v>171578128</v>
      </c>
    </row>
    <row r="3751">
      <c r="A3751" s="2">
        <f>IFERROR(__xludf.DUMMYFUNCTION("""COMPUTED_VALUE"""),36803.666666666664)</f>
        <v>36803.66667</v>
      </c>
      <c r="B3751" s="1">
        <f>IFERROR(__xludf.DUMMYFUNCTION("""COMPUTED_VALUE"""),1426.46)</f>
        <v>1426.46</v>
      </c>
      <c r="C3751" s="1">
        <f>IFERROR(__xludf.DUMMYFUNCTION("""COMPUTED_VALUE"""),1439.99)</f>
        <v>1439.99</v>
      </c>
      <c r="D3751" s="1">
        <f>IFERROR(__xludf.DUMMYFUNCTION("""COMPUTED_VALUE"""),1416.31)</f>
        <v>1416.31</v>
      </c>
      <c r="E3751" s="1">
        <f>IFERROR(__xludf.DUMMYFUNCTION("""COMPUTED_VALUE"""),1434.32)</f>
        <v>1434.32</v>
      </c>
      <c r="F3751" s="1">
        <f>IFERROR(__xludf.DUMMYFUNCTION("""COMPUTED_VALUE"""),1.82406256E8)</f>
        <v>182406256</v>
      </c>
    </row>
    <row r="3752">
      <c r="A3752" s="2">
        <f>IFERROR(__xludf.DUMMYFUNCTION("""COMPUTED_VALUE"""),36804.666666666664)</f>
        <v>36804.66667</v>
      </c>
      <c r="B3752" s="1">
        <f>IFERROR(__xludf.DUMMYFUNCTION("""COMPUTED_VALUE"""),1434.32)</f>
        <v>1434.32</v>
      </c>
      <c r="C3752" s="1">
        <f>IFERROR(__xludf.DUMMYFUNCTION("""COMPUTED_VALUE"""),1444.17)</f>
        <v>1444.17</v>
      </c>
      <c r="D3752" s="1">
        <f>IFERROR(__xludf.DUMMYFUNCTION("""COMPUTED_VALUE"""),1431.8)</f>
        <v>1431.8</v>
      </c>
      <c r="E3752" s="1">
        <f>IFERROR(__xludf.DUMMYFUNCTION("""COMPUTED_VALUE"""),1436.28)</f>
        <v>1436.28</v>
      </c>
      <c r="F3752" s="1">
        <f>IFERROR(__xludf.DUMMYFUNCTION("""COMPUTED_VALUE"""),1.83765632E8)</f>
        <v>183765632</v>
      </c>
    </row>
    <row r="3753">
      <c r="A3753" s="2">
        <f>IFERROR(__xludf.DUMMYFUNCTION("""COMPUTED_VALUE"""),36805.666666666664)</f>
        <v>36805.66667</v>
      </c>
      <c r="B3753" s="1">
        <f>IFERROR(__xludf.DUMMYFUNCTION("""COMPUTED_VALUE"""),1436.28)</f>
        <v>1436.28</v>
      </c>
      <c r="C3753" s="1">
        <f>IFERROR(__xludf.DUMMYFUNCTION("""COMPUTED_VALUE"""),1443.3)</f>
        <v>1443.3</v>
      </c>
      <c r="D3753" s="1">
        <f>IFERROR(__xludf.DUMMYFUNCTION("""COMPUTED_VALUE"""),1397.06)</f>
        <v>1397.06</v>
      </c>
      <c r="E3753" s="1">
        <f>IFERROR(__xludf.DUMMYFUNCTION("""COMPUTED_VALUE"""),1408.99)</f>
        <v>1408.99</v>
      </c>
      <c r="F3753" s="1">
        <f>IFERROR(__xludf.DUMMYFUNCTION("""COMPUTED_VALUE"""),1.7970312E8)</f>
        <v>179703120</v>
      </c>
    </row>
    <row r="3754">
      <c r="A3754" s="2">
        <f>IFERROR(__xludf.DUMMYFUNCTION("""COMPUTED_VALUE"""),36808.666666666664)</f>
        <v>36808.66667</v>
      </c>
      <c r="B3754" s="1">
        <f>IFERROR(__xludf.DUMMYFUNCTION("""COMPUTED_VALUE"""),1408.99)</f>
        <v>1408.99</v>
      </c>
      <c r="C3754" s="1">
        <f>IFERROR(__xludf.DUMMYFUNCTION("""COMPUTED_VALUE"""),1409.69)</f>
        <v>1409.69</v>
      </c>
      <c r="D3754" s="1">
        <f>IFERROR(__xludf.DUMMYFUNCTION("""COMPUTED_VALUE"""),1392.48)</f>
        <v>1392.48</v>
      </c>
      <c r="E3754" s="1">
        <f>IFERROR(__xludf.DUMMYFUNCTION("""COMPUTED_VALUE"""),1402.03)</f>
        <v>1402.03</v>
      </c>
      <c r="F3754" s="1">
        <f>IFERROR(__xludf.DUMMYFUNCTION("""COMPUTED_VALUE"""),1.11968752E8)</f>
        <v>111968752</v>
      </c>
    </row>
    <row r="3755">
      <c r="A3755" s="2">
        <f>IFERROR(__xludf.DUMMYFUNCTION("""COMPUTED_VALUE"""),36809.666666666664)</f>
        <v>36809.66667</v>
      </c>
      <c r="B3755" s="1">
        <f>IFERROR(__xludf.DUMMYFUNCTION("""COMPUTED_VALUE"""),1402.03)</f>
        <v>1402.03</v>
      </c>
      <c r="C3755" s="1">
        <f>IFERROR(__xludf.DUMMYFUNCTION("""COMPUTED_VALUE"""),1408.83)</f>
        <v>1408.83</v>
      </c>
      <c r="D3755" s="1">
        <f>IFERROR(__xludf.DUMMYFUNCTION("""COMPUTED_VALUE"""),1383.85)</f>
        <v>1383.85</v>
      </c>
      <c r="E3755" s="1">
        <f>IFERROR(__xludf.DUMMYFUNCTION("""COMPUTED_VALUE"""),1385.94)</f>
        <v>1385.94</v>
      </c>
      <c r="F3755" s="1">
        <f>IFERROR(__xludf.DUMMYFUNCTION("""COMPUTED_VALUE"""),1.63124992E8)</f>
        <v>163124992</v>
      </c>
    </row>
    <row r="3756">
      <c r="A3756" s="2">
        <f>IFERROR(__xludf.DUMMYFUNCTION("""COMPUTED_VALUE"""),36810.666666666664)</f>
        <v>36810.66667</v>
      </c>
      <c r="B3756" s="1">
        <f>IFERROR(__xludf.DUMMYFUNCTION("""COMPUTED_VALUE"""),1387.02)</f>
        <v>1387.02</v>
      </c>
      <c r="C3756" s="1">
        <f>IFERROR(__xludf.DUMMYFUNCTION("""COMPUTED_VALUE"""),1387.02)</f>
        <v>1387.02</v>
      </c>
      <c r="D3756" s="1">
        <f>IFERROR(__xludf.DUMMYFUNCTION("""COMPUTED_VALUE"""),1349.67)</f>
        <v>1349.67</v>
      </c>
      <c r="E3756" s="1">
        <f>IFERROR(__xludf.DUMMYFUNCTION("""COMPUTED_VALUE"""),1364.59)</f>
        <v>1364.59</v>
      </c>
      <c r="F3756" s="1">
        <f>IFERROR(__xludf.DUMMYFUNCTION("""COMPUTED_VALUE"""),2.1679688E8)</f>
        <v>216796880</v>
      </c>
    </row>
    <row r="3757">
      <c r="A3757" s="2">
        <f>IFERROR(__xludf.DUMMYFUNCTION("""COMPUTED_VALUE"""),36811.666666666664)</f>
        <v>36811.66667</v>
      </c>
      <c r="B3757" s="1">
        <f>IFERROR(__xludf.DUMMYFUNCTION("""COMPUTED_VALUE"""),1364.59)</f>
        <v>1364.59</v>
      </c>
      <c r="C3757" s="1">
        <f>IFERROR(__xludf.DUMMYFUNCTION("""COMPUTED_VALUE"""),1374.93)</f>
        <v>1374.93</v>
      </c>
      <c r="D3757" s="1">
        <f>IFERROR(__xludf.DUMMYFUNCTION("""COMPUTED_VALUE"""),1328.06)</f>
        <v>1328.06</v>
      </c>
      <c r="E3757" s="1">
        <f>IFERROR(__xludf.DUMMYFUNCTION("""COMPUTED_VALUE"""),1329.78)</f>
        <v>1329.78</v>
      </c>
      <c r="F3757" s="1">
        <f>IFERROR(__xludf.DUMMYFUNCTION("""COMPUTED_VALUE"""),2.16968752E8)</f>
        <v>216968752</v>
      </c>
    </row>
    <row r="3758">
      <c r="A3758" s="2">
        <f>IFERROR(__xludf.DUMMYFUNCTION("""COMPUTED_VALUE"""),36812.666666666664)</f>
        <v>36812.66667</v>
      </c>
      <c r="B3758" s="1">
        <f>IFERROR(__xludf.DUMMYFUNCTION("""COMPUTED_VALUE"""),1329.78)</f>
        <v>1329.78</v>
      </c>
      <c r="C3758" s="1">
        <f>IFERROR(__xludf.DUMMYFUNCTION("""COMPUTED_VALUE"""),1374.17)</f>
        <v>1374.17</v>
      </c>
      <c r="D3758" s="1">
        <f>IFERROR(__xludf.DUMMYFUNCTION("""COMPUTED_VALUE"""),1326.81)</f>
        <v>1326.81</v>
      </c>
      <c r="E3758" s="1">
        <f>IFERROR(__xludf.DUMMYFUNCTION("""COMPUTED_VALUE"""),1374.17)</f>
        <v>1374.17</v>
      </c>
      <c r="F3758" s="1">
        <f>IFERROR(__xludf.DUMMYFUNCTION("""COMPUTED_VALUE"""),1.91234368E8)</f>
        <v>191234368</v>
      </c>
    </row>
    <row r="3759">
      <c r="A3759" s="2">
        <f>IFERROR(__xludf.DUMMYFUNCTION("""COMPUTED_VALUE"""),36815.666666666664)</f>
        <v>36815.66667</v>
      </c>
      <c r="B3759" s="1">
        <f>IFERROR(__xludf.DUMMYFUNCTION("""COMPUTED_VALUE"""),1374.17)</f>
        <v>1374.17</v>
      </c>
      <c r="C3759" s="1">
        <f>IFERROR(__xludf.DUMMYFUNCTION("""COMPUTED_VALUE"""),1379.48)</f>
        <v>1379.48</v>
      </c>
      <c r="D3759" s="1">
        <f>IFERROR(__xludf.DUMMYFUNCTION("""COMPUTED_VALUE"""),1365.06)</f>
        <v>1365.06</v>
      </c>
      <c r="E3759" s="1">
        <f>IFERROR(__xludf.DUMMYFUNCTION("""COMPUTED_VALUE"""),1374.62)</f>
        <v>1374.62</v>
      </c>
      <c r="F3759" s="1">
        <f>IFERROR(__xludf.DUMMYFUNCTION("""COMPUTED_VALUE"""),1.57093744E8)</f>
        <v>157093744</v>
      </c>
    </row>
    <row r="3760">
      <c r="A3760" s="2">
        <f>IFERROR(__xludf.DUMMYFUNCTION("""COMPUTED_VALUE"""),36816.666666666664)</f>
        <v>36816.66667</v>
      </c>
      <c r="B3760" s="1">
        <f>IFERROR(__xludf.DUMMYFUNCTION("""COMPUTED_VALUE"""),1374.62)</f>
        <v>1374.62</v>
      </c>
      <c r="C3760" s="1">
        <f>IFERROR(__xludf.DUMMYFUNCTION("""COMPUTED_VALUE"""),1380.99)</f>
        <v>1380.99</v>
      </c>
      <c r="D3760" s="1">
        <f>IFERROR(__xludf.DUMMYFUNCTION("""COMPUTED_VALUE"""),1342.34)</f>
        <v>1342.34</v>
      </c>
      <c r="E3760" s="1">
        <f>IFERROR(__xludf.DUMMYFUNCTION("""COMPUTED_VALUE"""),1349.97)</f>
        <v>1349.97</v>
      </c>
      <c r="F3760" s="1">
        <f>IFERROR(__xludf.DUMMYFUNCTION("""COMPUTED_VALUE"""),1.81484368E8)</f>
        <v>181484368</v>
      </c>
    </row>
    <row r="3761">
      <c r="A3761" s="2">
        <f>IFERROR(__xludf.DUMMYFUNCTION("""COMPUTED_VALUE"""),36817.666666666664)</f>
        <v>36817.66667</v>
      </c>
      <c r="B3761" s="1">
        <f>IFERROR(__xludf.DUMMYFUNCTION("""COMPUTED_VALUE"""),1349.97)</f>
        <v>1349.97</v>
      </c>
      <c r="C3761" s="1">
        <f>IFERROR(__xludf.DUMMYFUNCTION("""COMPUTED_VALUE"""),1356.65)</f>
        <v>1356.65</v>
      </c>
      <c r="D3761" s="1">
        <f>IFERROR(__xludf.DUMMYFUNCTION("""COMPUTED_VALUE"""),1305.79)</f>
        <v>1305.79</v>
      </c>
      <c r="E3761" s="1">
        <f>IFERROR(__xludf.DUMMYFUNCTION("""COMPUTED_VALUE"""),1342.13)</f>
        <v>1342.13</v>
      </c>
      <c r="F3761" s="1">
        <f>IFERROR(__xludf.DUMMYFUNCTION("""COMPUTED_VALUE"""),2.25265632E8)</f>
        <v>225265632</v>
      </c>
    </row>
    <row r="3762">
      <c r="A3762" s="2">
        <f>IFERROR(__xludf.DUMMYFUNCTION("""COMPUTED_VALUE"""),36818.666666666664)</f>
        <v>36818.66667</v>
      </c>
      <c r="B3762" s="1">
        <f>IFERROR(__xludf.DUMMYFUNCTION("""COMPUTED_VALUE"""),1342.13)</f>
        <v>1342.13</v>
      </c>
      <c r="C3762" s="1">
        <f>IFERROR(__xludf.DUMMYFUNCTION("""COMPUTED_VALUE"""),1389.93)</f>
        <v>1389.93</v>
      </c>
      <c r="D3762" s="1">
        <f>IFERROR(__xludf.DUMMYFUNCTION("""COMPUTED_VALUE"""),1342.13)</f>
        <v>1342.13</v>
      </c>
      <c r="E3762" s="1">
        <f>IFERROR(__xludf.DUMMYFUNCTION("""COMPUTED_VALUE"""),1388.76)</f>
        <v>1388.76</v>
      </c>
      <c r="F3762" s="1">
        <f>IFERROR(__xludf.DUMMYFUNCTION("""COMPUTED_VALUE"""),2.0279688E8)</f>
        <v>202796880</v>
      </c>
    </row>
    <row r="3763">
      <c r="A3763" s="2">
        <f>IFERROR(__xludf.DUMMYFUNCTION("""COMPUTED_VALUE"""),36819.666666666664)</f>
        <v>36819.66667</v>
      </c>
      <c r="B3763" s="1">
        <f>IFERROR(__xludf.DUMMYFUNCTION("""COMPUTED_VALUE"""),1388.76)</f>
        <v>1388.76</v>
      </c>
      <c r="C3763" s="1">
        <f>IFERROR(__xludf.DUMMYFUNCTION("""COMPUTED_VALUE"""),1408.47)</f>
        <v>1408.47</v>
      </c>
      <c r="D3763" s="1">
        <f>IFERROR(__xludf.DUMMYFUNCTION("""COMPUTED_VALUE"""),1382.19)</f>
        <v>1382.19</v>
      </c>
      <c r="E3763" s="1">
        <f>IFERROR(__xludf.DUMMYFUNCTION("""COMPUTED_VALUE"""),1396.93)</f>
        <v>1396.93</v>
      </c>
      <c r="F3763" s="1">
        <f>IFERROR(__xludf.DUMMYFUNCTION("""COMPUTED_VALUE"""),1.83968752E8)</f>
        <v>183968752</v>
      </c>
    </row>
    <row r="3764">
      <c r="A3764" s="2">
        <f>IFERROR(__xludf.DUMMYFUNCTION("""COMPUTED_VALUE"""),36822.666666666664)</f>
        <v>36822.66667</v>
      </c>
      <c r="B3764" s="1">
        <f>IFERROR(__xludf.DUMMYFUNCTION("""COMPUTED_VALUE"""),1396.93)</f>
        <v>1396.93</v>
      </c>
      <c r="C3764" s="1">
        <f>IFERROR(__xludf.DUMMYFUNCTION("""COMPUTED_VALUE"""),1406.96)</f>
        <v>1406.96</v>
      </c>
      <c r="D3764" s="1">
        <f>IFERROR(__xludf.DUMMYFUNCTION("""COMPUTED_VALUE"""),1387.75)</f>
        <v>1387.75</v>
      </c>
      <c r="E3764" s="1">
        <f>IFERROR(__xludf.DUMMYFUNCTION("""COMPUTED_VALUE"""),1395.78)</f>
        <v>1395.78</v>
      </c>
      <c r="F3764" s="1">
        <f>IFERROR(__xludf.DUMMYFUNCTION("""COMPUTED_VALUE"""),1.63562496E8)</f>
        <v>163562496</v>
      </c>
    </row>
    <row r="3765">
      <c r="A3765" s="2">
        <f>IFERROR(__xludf.DUMMYFUNCTION("""COMPUTED_VALUE"""),36823.666666666664)</f>
        <v>36823.66667</v>
      </c>
      <c r="B3765" s="1">
        <f>IFERROR(__xludf.DUMMYFUNCTION("""COMPUTED_VALUE"""),1395.78)</f>
        <v>1395.78</v>
      </c>
      <c r="C3765" s="1">
        <f>IFERROR(__xludf.DUMMYFUNCTION("""COMPUTED_VALUE"""),1415.64)</f>
        <v>1415.64</v>
      </c>
      <c r="D3765" s="1">
        <f>IFERROR(__xludf.DUMMYFUNCTION("""COMPUTED_VALUE"""),1388.13)</f>
        <v>1388.13</v>
      </c>
      <c r="E3765" s="1">
        <f>IFERROR(__xludf.DUMMYFUNCTION("""COMPUTED_VALUE"""),1398.13)</f>
        <v>1398.13</v>
      </c>
      <c r="F3765" s="1">
        <f>IFERROR(__xludf.DUMMYFUNCTION("""COMPUTED_VALUE"""),1.81031248E8)</f>
        <v>181031248</v>
      </c>
    </row>
    <row r="3766">
      <c r="A3766" s="2">
        <f>IFERROR(__xludf.DUMMYFUNCTION("""COMPUTED_VALUE"""),36824.666666666664)</f>
        <v>36824.66667</v>
      </c>
      <c r="B3766" s="1">
        <f>IFERROR(__xludf.DUMMYFUNCTION("""COMPUTED_VALUE"""),1393.29)</f>
        <v>1393.29</v>
      </c>
      <c r="C3766" s="1">
        <f>IFERROR(__xludf.DUMMYFUNCTION("""COMPUTED_VALUE"""),1393.29)</f>
        <v>1393.29</v>
      </c>
      <c r="D3766" s="1">
        <f>IFERROR(__xludf.DUMMYFUNCTION("""COMPUTED_VALUE"""),1362.21)</f>
        <v>1362.21</v>
      </c>
      <c r="E3766" s="1">
        <f>IFERROR(__xludf.DUMMYFUNCTION("""COMPUTED_VALUE"""),1364.9)</f>
        <v>1364.9</v>
      </c>
      <c r="F3766" s="1">
        <f>IFERROR(__xludf.DUMMYFUNCTION("""COMPUTED_VALUE"""),2.05562496E8)</f>
        <v>205562496</v>
      </c>
    </row>
    <row r="3767">
      <c r="A3767" s="2">
        <f>IFERROR(__xludf.DUMMYFUNCTION("""COMPUTED_VALUE"""),36825.666666666664)</f>
        <v>36825.66667</v>
      </c>
      <c r="B3767" s="1">
        <f>IFERROR(__xludf.DUMMYFUNCTION("""COMPUTED_VALUE"""),1364.9)</f>
        <v>1364.9</v>
      </c>
      <c r="C3767" s="1">
        <f>IFERROR(__xludf.DUMMYFUNCTION("""COMPUTED_VALUE"""),1372.72)</f>
        <v>1372.72</v>
      </c>
      <c r="D3767" s="1">
        <f>IFERROR(__xludf.DUMMYFUNCTION("""COMPUTED_VALUE"""),1337.77)</f>
        <v>1337.77</v>
      </c>
      <c r="E3767" s="1">
        <f>IFERROR(__xludf.DUMMYFUNCTION("""COMPUTED_VALUE"""),1364.44)</f>
        <v>1364.44</v>
      </c>
      <c r="F3767" s="1">
        <f>IFERROR(__xludf.DUMMYFUNCTION("""COMPUTED_VALUE"""),2.03718752E8)</f>
        <v>203718752</v>
      </c>
    </row>
    <row r="3768">
      <c r="A3768" s="2">
        <f>IFERROR(__xludf.DUMMYFUNCTION("""COMPUTED_VALUE"""),36826.666666666664)</f>
        <v>36826.66667</v>
      </c>
      <c r="B3768" s="1">
        <f>IFERROR(__xludf.DUMMYFUNCTION("""COMPUTED_VALUE"""),1364.44)</f>
        <v>1364.44</v>
      </c>
      <c r="C3768" s="1">
        <f>IFERROR(__xludf.DUMMYFUNCTION("""COMPUTED_VALUE"""),1384.57)</f>
        <v>1384.57</v>
      </c>
      <c r="D3768" s="1">
        <f>IFERROR(__xludf.DUMMYFUNCTION("""COMPUTED_VALUE"""),1364.13)</f>
        <v>1364.13</v>
      </c>
      <c r="E3768" s="1">
        <f>IFERROR(__xludf.DUMMYFUNCTION("""COMPUTED_VALUE"""),1379.58)</f>
        <v>1379.58</v>
      </c>
      <c r="F3768" s="1">
        <f>IFERROR(__xludf.DUMMYFUNCTION("""COMPUTED_VALUE"""),1.69734368E8)</f>
        <v>169734368</v>
      </c>
    </row>
    <row r="3769">
      <c r="A3769" s="2">
        <f>IFERROR(__xludf.DUMMYFUNCTION("""COMPUTED_VALUE"""),36829.666666666664)</f>
        <v>36829.66667</v>
      </c>
      <c r="B3769" s="1">
        <f>IFERROR(__xludf.DUMMYFUNCTION("""COMPUTED_VALUE"""),1379.58)</f>
        <v>1379.58</v>
      </c>
      <c r="C3769" s="1">
        <f>IFERROR(__xludf.DUMMYFUNCTION("""COMPUTED_VALUE"""),1406.36)</f>
        <v>1406.36</v>
      </c>
      <c r="D3769" s="1">
        <f>IFERROR(__xludf.DUMMYFUNCTION("""COMPUTED_VALUE"""),1376.86)</f>
        <v>1376.86</v>
      </c>
      <c r="E3769" s="1">
        <f>IFERROR(__xludf.DUMMYFUNCTION("""COMPUTED_VALUE"""),1398.66)</f>
        <v>1398.66</v>
      </c>
      <c r="F3769" s="1">
        <f>IFERROR(__xludf.DUMMYFUNCTION("""COMPUTED_VALUE"""),1.85390624E8)</f>
        <v>185390624</v>
      </c>
    </row>
    <row r="3770">
      <c r="A3770" s="2">
        <f>IFERROR(__xludf.DUMMYFUNCTION("""COMPUTED_VALUE"""),36830.666666666664)</f>
        <v>36830.66667</v>
      </c>
      <c r="B3770" s="1">
        <f>IFERROR(__xludf.DUMMYFUNCTION("""COMPUTED_VALUE"""),1398.66)</f>
        <v>1398.66</v>
      </c>
      <c r="C3770" s="1">
        <f>IFERROR(__xludf.DUMMYFUNCTION("""COMPUTED_VALUE"""),1432.22)</f>
        <v>1432.22</v>
      </c>
      <c r="D3770" s="1">
        <f>IFERROR(__xludf.DUMMYFUNCTION("""COMPUTED_VALUE"""),1398.66)</f>
        <v>1398.66</v>
      </c>
      <c r="E3770" s="1">
        <f>IFERROR(__xludf.DUMMYFUNCTION("""COMPUTED_VALUE"""),1429.4)</f>
        <v>1429.4</v>
      </c>
      <c r="F3770" s="1">
        <f>IFERROR(__xludf.DUMMYFUNCTION("""COMPUTED_VALUE"""),2.135E8)</f>
        <v>213500000</v>
      </c>
    </row>
    <row r="3771">
      <c r="A3771" s="2">
        <f>IFERROR(__xludf.DUMMYFUNCTION("""COMPUTED_VALUE"""),36831.666666666664)</f>
        <v>36831.66667</v>
      </c>
      <c r="B3771" s="1">
        <f>IFERROR(__xludf.DUMMYFUNCTION("""COMPUTED_VALUE"""),1429.4)</f>
        <v>1429.4</v>
      </c>
      <c r="C3771" s="1">
        <f>IFERROR(__xludf.DUMMYFUNCTION("""COMPUTED_VALUE"""),1429.6)</f>
        <v>1429.6</v>
      </c>
      <c r="D3771" s="1">
        <f>IFERROR(__xludf.DUMMYFUNCTION("""COMPUTED_VALUE"""),1410.45)</f>
        <v>1410.45</v>
      </c>
      <c r="E3771" s="1">
        <f>IFERROR(__xludf.DUMMYFUNCTION("""COMPUTED_VALUE"""),1421.22)</f>
        <v>1421.22</v>
      </c>
      <c r="F3771" s="1">
        <f>IFERROR(__xludf.DUMMYFUNCTION("""COMPUTED_VALUE"""),1.88562496E8)</f>
        <v>188562496</v>
      </c>
    </row>
    <row r="3772">
      <c r="A3772" s="2">
        <f>IFERROR(__xludf.DUMMYFUNCTION("""COMPUTED_VALUE"""),36832.666666666664)</f>
        <v>36832.66667</v>
      </c>
      <c r="B3772" s="1">
        <f>IFERROR(__xludf.DUMMYFUNCTION("""COMPUTED_VALUE"""),1421.22)</f>
        <v>1421.22</v>
      </c>
      <c r="C3772" s="1">
        <f>IFERROR(__xludf.DUMMYFUNCTION("""COMPUTED_VALUE"""),1433.27)</f>
        <v>1433.27</v>
      </c>
      <c r="D3772" s="1">
        <f>IFERROR(__xludf.DUMMYFUNCTION("""COMPUTED_VALUE"""),1421.13)</f>
        <v>1421.13</v>
      </c>
      <c r="E3772" s="1">
        <f>IFERROR(__xludf.DUMMYFUNCTION("""COMPUTED_VALUE"""),1428.32)</f>
        <v>1428.32</v>
      </c>
      <c r="F3772" s="1">
        <f>IFERROR(__xludf.DUMMYFUNCTION("""COMPUTED_VALUE"""),1.8245312E8)</f>
        <v>182453120</v>
      </c>
    </row>
    <row r="3773">
      <c r="A3773" s="2">
        <f>IFERROR(__xludf.DUMMYFUNCTION("""COMPUTED_VALUE"""),36833.666666666664)</f>
        <v>36833.66667</v>
      </c>
      <c r="B3773" s="1">
        <f>IFERROR(__xludf.DUMMYFUNCTION("""COMPUTED_VALUE"""),1428.32)</f>
        <v>1428.32</v>
      </c>
      <c r="C3773" s="1">
        <f>IFERROR(__xludf.DUMMYFUNCTION("""COMPUTED_VALUE"""),1433.21)</f>
        <v>1433.21</v>
      </c>
      <c r="D3773" s="1">
        <f>IFERROR(__xludf.DUMMYFUNCTION("""COMPUTED_VALUE"""),1420.92)</f>
        <v>1420.92</v>
      </c>
      <c r="E3773" s="1">
        <f>IFERROR(__xludf.DUMMYFUNCTION("""COMPUTED_VALUE"""),1426.69)</f>
        <v>1426.69</v>
      </c>
      <c r="F3773" s="1">
        <f>IFERROR(__xludf.DUMMYFUNCTION("""COMPUTED_VALUE"""),1.55890624E8)</f>
        <v>155890624</v>
      </c>
    </row>
    <row r="3774">
      <c r="A3774" s="2">
        <f>IFERROR(__xludf.DUMMYFUNCTION("""COMPUTED_VALUE"""),36836.666666666664)</f>
        <v>36836.66667</v>
      </c>
      <c r="B3774" s="1">
        <f>IFERROR(__xludf.DUMMYFUNCTION("""COMPUTED_VALUE"""),1428.76)</f>
        <v>1428.76</v>
      </c>
      <c r="C3774" s="1">
        <f>IFERROR(__xludf.DUMMYFUNCTION("""COMPUTED_VALUE"""),1438.46)</f>
        <v>1438.46</v>
      </c>
      <c r="D3774" s="1">
        <f>IFERROR(__xludf.DUMMYFUNCTION("""COMPUTED_VALUE"""),1427.72)</f>
        <v>1427.72</v>
      </c>
      <c r="E3774" s="1">
        <f>IFERROR(__xludf.DUMMYFUNCTION("""COMPUTED_VALUE"""),1432.19)</f>
        <v>1432.19</v>
      </c>
      <c r="F3774" s="1">
        <f>IFERROR(__xludf.DUMMYFUNCTION("""COMPUTED_VALUE"""),1.4545312E8)</f>
        <v>145453120</v>
      </c>
    </row>
    <row r="3775">
      <c r="A3775" s="2">
        <f>IFERROR(__xludf.DUMMYFUNCTION("""COMPUTED_VALUE"""),36837.666666666664)</f>
        <v>36837.66667</v>
      </c>
      <c r="B3775" s="1">
        <f>IFERROR(__xludf.DUMMYFUNCTION("""COMPUTED_VALUE"""),1432.19)</f>
        <v>1432.19</v>
      </c>
      <c r="C3775" s="1">
        <f>IFERROR(__xludf.DUMMYFUNCTION("""COMPUTED_VALUE"""),1436.22)</f>
        <v>1436.22</v>
      </c>
      <c r="D3775" s="1">
        <f>IFERROR(__xludf.DUMMYFUNCTION("""COMPUTED_VALUE"""),1423.26)</f>
        <v>1423.26</v>
      </c>
      <c r="E3775" s="1">
        <f>IFERROR(__xludf.DUMMYFUNCTION("""COMPUTED_VALUE"""),1431.87)</f>
        <v>1431.87</v>
      </c>
      <c r="F3775" s="1">
        <f>IFERROR(__xludf.DUMMYFUNCTION("""COMPUTED_VALUE"""),1.37640624E8)</f>
        <v>137640624</v>
      </c>
    </row>
    <row r="3776">
      <c r="A3776" s="2">
        <f>IFERROR(__xludf.DUMMYFUNCTION("""COMPUTED_VALUE"""),36838.666666666664)</f>
        <v>36838.66667</v>
      </c>
      <c r="B3776" s="1">
        <f>IFERROR(__xludf.DUMMYFUNCTION("""COMPUTED_VALUE"""),1431.87)</f>
        <v>1431.87</v>
      </c>
      <c r="C3776" s="1">
        <f>IFERROR(__xludf.DUMMYFUNCTION("""COMPUTED_VALUE"""),1437.28)</f>
        <v>1437.28</v>
      </c>
      <c r="D3776" s="1">
        <f>IFERROR(__xludf.DUMMYFUNCTION("""COMPUTED_VALUE"""),1408.78)</f>
        <v>1408.78</v>
      </c>
      <c r="E3776" s="1">
        <f>IFERROR(__xludf.DUMMYFUNCTION("""COMPUTED_VALUE"""),1409.28)</f>
        <v>1409.28</v>
      </c>
      <c r="F3776" s="1">
        <f>IFERROR(__xludf.DUMMYFUNCTION("""COMPUTED_VALUE"""),1.42078128E8)</f>
        <v>142078128</v>
      </c>
    </row>
    <row r="3777">
      <c r="A3777" s="2">
        <f>IFERROR(__xludf.DUMMYFUNCTION("""COMPUTED_VALUE"""),36839.666666666664)</f>
        <v>36839.66667</v>
      </c>
      <c r="B3777" s="1">
        <f>IFERROR(__xludf.DUMMYFUNCTION("""COMPUTED_VALUE"""),1409.28)</f>
        <v>1409.28</v>
      </c>
      <c r="C3777" s="1">
        <f>IFERROR(__xludf.DUMMYFUNCTION("""COMPUTED_VALUE"""),1409.28)</f>
        <v>1409.28</v>
      </c>
      <c r="D3777" s="1">
        <f>IFERROR(__xludf.DUMMYFUNCTION("""COMPUTED_VALUE"""),1369.68)</f>
        <v>1369.68</v>
      </c>
      <c r="E3777" s="1">
        <f>IFERROR(__xludf.DUMMYFUNCTION("""COMPUTED_VALUE"""),1400.14)</f>
        <v>1400.14</v>
      </c>
      <c r="F3777" s="1">
        <f>IFERROR(__xludf.DUMMYFUNCTION("""COMPUTED_VALUE"""),1.73593744E8)</f>
        <v>173593744</v>
      </c>
    </row>
    <row r="3778">
      <c r="A3778" s="2">
        <f>IFERROR(__xludf.DUMMYFUNCTION("""COMPUTED_VALUE"""),36840.666666666664)</f>
        <v>36840.66667</v>
      </c>
      <c r="B3778" s="1">
        <f>IFERROR(__xludf.DUMMYFUNCTION("""COMPUTED_VALUE"""),1393.22)</f>
        <v>1393.22</v>
      </c>
      <c r="C3778" s="1">
        <f>IFERROR(__xludf.DUMMYFUNCTION("""COMPUTED_VALUE"""),1393.22)</f>
        <v>1393.22</v>
      </c>
      <c r="D3778" s="1">
        <f>IFERROR(__xludf.DUMMYFUNCTION("""COMPUTED_VALUE"""),1365.97)</f>
        <v>1365.97</v>
      </c>
      <c r="E3778" s="1">
        <f>IFERROR(__xludf.DUMMYFUNCTION("""COMPUTED_VALUE"""),1365.98)</f>
        <v>1365.98</v>
      </c>
      <c r="F3778" s="1">
        <f>IFERROR(__xludf.DUMMYFUNCTION("""COMPUTED_VALUE"""),1.50390624E8)</f>
        <v>150390624</v>
      </c>
    </row>
    <row r="3779">
      <c r="A3779" s="2">
        <f>IFERROR(__xludf.DUMMYFUNCTION("""COMPUTED_VALUE"""),36843.666666666664)</f>
        <v>36843.66667</v>
      </c>
      <c r="B3779" s="1">
        <f>IFERROR(__xludf.DUMMYFUNCTION("""COMPUTED_VALUE"""),1365.98)</f>
        <v>1365.98</v>
      </c>
      <c r="C3779" s="1">
        <f>IFERROR(__xludf.DUMMYFUNCTION("""COMPUTED_VALUE"""),1365.98)</f>
        <v>1365.98</v>
      </c>
      <c r="D3779" s="1">
        <f>IFERROR(__xludf.DUMMYFUNCTION("""COMPUTED_VALUE"""),1328.62)</f>
        <v>1328.62</v>
      </c>
      <c r="E3779" s="1">
        <f>IFERROR(__xludf.DUMMYFUNCTION("""COMPUTED_VALUE"""),1351.26)</f>
        <v>1351.26</v>
      </c>
      <c r="F3779" s="1">
        <f>IFERROR(__xludf.DUMMYFUNCTION("""COMPUTED_VALUE"""),1.7645312E8)</f>
        <v>176453120</v>
      </c>
    </row>
    <row r="3780">
      <c r="A3780" s="2">
        <f>IFERROR(__xludf.DUMMYFUNCTION("""COMPUTED_VALUE"""),36844.666666666664)</f>
        <v>36844.66667</v>
      </c>
      <c r="B3780" s="1">
        <f>IFERROR(__xludf.DUMMYFUNCTION("""COMPUTED_VALUE"""),1351.26)</f>
        <v>1351.26</v>
      </c>
      <c r="C3780" s="1">
        <f>IFERROR(__xludf.DUMMYFUNCTION("""COMPUTED_VALUE"""),1390.06)</f>
        <v>1390.06</v>
      </c>
      <c r="D3780" s="1">
        <f>IFERROR(__xludf.DUMMYFUNCTION("""COMPUTED_VALUE"""),1351.26)</f>
        <v>1351.26</v>
      </c>
      <c r="E3780" s="1">
        <f>IFERROR(__xludf.DUMMYFUNCTION("""COMPUTED_VALUE"""),1382.95)</f>
        <v>1382.95</v>
      </c>
      <c r="F3780" s="1">
        <f>IFERROR(__xludf.DUMMYFUNCTION("""COMPUTED_VALUE"""),1.74812496E8)</f>
        <v>174812496</v>
      </c>
    </row>
    <row r="3781">
      <c r="A3781" s="2">
        <f>IFERROR(__xludf.DUMMYFUNCTION("""COMPUTED_VALUE"""),36845.666666666664)</f>
        <v>36845.66667</v>
      </c>
      <c r="B3781" s="1">
        <f>IFERROR(__xludf.DUMMYFUNCTION("""COMPUTED_VALUE"""),1382.95)</f>
        <v>1382.95</v>
      </c>
      <c r="C3781" s="1">
        <f>IFERROR(__xludf.DUMMYFUNCTION("""COMPUTED_VALUE"""),1395.96)</f>
        <v>1395.96</v>
      </c>
      <c r="D3781" s="1">
        <f>IFERROR(__xludf.DUMMYFUNCTION("""COMPUTED_VALUE"""),1374.75)</f>
        <v>1374.75</v>
      </c>
      <c r="E3781" s="1">
        <f>IFERROR(__xludf.DUMMYFUNCTION("""COMPUTED_VALUE"""),1390.04)</f>
        <v>1390.04</v>
      </c>
      <c r="F3781" s="1">
        <f>IFERROR(__xludf.DUMMYFUNCTION("""COMPUTED_VALUE"""),1.66687504E8)</f>
        <v>166687504</v>
      </c>
    </row>
    <row r="3782">
      <c r="A3782" s="2">
        <f>IFERROR(__xludf.DUMMYFUNCTION("""COMPUTED_VALUE"""),36846.666666666664)</f>
        <v>36846.66667</v>
      </c>
      <c r="B3782" s="1">
        <f>IFERROR(__xludf.DUMMYFUNCTION("""COMPUTED_VALUE"""),1389.81)</f>
        <v>1389.81</v>
      </c>
      <c r="C3782" s="1">
        <f>IFERROR(__xludf.DUMMYFUNCTION("""COMPUTED_VALUE"""),1394.68)</f>
        <v>1394.68</v>
      </c>
      <c r="D3782" s="1">
        <f>IFERROR(__xludf.DUMMYFUNCTION("""COMPUTED_VALUE"""),1370.4)</f>
        <v>1370.4</v>
      </c>
      <c r="E3782" s="1">
        <f>IFERROR(__xludf.DUMMYFUNCTION("""COMPUTED_VALUE"""),1372.32)</f>
        <v>1372.32</v>
      </c>
      <c r="F3782" s="1">
        <f>IFERROR(__xludf.DUMMYFUNCTION("""COMPUTED_VALUE"""),1.49421872E8)</f>
        <v>149421872</v>
      </c>
    </row>
    <row r="3783">
      <c r="A3783" s="2">
        <f>IFERROR(__xludf.DUMMYFUNCTION("""COMPUTED_VALUE"""),36847.666666666664)</f>
        <v>36847.66667</v>
      </c>
      <c r="B3783" s="1">
        <f>IFERROR(__xludf.DUMMYFUNCTION("""COMPUTED_VALUE"""),1372.32)</f>
        <v>1372.32</v>
      </c>
      <c r="C3783" s="1">
        <f>IFERROR(__xludf.DUMMYFUNCTION("""COMPUTED_VALUE"""),1384.85)</f>
        <v>1384.85</v>
      </c>
      <c r="D3783" s="1">
        <f>IFERROR(__xludf.DUMMYFUNCTION("""COMPUTED_VALUE"""),1355.55)</f>
        <v>1355.55</v>
      </c>
      <c r="E3783" s="1">
        <f>IFERROR(__xludf.DUMMYFUNCTION("""COMPUTED_VALUE"""),1367.72)</f>
        <v>1367.72</v>
      </c>
      <c r="F3783" s="1">
        <f>IFERROR(__xludf.DUMMYFUNCTION("""COMPUTED_VALUE"""),1.6725E8)</f>
        <v>167250000</v>
      </c>
    </row>
    <row r="3784">
      <c r="A3784" s="2">
        <f>IFERROR(__xludf.DUMMYFUNCTION("""COMPUTED_VALUE"""),36850.666666666664)</f>
        <v>36850.66667</v>
      </c>
      <c r="B3784" s="1">
        <f>IFERROR(__xludf.DUMMYFUNCTION("""COMPUTED_VALUE"""),1367.72)</f>
        <v>1367.72</v>
      </c>
      <c r="C3784" s="1">
        <f>IFERROR(__xludf.DUMMYFUNCTION("""COMPUTED_VALUE"""),1367.72)</f>
        <v>1367.72</v>
      </c>
      <c r="D3784" s="1">
        <f>IFERROR(__xludf.DUMMYFUNCTION("""COMPUTED_VALUE"""),1341.67)</f>
        <v>1341.67</v>
      </c>
      <c r="E3784" s="1">
        <f>IFERROR(__xludf.DUMMYFUNCTION("""COMPUTED_VALUE"""),1342.62)</f>
        <v>1342.62</v>
      </c>
      <c r="F3784" s="1">
        <f>IFERROR(__xludf.DUMMYFUNCTION("""COMPUTED_VALUE"""),1.49343744E8)</f>
        <v>149343744</v>
      </c>
    </row>
    <row r="3785">
      <c r="A3785" s="2">
        <f>IFERROR(__xludf.DUMMYFUNCTION("""COMPUTED_VALUE"""),36851.666666666664)</f>
        <v>36851.66667</v>
      </c>
      <c r="B3785" s="1">
        <f>IFERROR(__xludf.DUMMYFUNCTION("""COMPUTED_VALUE"""),1342.62)</f>
        <v>1342.62</v>
      </c>
      <c r="C3785" s="1">
        <f>IFERROR(__xludf.DUMMYFUNCTION("""COMPUTED_VALUE"""),1355.8)</f>
        <v>1355.8</v>
      </c>
      <c r="D3785" s="1">
        <f>IFERROR(__xludf.DUMMYFUNCTION("""COMPUTED_VALUE"""),1333.62)</f>
        <v>1333.62</v>
      </c>
      <c r="E3785" s="1">
        <f>IFERROR(__xludf.DUMMYFUNCTION("""COMPUTED_VALUE"""),1347.35)</f>
        <v>1347.35</v>
      </c>
      <c r="F3785" s="1">
        <f>IFERROR(__xludf.DUMMYFUNCTION("""COMPUTED_VALUE"""),1.77671872E8)</f>
        <v>177671872</v>
      </c>
    </row>
    <row r="3786">
      <c r="A3786" s="2">
        <f>IFERROR(__xludf.DUMMYFUNCTION("""COMPUTED_VALUE"""),36852.666666666664)</f>
        <v>36852.66667</v>
      </c>
      <c r="B3786" s="1">
        <f>IFERROR(__xludf.DUMMYFUNCTION("""COMPUTED_VALUE"""),1347.35)</f>
        <v>1347.35</v>
      </c>
      <c r="C3786" s="1">
        <f>IFERROR(__xludf.DUMMYFUNCTION("""COMPUTED_VALUE"""),1347.35)</f>
        <v>1347.35</v>
      </c>
      <c r="D3786" s="1">
        <f>IFERROR(__xludf.DUMMYFUNCTION("""COMPUTED_VALUE"""),1321.89)</f>
        <v>1321.89</v>
      </c>
      <c r="E3786" s="1">
        <f>IFERROR(__xludf.DUMMYFUNCTION("""COMPUTED_VALUE"""),1322.36)</f>
        <v>1322.36</v>
      </c>
      <c r="F3786" s="1">
        <f>IFERROR(__xludf.DUMMYFUNCTION("""COMPUTED_VALUE"""),1.505E8)</f>
        <v>150500000</v>
      </c>
    </row>
    <row r="3787">
      <c r="A3787" s="2">
        <f>IFERROR(__xludf.DUMMYFUNCTION("""COMPUTED_VALUE"""),36854.666666666664)</f>
        <v>36854.66667</v>
      </c>
      <c r="B3787" s="1">
        <f>IFERROR(__xludf.DUMMYFUNCTION("""COMPUTED_VALUE"""),1338.59)</f>
        <v>1338.59</v>
      </c>
      <c r="C3787" s="1">
        <f>IFERROR(__xludf.DUMMYFUNCTION("""COMPUTED_VALUE"""),1343.83)</f>
        <v>1343.83</v>
      </c>
      <c r="D3787" s="1">
        <f>IFERROR(__xludf.DUMMYFUNCTION("""COMPUTED_VALUE"""),1328.84)</f>
        <v>1328.84</v>
      </c>
      <c r="E3787" s="1">
        <f>IFERROR(__xludf.DUMMYFUNCTION("""COMPUTED_VALUE"""),1341.77)</f>
        <v>1341.77</v>
      </c>
      <c r="F3787" s="1">
        <f>IFERROR(__xludf.DUMMYFUNCTION("""COMPUTED_VALUE"""),6.3260936E7)</f>
        <v>63260936</v>
      </c>
    </row>
    <row r="3788">
      <c r="A3788" s="2">
        <f>IFERROR(__xludf.DUMMYFUNCTION("""COMPUTED_VALUE"""),36857.666666666664)</f>
        <v>36857.66667</v>
      </c>
      <c r="B3788" s="1">
        <f>IFERROR(__xludf.DUMMYFUNCTION("""COMPUTED_VALUE"""),1341.77)</f>
        <v>1341.77</v>
      </c>
      <c r="C3788" s="1">
        <f>IFERROR(__xludf.DUMMYFUNCTION("""COMPUTED_VALUE"""),1362.5)</f>
        <v>1362.5</v>
      </c>
      <c r="D3788" s="1">
        <f>IFERROR(__xludf.DUMMYFUNCTION("""COMPUTED_VALUE"""),1341.77)</f>
        <v>1341.77</v>
      </c>
      <c r="E3788" s="1">
        <f>IFERROR(__xludf.DUMMYFUNCTION("""COMPUTED_VALUE"""),1348.97)</f>
        <v>1348.97</v>
      </c>
      <c r="F3788" s="1">
        <f>IFERROR(__xludf.DUMMYFUNCTION("""COMPUTED_VALUE"""),1.47828128E8)</f>
        <v>147828128</v>
      </c>
    </row>
    <row r="3789">
      <c r="A3789" s="2">
        <f>IFERROR(__xludf.DUMMYFUNCTION("""COMPUTED_VALUE"""),36858.666666666664)</f>
        <v>36858.66667</v>
      </c>
      <c r="B3789" s="1">
        <f>IFERROR(__xludf.DUMMYFUNCTION("""COMPUTED_VALUE"""),1348.97)</f>
        <v>1348.97</v>
      </c>
      <c r="C3789" s="1">
        <f>IFERROR(__xludf.DUMMYFUNCTION("""COMPUTED_VALUE"""),1358.81)</f>
        <v>1358.81</v>
      </c>
      <c r="D3789" s="1">
        <f>IFERROR(__xludf.DUMMYFUNCTION("""COMPUTED_VALUE"""),1334.97)</f>
        <v>1334.97</v>
      </c>
      <c r="E3789" s="1">
        <f>IFERROR(__xludf.DUMMYFUNCTION("""COMPUTED_VALUE"""),1336.09)</f>
        <v>1336.09</v>
      </c>
      <c r="F3789" s="1">
        <f>IFERROR(__xludf.DUMMYFUNCTION("""COMPUTED_VALUE"""),1.60656256E8)</f>
        <v>160656256</v>
      </c>
    </row>
    <row r="3790">
      <c r="A3790" s="2">
        <f>IFERROR(__xludf.DUMMYFUNCTION("""COMPUTED_VALUE"""),36859.666666666664)</f>
        <v>36859.66667</v>
      </c>
      <c r="B3790" s="1">
        <f>IFERROR(__xludf.DUMMYFUNCTION("""COMPUTED_VALUE"""),1336.09)</f>
        <v>1336.09</v>
      </c>
      <c r="C3790" s="1">
        <f>IFERROR(__xludf.DUMMYFUNCTION("""COMPUTED_VALUE"""),1352.38)</f>
        <v>1352.38</v>
      </c>
      <c r="D3790" s="1">
        <f>IFERROR(__xludf.DUMMYFUNCTION("""COMPUTED_VALUE"""),1329.28)</f>
        <v>1329.28</v>
      </c>
      <c r="E3790" s="1">
        <f>IFERROR(__xludf.DUMMYFUNCTION("""COMPUTED_VALUE"""),1341.93)</f>
        <v>1341.93</v>
      </c>
      <c r="F3790" s="1">
        <f>IFERROR(__xludf.DUMMYFUNCTION("""COMPUTED_VALUE"""),6.2828124E7)</f>
        <v>62828124</v>
      </c>
    </row>
    <row r="3791">
      <c r="A3791" s="2">
        <f>IFERROR(__xludf.DUMMYFUNCTION("""COMPUTED_VALUE"""),36860.666666666664)</f>
        <v>36860.66667</v>
      </c>
      <c r="B3791" s="1">
        <f>IFERROR(__xludf.DUMMYFUNCTION("""COMPUTED_VALUE"""),1341.91)</f>
        <v>1341.91</v>
      </c>
      <c r="C3791" s="1">
        <f>IFERROR(__xludf.DUMMYFUNCTION("""COMPUTED_VALUE"""),1341.91)</f>
        <v>1341.91</v>
      </c>
      <c r="D3791" s="1">
        <f>IFERROR(__xludf.DUMMYFUNCTION("""COMPUTED_VALUE"""),1294.9)</f>
        <v>1294.9</v>
      </c>
      <c r="E3791" s="1">
        <f>IFERROR(__xludf.DUMMYFUNCTION("""COMPUTED_VALUE"""),1314.95)</f>
        <v>1314.95</v>
      </c>
      <c r="F3791" s="1">
        <f>IFERROR(__xludf.DUMMYFUNCTION("""COMPUTED_VALUE"""),1.85395312E8)</f>
        <v>185395312</v>
      </c>
    </row>
    <row r="3792">
      <c r="A3792" s="2">
        <f>IFERROR(__xludf.DUMMYFUNCTION("""COMPUTED_VALUE"""),36861.666666666664)</f>
        <v>36861.66667</v>
      </c>
      <c r="B3792" s="1">
        <f>IFERROR(__xludf.DUMMYFUNCTION("""COMPUTED_VALUE"""),1314.95)</f>
        <v>1314.95</v>
      </c>
      <c r="C3792" s="1">
        <f>IFERROR(__xludf.DUMMYFUNCTION("""COMPUTED_VALUE"""),1334.67)</f>
        <v>1334.67</v>
      </c>
      <c r="D3792" s="1">
        <f>IFERROR(__xludf.DUMMYFUNCTION("""COMPUTED_VALUE"""),1307.02)</f>
        <v>1307.02</v>
      </c>
      <c r="E3792" s="1">
        <f>IFERROR(__xludf.DUMMYFUNCTION("""COMPUTED_VALUE"""),1315.23)</f>
        <v>1315.23</v>
      </c>
      <c r="F3792" s="1">
        <f>IFERROR(__xludf.DUMMYFUNCTION("""COMPUTED_VALUE"""),1.8675E8)</f>
        <v>186750000</v>
      </c>
    </row>
    <row r="3793">
      <c r="A3793" s="2">
        <f>IFERROR(__xludf.DUMMYFUNCTION("""COMPUTED_VALUE"""),36864.666666666664)</f>
        <v>36864.66667</v>
      </c>
      <c r="B3793" s="1">
        <f>IFERROR(__xludf.DUMMYFUNCTION("""COMPUTED_VALUE"""),1315.18)</f>
        <v>1315.18</v>
      </c>
      <c r="C3793" s="1">
        <f>IFERROR(__xludf.DUMMYFUNCTION("""COMPUTED_VALUE"""),1332.06)</f>
        <v>1332.06</v>
      </c>
      <c r="D3793" s="1">
        <f>IFERROR(__xludf.DUMMYFUNCTION("""COMPUTED_VALUE"""),1310.23)</f>
        <v>1310.23</v>
      </c>
      <c r="E3793" s="1">
        <f>IFERROR(__xludf.DUMMYFUNCTION("""COMPUTED_VALUE"""),1324.97)</f>
        <v>1324.97</v>
      </c>
      <c r="F3793" s="1">
        <f>IFERROR(__xludf.DUMMYFUNCTION("""COMPUTED_VALUE"""),1.72343744E8)</f>
        <v>172343744</v>
      </c>
    </row>
    <row r="3794">
      <c r="A3794" s="2">
        <f>IFERROR(__xludf.DUMMYFUNCTION("""COMPUTED_VALUE"""),36865.666666666664)</f>
        <v>36865.66667</v>
      </c>
      <c r="B3794" s="1">
        <f>IFERROR(__xludf.DUMMYFUNCTION("""COMPUTED_VALUE"""),1333.48)</f>
        <v>1333.48</v>
      </c>
      <c r="C3794" s="1">
        <f>IFERROR(__xludf.DUMMYFUNCTION("""COMPUTED_VALUE"""),1376.56)</f>
        <v>1376.56</v>
      </c>
      <c r="D3794" s="1">
        <f>IFERROR(__xludf.DUMMYFUNCTION("""COMPUTED_VALUE"""),1333.47)</f>
        <v>1333.47</v>
      </c>
      <c r="E3794" s="1">
        <f>IFERROR(__xludf.DUMMYFUNCTION("""COMPUTED_VALUE"""),1376.54)</f>
        <v>1376.54</v>
      </c>
      <c r="F3794" s="1">
        <f>IFERROR(__xludf.DUMMYFUNCTION("""COMPUTED_VALUE"""),1.40671872E8)</f>
        <v>140671872</v>
      </c>
    </row>
    <row r="3795">
      <c r="A3795" s="2">
        <f>IFERROR(__xludf.DUMMYFUNCTION("""COMPUTED_VALUE"""),36866.666666666664)</f>
        <v>36866.66667</v>
      </c>
      <c r="B3795" s="1">
        <f>IFERROR(__xludf.DUMMYFUNCTION("""COMPUTED_VALUE"""),1376.0)</f>
        <v>1376</v>
      </c>
      <c r="C3795" s="1">
        <f>IFERROR(__xludf.DUMMYFUNCTION("""COMPUTED_VALUE"""),1376.01)</f>
        <v>1376.01</v>
      </c>
      <c r="D3795" s="1">
        <f>IFERROR(__xludf.DUMMYFUNCTION("""COMPUTED_VALUE"""),1346.15)</f>
        <v>1346.15</v>
      </c>
      <c r="E3795" s="1">
        <f>IFERROR(__xludf.DUMMYFUNCTION("""COMPUTED_VALUE"""),1351.46)</f>
        <v>1351.46</v>
      </c>
      <c r="F3795" s="1">
        <f>IFERROR(__xludf.DUMMYFUNCTION("""COMPUTED_VALUE"""),2.18640624E8)</f>
        <v>218640624</v>
      </c>
    </row>
    <row r="3796">
      <c r="A3796" s="2">
        <f>IFERROR(__xludf.DUMMYFUNCTION("""COMPUTED_VALUE"""),36867.666666666664)</f>
        <v>36867.66667</v>
      </c>
      <c r="B3796" s="1">
        <f>IFERROR(__xludf.DUMMYFUNCTION("""COMPUTED_VALUE"""),1351.46)</f>
        <v>1351.46</v>
      </c>
      <c r="C3796" s="1">
        <f>IFERROR(__xludf.DUMMYFUNCTION("""COMPUTED_VALUE"""),1353.5)</f>
        <v>1353.5</v>
      </c>
      <c r="D3796" s="1">
        <f>IFERROR(__xludf.DUMMYFUNCTION("""COMPUTED_VALUE"""),1339.26)</f>
        <v>1339.26</v>
      </c>
      <c r="E3796" s="1">
        <f>IFERROR(__xludf.DUMMYFUNCTION("""COMPUTED_VALUE"""),1343.55)</f>
        <v>1343.55</v>
      </c>
      <c r="F3796" s="1">
        <f>IFERROR(__xludf.DUMMYFUNCTION("""COMPUTED_VALUE"""),1.7625E8)</f>
        <v>176250000</v>
      </c>
    </row>
    <row r="3797">
      <c r="A3797" s="2">
        <f>IFERROR(__xludf.DUMMYFUNCTION("""COMPUTED_VALUE"""),36868.666666666664)</f>
        <v>36868.66667</v>
      </c>
      <c r="B3797" s="1">
        <f>IFERROR(__xludf.DUMMYFUNCTION("""COMPUTED_VALUE"""),1353.1)</f>
        <v>1353.1</v>
      </c>
      <c r="C3797" s="1">
        <f>IFERROR(__xludf.DUMMYFUNCTION("""COMPUTED_VALUE"""),1380.33)</f>
        <v>1380.33</v>
      </c>
      <c r="D3797" s="1">
        <f>IFERROR(__xludf.DUMMYFUNCTION("""COMPUTED_VALUE"""),1353.1)</f>
        <v>1353.1</v>
      </c>
      <c r="E3797" s="1">
        <f>IFERROR(__xludf.DUMMYFUNCTION("""COMPUTED_VALUE"""),1369.89)</f>
        <v>1369.89</v>
      </c>
      <c r="F3797" s="1">
        <f>IFERROR(__xludf.DUMMYFUNCTION("""COMPUTED_VALUE"""),2.12234368E8)</f>
        <v>212234368</v>
      </c>
    </row>
    <row r="3798">
      <c r="A3798" s="2">
        <f>IFERROR(__xludf.DUMMYFUNCTION("""COMPUTED_VALUE"""),36871.666666666664)</f>
        <v>36871.66667</v>
      </c>
      <c r="B3798" s="1">
        <f>IFERROR(__xludf.DUMMYFUNCTION("""COMPUTED_VALUE"""),1369.89)</f>
        <v>1369.89</v>
      </c>
      <c r="C3798" s="1">
        <f>IFERROR(__xludf.DUMMYFUNCTION("""COMPUTED_VALUE"""),1389.05)</f>
        <v>1389.05</v>
      </c>
      <c r="D3798" s="1">
        <f>IFERROR(__xludf.DUMMYFUNCTION("""COMPUTED_VALUE"""),1364.14)</f>
        <v>1364.14</v>
      </c>
      <c r="E3798" s="1">
        <f>IFERROR(__xludf.DUMMYFUNCTION("""COMPUTED_VALUE"""),1380.2)</f>
        <v>1380.2</v>
      </c>
      <c r="F3798" s="1">
        <f>IFERROR(__xludf.DUMMYFUNCTION("""COMPUTED_VALUE"""),1.87875008E8)</f>
        <v>187875008</v>
      </c>
    </row>
    <row r="3799">
      <c r="A3799" s="2">
        <f>IFERROR(__xludf.DUMMYFUNCTION("""COMPUTED_VALUE"""),36872.666666666664)</f>
        <v>36872.66667</v>
      </c>
      <c r="B3799" s="1">
        <f>IFERROR(__xludf.DUMMYFUNCTION("""COMPUTED_VALUE"""),1380.2)</f>
        <v>1380.2</v>
      </c>
      <c r="C3799" s="1">
        <f>IFERROR(__xludf.DUMMYFUNCTION("""COMPUTED_VALUE"""),1380.27)</f>
        <v>1380.27</v>
      </c>
      <c r="D3799" s="1">
        <f>IFERROR(__xludf.DUMMYFUNCTION("""COMPUTED_VALUE"""),1370.27)</f>
        <v>1370.27</v>
      </c>
      <c r="E3799" s="1">
        <f>IFERROR(__xludf.DUMMYFUNCTION("""COMPUTED_VALUE"""),1371.18)</f>
        <v>1371.18</v>
      </c>
      <c r="F3799" s="1">
        <f>IFERROR(__xludf.DUMMYFUNCTION("""COMPUTED_VALUE"""),1.69281248E8)</f>
        <v>169281248</v>
      </c>
    </row>
    <row r="3800">
      <c r="A3800" s="2">
        <f>IFERROR(__xludf.DUMMYFUNCTION("""COMPUTED_VALUE"""),36873.666666666664)</f>
        <v>36873.66667</v>
      </c>
      <c r="B3800" s="1">
        <f>IFERROR(__xludf.DUMMYFUNCTION("""COMPUTED_VALUE"""),1371.18)</f>
        <v>1371.18</v>
      </c>
      <c r="C3800" s="1">
        <f>IFERROR(__xludf.DUMMYFUNCTION("""COMPUTED_VALUE"""),1385.82)</f>
        <v>1385.82</v>
      </c>
      <c r="D3800" s="1">
        <f>IFERROR(__xludf.DUMMYFUNCTION("""COMPUTED_VALUE"""),1358.48)</f>
        <v>1358.48</v>
      </c>
      <c r="E3800" s="1">
        <f>IFERROR(__xludf.DUMMYFUNCTION("""COMPUTED_VALUE"""),1359.99)</f>
        <v>1359.99</v>
      </c>
      <c r="F3800" s="1">
        <f>IFERROR(__xludf.DUMMYFUNCTION("""COMPUTED_VALUE"""),1.86734368E8)</f>
        <v>186734368</v>
      </c>
    </row>
    <row r="3801">
      <c r="A3801" s="2">
        <f>IFERROR(__xludf.DUMMYFUNCTION("""COMPUTED_VALUE"""),36874.666666666664)</f>
        <v>36874.66667</v>
      </c>
      <c r="B3801" s="1">
        <f>IFERROR(__xludf.DUMMYFUNCTION("""COMPUTED_VALUE"""),1359.99)</f>
        <v>1359.99</v>
      </c>
      <c r="C3801" s="1">
        <f>IFERROR(__xludf.DUMMYFUNCTION("""COMPUTED_VALUE"""),1359.99)</f>
        <v>1359.99</v>
      </c>
      <c r="D3801" s="1">
        <f>IFERROR(__xludf.DUMMYFUNCTION("""COMPUTED_VALUE"""),1340.48)</f>
        <v>1340.48</v>
      </c>
      <c r="E3801" s="1">
        <f>IFERROR(__xludf.DUMMYFUNCTION("""COMPUTED_VALUE"""),1340.93)</f>
        <v>1340.93</v>
      </c>
      <c r="F3801" s="1">
        <f>IFERROR(__xludf.DUMMYFUNCTION("""COMPUTED_VALUE"""),1.65828128E8)</f>
        <v>165828128</v>
      </c>
    </row>
    <row r="3802">
      <c r="A3802" s="2">
        <f>IFERROR(__xludf.DUMMYFUNCTION("""COMPUTED_VALUE"""),36875.666666666664)</f>
        <v>36875.66667</v>
      </c>
      <c r="B3802" s="1">
        <f>IFERROR(__xludf.DUMMYFUNCTION("""COMPUTED_VALUE"""),1336.59)</f>
        <v>1336.59</v>
      </c>
      <c r="C3802" s="1">
        <f>IFERROR(__xludf.DUMMYFUNCTION("""COMPUTED_VALUE"""),1336.59)</f>
        <v>1336.59</v>
      </c>
      <c r="D3802" s="1">
        <f>IFERROR(__xludf.DUMMYFUNCTION("""COMPUTED_VALUE"""),1305.38)</f>
        <v>1305.38</v>
      </c>
      <c r="E3802" s="1">
        <f>IFERROR(__xludf.DUMMYFUNCTION("""COMPUTED_VALUE"""),1312.15)</f>
        <v>1312.15</v>
      </c>
      <c r="F3802" s="1">
        <f>IFERROR(__xludf.DUMMYFUNCTION("""COMPUTED_VALUE"""),2.43921872E8)</f>
        <v>243921872</v>
      </c>
    </row>
    <row r="3803">
      <c r="A3803" s="2">
        <f>IFERROR(__xludf.DUMMYFUNCTION("""COMPUTED_VALUE"""),36878.666666666664)</f>
        <v>36878.66667</v>
      </c>
      <c r="B3803" s="1">
        <f>IFERROR(__xludf.DUMMYFUNCTION("""COMPUTED_VALUE"""),1316.32)</f>
        <v>1316.32</v>
      </c>
      <c r="C3803" s="1">
        <f>IFERROR(__xludf.DUMMYFUNCTION("""COMPUTED_VALUE"""),1332.32)</f>
        <v>1332.32</v>
      </c>
      <c r="D3803" s="1">
        <f>IFERROR(__xludf.DUMMYFUNCTION("""COMPUTED_VALUE"""),1316.32)</f>
        <v>1316.32</v>
      </c>
      <c r="E3803" s="1">
        <f>IFERROR(__xludf.DUMMYFUNCTION("""COMPUTED_VALUE"""),1322.74)</f>
        <v>1322.74</v>
      </c>
      <c r="F3803" s="1">
        <f>IFERROR(__xludf.DUMMYFUNCTION("""COMPUTED_VALUE"""),1.85921872E8)</f>
        <v>185921872</v>
      </c>
    </row>
    <row r="3804">
      <c r="A3804" s="2">
        <f>IFERROR(__xludf.DUMMYFUNCTION("""COMPUTED_VALUE"""),36879.666666666664)</f>
        <v>36879.66667</v>
      </c>
      <c r="B3804" s="1">
        <f>IFERROR(__xludf.DUMMYFUNCTION("""COMPUTED_VALUE"""),1322.96)</f>
        <v>1322.96</v>
      </c>
      <c r="C3804" s="1">
        <f>IFERROR(__xludf.DUMMYFUNCTION("""COMPUTED_VALUE"""),1346.44)</f>
        <v>1346.44</v>
      </c>
      <c r="D3804" s="1">
        <f>IFERROR(__xludf.DUMMYFUNCTION("""COMPUTED_VALUE"""),1305.2)</f>
        <v>1305.2</v>
      </c>
      <c r="E3804" s="1">
        <f>IFERROR(__xludf.DUMMYFUNCTION("""COMPUTED_VALUE"""),1322.74)</f>
        <v>1322.74</v>
      </c>
      <c r="F3804" s="1">
        <f>IFERROR(__xludf.DUMMYFUNCTION("""COMPUTED_VALUE"""),2.07015632E8)</f>
        <v>207015632</v>
      </c>
    </row>
    <row r="3805">
      <c r="A3805" s="2">
        <f>IFERROR(__xludf.DUMMYFUNCTION("""COMPUTED_VALUE"""),36880.666666666664)</f>
        <v>36880.66667</v>
      </c>
      <c r="B3805" s="1">
        <f>IFERROR(__xludf.DUMMYFUNCTION("""COMPUTED_VALUE"""),1305.6)</f>
        <v>1305.6</v>
      </c>
      <c r="C3805" s="1">
        <f>IFERROR(__xludf.DUMMYFUNCTION("""COMPUTED_VALUE"""),1305.6)</f>
        <v>1305.6</v>
      </c>
      <c r="D3805" s="1">
        <f>IFERROR(__xludf.DUMMYFUNCTION("""COMPUTED_VALUE"""),1261.16)</f>
        <v>1261.16</v>
      </c>
      <c r="E3805" s="1">
        <f>IFERROR(__xludf.DUMMYFUNCTION("""COMPUTED_VALUE"""),1264.74)</f>
        <v>1264.74</v>
      </c>
      <c r="F3805" s="1">
        <f>IFERROR(__xludf.DUMMYFUNCTION("""COMPUTED_VALUE"""),2.22124992E8)</f>
        <v>222124992</v>
      </c>
    </row>
    <row r="3806">
      <c r="A3806" s="2">
        <f>IFERROR(__xludf.DUMMYFUNCTION("""COMPUTED_VALUE"""),36881.666666666664)</f>
        <v>36881.66667</v>
      </c>
      <c r="B3806" s="1">
        <f>IFERROR(__xludf.DUMMYFUNCTION("""COMPUTED_VALUE"""),1263.7)</f>
        <v>1263.7</v>
      </c>
      <c r="C3806" s="1">
        <f>IFERROR(__xludf.DUMMYFUNCTION("""COMPUTED_VALUE"""),1285.31)</f>
        <v>1285.31</v>
      </c>
      <c r="D3806" s="1">
        <f>IFERROR(__xludf.DUMMYFUNCTION("""COMPUTED_VALUE"""),1254.07)</f>
        <v>1254.07</v>
      </c>
      <c r="E3806" s="1">
        <f>IFERROR(__xludf.DUMMYFUNCTION("""COMPUTED_VALUE"""),1274.86)</f>
        <v>1274.86</v>
      </c>
      <c r="F3806" s="1">
        <f>IFERROR(__xludf.DUMMYFUNCTION("""COMPUTED_VALUE"""),2.2654688E8)</f>
        <v>226546880</v>
      </c>
    </row>
    <row r="3807">
      <c r="A3807" s="2">
        <f>IFERROR(__xludf.DUMMYFUNCTION("""COMPUTED_VALUE"""),36882.666666666664)</f>
        <v>36882.66667</v>
      </c>
      <c r="B3807" s="1">
        <f>IFERROR(__xludf.DUMMYFUNCTION("""COMPUTED_VALUE"""),1279.47)</f>
        <v>1279.47</v>
      </c>
      <c r="C3807" s="1">
        <f>IFERROR(__xludf.DUMMYFUNCTION("""COMPUTED_VALUE"""),1305.97)</f>
        <v>1305.97</v>
      </c>
      <c r="D3807" s="1">
        <f>IFERROR(__xludf.DUMMYFUNCTION("""COMPUTED_VALUE"""),1279.47)</f>
        <v>1279.47</v>
      </c>
      <c r="E3807" s="1">
        <f>IFERROR(__xludf.DUMMYFUNCTION("""COMPUTED_VALUE"""),1305.95)</f>
        <v>1305.95</v>
      </c>
      <c r="F3807" s="1">
        <f>IFERROR(__xludf.DUMMYFUNCTION("""COMPUTED_VALUE"""),1.69859376E8)</f>
        <v>169859376</v>
      </c>
    </row>
    <row r="3808">
      <c r="A3808" s="2">
        <f>IFERROR(__xludf.DUMMYFUNCTION("""COMPUTED_VALUE"""),36886.666666666664)</f>
        <v>36886.66667</v>
      </c>
      <c r="B3808" s="1">
        <f>IFERROR(__xludf.DUMMYFUNCTION("""COMPUTED_VALUE"""),1305.93)</f>
        <v>1305.93</v>
      </c>
      <c r="C3808" s="1">
        <f>IFERROR(__xludf.DUMMYFUNCTION("""COMPUTED_VALUE"""),1315.94)</f>
        <v>1315.94</v>
      </c>
      <c r="D3808" s="1">
        <f>IFERROR(__xludf.DUMMYFUNCTION("""COMPUTED_VALUE"""),1301.64)</f>
        <v>1301.64</v>
      </c>
      <c r="E3808" s="1">
        <f>IFERROR(__xludf.DUMMYFUNCTION("""COMPUTED_VALUE"""),1315.19)</f>
        <v>1315.19</v>
      </c>
      <c r="F3808" s="1">
        <f>IFERROR(__xludf.DUMMYFUNCTION("""COMPUTED_VALUE"""),1.26015624E8)</f>
        <v>126015624</v>
      </c>
    </row>
    <row r="3809">
      <c r="A3809" s="2">
        <f>IFERROR(__xludf.DUMMYFUNCTION("""COMPUTED_VALUE"""),36887.666666666664)</f>
        <v>36887.66667</v>
      </c>
      <c r="B3809" s="1">
        <f>IFERROR(__xludf.DUMMYFUNCTION("""COMPUTED_VALUE"""),1314.27)</f>
        <v>1314.27</v>
      </c>
      <c r="C3809" s="1">
        <f>IFERROR(__xludf.DUMMYFUNCTION("""COMPUTED_VALUE"""),1332.03)</f>
        <v>1332.03</v>
      </c>
      <c r="D3809" s="1">
        <f>IFERROR(__xludf.DUMMYFUNCTION("""COMPUTED_VALUE"""),1310.96)</f>
        <v>1310.96</v>
      </c>
      <c r="E3809" s="1">
        <f>IFERROR(__xludf.DUMMYFUNCTION("""COMPUTED_VALUE"""),1328.92)</f>
        <v>1328.92</v>
      </c>
      <c r="F3809" s="1">
        <f>IFERROR(__xludf.DUMMYFUNCTION("""COMPUTED_VALUE"""),1.70734368E8)</f>
        <v>170734368</v>
      </c>
    </row>
    <row r="3810">
      <c r="A3810" s="2">
        <f>IFERROR(__xludf.DUMMYFUNCTION("""COMPUTED_VALUE"""),36888.666666666664)</f>
        <v>36888.66667</v>
      </c>
      <c r="B3810" s="1">
        <f>IFERROR(__xludf.DUMMYFUNCTION("""COMPUTED_VALUE"""),1326.52)</f>
        <v>1326.52</v>
      </c>
      <c r="C3810" s="1">
        <f>IFERROR(__xludf.DUMMYFUNCTION("""COMPUTED_VALUE"""),1335.93)</f>
        <v>1335.93</v>
      </c>
      <c r="D3810" s="1">
        <f>IFERROR(__xludf.DUMMYFUNCTION("""COMPUTED_VALUE"""),1325.78)</f>
        <v>1325.78</v>
      </c>
      <c r="E3810" s="1">
        <f>IFERROR(__xludf.DUMMYFUNCTION("""COMPUTED_VALUE"""),1334.22)</f>
        <v>1334.22</v>
      </c>
      <c r="F3810" s="1">
        <f>IFERROR(__xludf.DUMMYFUNCTION("""COMPUTED_VALUE"""),1.58640624E8)</f>
        <v>158640624</v>
      </c>
    </row>
    <row r="3811">
      <c r="A3811" s="2">
        <f>IFERROR(__xludf.DUMMYFUNCTION("""COMPUTED_VALUE"""),36889.666666666664)</f>
        <v>36889.66667</v>
      </c>
      <c r="B3811" s="1">
        <f>IFERROR(__xludf.DUMMYFUNCTION("""COMPUTED_VALUE"""),1333.15)</f>
        <v>1333.15</v>
      </c>
      <c r="C3811" s="1">
        <f>IFERROR(__xludf.DUMMYFUNCTION("""COMPUTED_VALUE"""),1340.1)</f>
        <v>1340.1</v>
      </c>
      <c r="D3811" s="1">
        <f>IFERROR(__xludf.DUMMYFUNCTION("""COMPUTED_VALUE"""),1317.51)</f>
        <v>1317.51</v>
      </c>
      <c r="E3811" s="1">
        <f>IFERROR(__xludf.DUMMYFUNCTION("""COMPUTED_VALUE"""),1320.28)</f>
        <v>1320.28</v>
      </c>
      <c r="F3811" s="1">
        <f>IFERROR(__xludf.DUMMYFUNCTION("""COMPUTED_VALUE"""),1.6179688E8)</f>
        <v>161796880</v>
      </c>
    </row>
    <row r="3812">
      <c r="A3812" s="2">
        <f>IFERROR(__xludf.DUMMYFUNCTION("""COMPUTED_VALUE"""),36893.666666666664)</f>
        <v>36893.66667</v>
      </c>
      <c r="B3812" s="1">
        <f>IFERROR(__xludf.DUMMYFUNCTION("""COMPUTED_VALUE"""),1320.28)</f>
        <v>1320.28</v>
      </c>
      <c r="C3812" s="1">
        <f>IFERROR(__xludf.DUMMYFUNCTION("""COMPUTED_VALUE"""),1320.28)</f>
        <v>1320.28</v>
      </c>
      <c r="D3812" s="1">
        <f>IFERROR(__xludf.DUMMYFUNCTION("""COMPUTED_VALUE"""),1276.05)</f>
        <v>1276.05</v>
      </c>
      <c r="E3812" s="1">
        <f>IFERROR(__xludf.DUMMYFUNCTION("""COMPUTED_VALUE"""),1283.27)</f>
        <v>1283.27</v>
      </c>
      <c r="F3812" s="1">
        <f>IFERROR(__xludf.DUMMYFUNCTION("""COMPUTED_VALUE"""),1.76468752E8)</f>
        <v>176468752</v>
      </c>
    </row>
    <row r="3813">
      <c r="A3813" s="2">
        <f>IFERROR(__xludf.DUMMYFUNCTION("""COMPUTED_VALUE"""),36894.666666666664)</f>
        <v>36894.66667</v>
      </c>
      <c r="B3813" s="1">
        <f>IFERROR(__xludf.DUMMYFUNCTION("""COMPUTED_VALUE"""),1280.21)</f>
        <v>1280.21</v>
      </c>
      <c r="C3813" s="1">
        <f>IFERROR(__xludf.DUMMYFUNCTION("""COMPUTED_VALUE"""),1347.76)</f>
        <v>1347.76</v>
      </c>
      <c r="D3813" s="1">
        <f>IFERROR(__xludf.DUMMYFUNCTION("""COMPUTED_VALUE"""),1274.62)</f>
        <v>1274.62</v>
      </c>
      <c r="E3813" s="1">
        <f>IFERROR(__xludf.DUMMYFUNCTION("""COMPUTED_VALUE"""),1347.56)</f>
        <v>1347.56</v>
      </c>
      <c r="F3813" s="1">
        <f>IFERROR(__xludf.DUMMYFUNCTION("""COMPUTED_VALUE"""),2.9385936E8)</f>
        <v>293859360</v>
      </c>
    </row>
    <row r="3814">
      <c r="A3814" s="2">
        <f>IFERROR(__xludf.DUMMYFUNCTION("""COMPUTED_VALUE"""),36895.666666666664)</f>
        <v>36895.66667</v>
      </c>
      <c r="B3814" s="1">
        <f>IFERROR(__xludf.DUMMYFUNCTION("""COMPUTED_VALUE"""),1345.82)</f>
        <v>1345.82</v>
      </c>
      <c r="C3814" s="1">
        <f>IFERROR(__xludf.DUMMYFUNCTION("""COMPUTED_VALUE"""),1350.24)</f>
        <v>1350.24</v>
      </c>
      <c r="D3814" s="1">
        <f>IFERROR(__xludf.DUMMYFUNCTION("""COMPUTED_VALUE"""),1329.14)</f>
        <v>1329.14</v>
      </c>
      <c r="E3814" s="1">
        <f>IFERROR(__xludf.DUMMYFUNCTION("""COMPUTED_VALUE"""),1333.34)</f>
        <v>1333.34</v>
      </c>
      <c r="F3814" s="1">
        <f>IFERROR(__xludf.DUMMYFUNCTION("""COMPUTED_VALUE"""),3.32968736E8)</f>
        <v>332968736</v>
      </c>
    </row>
    <row r="3815">
      <c r="A3815" s="2">
        <f>IFERROR(__xludf.DUMMYFUNCTION("""COMPUTED_VALUE"""),36896.666666666664)</f>
        <v>36896.66667</v>
      </c>
      <c r="B3815" s="1">
        <f>IFERROR(__xludf.DUMMYFUNCTION("""COMPUTED_VALUE"""),1334.26)</f>
        <v>1334.26</v>
      </c>
      <c r="C3815" s="1">
        <f>IFERROR(__xludf.DUMMYFUNCTION("""COMPUTED_VALUE"""),1334.77)</f>
        <v>1334.77</v>
      </c>
      <c r="D3815" s="1">
        <f>IFERROR(__xludf.DUMMYFUNCTION("""COMPUTED_VALUE"""),1294.95)</f>
        <v>1294.95</v>
      </c>
      <c r="E3815" s="1">
        <f>IFERROR(__xludf.DUMMYFUNCTION("""COMPUTED_VALUE"""),1298.35)</f>
        <v>1298.35</v>
      </c>
      <c r="F3815" s="1">
        <f>IFERROR(__xludf.DUMMYFUNCTION("""COMPUTED_VALUE"""),2.23562496E8)</f>
        <v>223562496</v>
      </c>
    </row>
    <row r="3816">
      <c r="A3816" s="2">
        <f>IFERROR(__xludf.DUMMYFUNCTION("""COMPUTED_VALUE"""),36899.666666666664)</f>
        <v>36899.66667</v>
      </c>
      <c r="B3816" s="1">
        <f>IFERROR(__xludf.DUMMYFUNCTION("""COMPUTED_VALUE"""),1296.33)</f>
        <v>1296.33</v>
      </c>
      <c r="C3816" s="1">
        <f>IFERROR(__xludf.DUMMYFUNCTION("""COMPUTED_VALUE"""),1296.97)</f>
        <v>1296.97</v>
      </c>
      <c r="D3816" s="1">
        <f>IFERROR(__xludf.DUMMYFUNCTION("""COMPUTED_VALUE"""),1276.29)</f>
        <v>1276.29</v>
      </c>
      <c r="E3816" s="1">
        <f>IFERROR(__xludf.DUMMYFUNCTION("""COMPUTED_VALUE"""),1295.86)</f>
        <v>1295.86</v>
      </c>
      <c r="F3816" s="1">
        <f>IFERROR(__xludf.DUMMYFUNCTION("""COMPUTED_VALUE"""),1.7429688E8)</f>
        <v>174296880</v>
      </c>
    </row>
    <row r="3817">
      <c r="A3817" s="2">
        <f>IFERROR(__xludf.DUMMYFUNCTION("""COMPUTED_VALUE"""),36900.666666666664)</f>
        <v>36900.66667</v>
      </c>
      <c r="B3817" s="1">
        <f>IFERROR(__xludf.DUMMYFUNCTION("""COMPUTED_VALUE"""),1298.96)</f>
        <v>1298.96</v>
      </c>
      <c r="C3817" s="1">
        <f>IFERROR(__xludf.DUMMYFUNCTION("""COMPUTED_VALUE"""),1311.72)</f>
        <v>1311.72</v>
      </c>
      <c r="D3817" s="1">
        <f>IFERROR(__xludf.DUMMYFUNCTION("""COMPUTED_VALUE"""),1295.14)</f>
        <v>1295.14</v>
      </c>
      <c r="E3817" s="1">
        <f>IFERROR(__xludf.DUMMYFUNCTION("""COMPUTED_VALUE"""),1300.8)</f>
        <v>1300.8</v>
      </c>
      <c r="F3817" s="1">
        <f>IFERROR(__xludf.DUMMYFUNCTION("""COMPUTED_VALUE"""),1.86140624E8)</f>
        <v>186140624</v>
      </c>
    </row>
    <row r="3818">
      <c r="A3818" s="2">
        <f>IFERROR(__xludf.DUMMYFUNCTION("""COMPUTED_VALUE"""),36901.666666666664)</f>
        <v>36901.66667</v>
      </c>
      <c r="B3818" s="1">
        <f>IFERROR(__xludf.DUMMYFUNCTION("""COMPUTED_VALUE"""),1297.57)</f>
        <v>1297.57</v>
      </c>
      <c r="C3818" s="1">
        <f>IFERROR(__xludf.DUMMYFUNCTION("""COMPUTED_VALUE"""),1313.76)</f>
        <v>1313.76</v>
      </c>
      <c r="D3818" s="1">
        <f>IFERROR(__xludf.DUMMYFUNCTION("""COMPUTED_VALUE"""),1287.28)</f>
        <v>1287.28</v>
      </c>
      <c r="E3818" s="1">
        <f>IFERROR(__xludf.DUMMYFUNCTION("""COMPUTED_VALUE"""),1313.27)</f>
        <v>1313.27</v>
      </c>
      <c r="F3818" s="1">
        <f>IFERROR(__xludf.DUMMYFUNCTION("""COMPUTED_VALUE"""),2.02578128E8)</f>
        <v>202578128</v>
      </c>
    </row>
    <row r="3819">
      <c r="A3819" s="2">
        <f>IFERROR(__xludf.DUMMYFUNCTION("""COMPUTED_VALUE"""),36902.666666666664)</f>
        <v>36902.66667</v>
      </c>
      <c r="B3819" s="1">
        <f>IFERROR(__xludf.DUMMYFUNCTION("""COMPUTED_VALUE"""),1309.72)</f>
        <v>1309.72</v>
      </c>
      <c r="C3819" s="1">
        <f>IFERROR(__xludf.DUMMYFUNCTION("""COMPUTED_VALUE"""),1332.19)</f>
        <v>1332.19</v>
      </c>
      <c r="D3819" s="1">
        <f>IFERROR(__xludf.DUMMYFUNCTION("""COMPUTED_VALUE"""),1300.8)</f>
        <v>1300.8</v>
      </c>
      <c r="E3819" s="1">
        <f>IFERROR(__xludf.DUMMYFUNCTION("""COMPUTED_VALUE"""),1326.82)</f>
        <v>1326.82</v>
      </c>
      <c r="F3819" s="1">
        <f>IFERROR(__xludf.DUMMYFUNCTION("""COMPUTED_VALUE"""),2.205E8)</f>
        <v>220500000</v>
      </c>
    </row>
    <row r="3820">
      <c r="A3820" s="2">
        <f>IFERROR(__xludf.DUMMYFUNCTION("""COMPUTED_VALUE"""),36903.666666666664)</f>
        <v>36903.66667</v>
      </c>
      <c r="B3820" s="1">
        <f>IFERROR(__xludf.DUMMYFUNCTION("""COMPUTED_VALUE"""),1326.52)</f>
        <v>1326.52</v>
      </c>
      <c r="C3820" s="1">
        <f>IFERROR(__xludf.DUMMYFUNCTION("""COMPUTED_VALUE"""),1333.21)</f>
        <v>1333.21</v>
      </c>
      <c r="D3820" s="1">
        <f>IFERROR(__xludf.DUMMYFUNCTION("""COMPUTED_VALUE"""),1311.59)</f>
        <v>1311.59</v>
      </c>
      <c r="E3820" s="1">
        <f>IFERROR(__xludf.DUMMYFUNCTION("""COMPUTED_VALUE"""),1318.55)</f>
        <v>1318.55</v>
      </c>
      <c r="F3820" s="1">
        <f>IFERROR(__xludf.DUMMYFUNCTION("""COMPUTED_VALUE"""),1.99375008E8)</f>
        <v>199375008</v>
      </c>
    </row>
    <row r="3821">
      <c r="A3821" s="2">
        <f>IFERROR(__xludf.DUMMYFUNCTION("""COMPUTED_VALUE"""),36907.666666666664)</f>
        <v>36907.66667</v>
      </c>
      <c r="B3821" s="1">
        <f>IFERROR(__xludf.DUMMYFUNCTION("""COMPUTED_VALUE"""),1318.54)</f>
        <v>1318.54</v>
      </c>
      <c r="C3821" s="1">
        <f>IFERROR(__xludf.DUMMYFUNCTION("""COMPUTED_VALUE"""),1327.81)</f>
        <v>1327.81</v>
      </c>
      <c r="D3821" s="1">
        <f>IFERROR(__xludf.DUMMYFUNCTION("""COMPUTED_VALUE"""),1313.33)</f>
        <v>1313.33</v>
      </c>
      <c r="E3821" s="1">
        <f>IFERROR(__xludf.DUMMYFUNCTION("""COMPUTED_VALUE"""),1326.65)</f>
        <v>1326.65</v>
      </c>
      <c r="F3821" s="1">
        <f>IFERROR(__xludf.DUMMYFUNCTION("""COMPUTED_VALUE"""),1.88390624E8)</f>
        <v>188390624</v>
      </c>
    </row>
    <row r="3822">
      <c r="A3822" s="2">
        <f>IFERROR(__xludf.DUMMYFUNCTION("""COMPUTED_VALUE"""),36908.666666666664)</f>
        <v>36908.66667</v>
      </c>
      <c r="B3822" s="1">
        <f>IFERROR(__xludf.DUMMYFUNCTION("""COMPUTED_VALUE"""),1326.65)</f>
        <v>1326.65</v>
      </c>
      <c r="C3822" s="1">
        <f>IFERROR(__xludf.DUMMYFUNCTION("""COMPUTED_VALUE"""),1346.92)</f>
        <v>1346.92</v>
      </c>
      <c r="D3822" s="1">
        <f>IFERROR(__xludf.DUMMYFUNCTION("""COMPUTED_VALUE"""),1325.41)</f>
        <v>1325.41</v>
      </c>
      <c r="E3822" s="1">
        <f>IFERROR(__xludf.DUMMYFUNCTION("""COMPUTED_VALUE"""),1329.47)</f>
        <v>1329.47</v>
      </c>
      <c r="F3822" s="1">
        <f>IFERROR(__xludf.DUMMYFUNCTION("""COMPUTED_VALUE"""),2.1079688E8)</f>
        <v>210796880</v>
      </c>
    </row>
    <row r="3823">
      <c r="A3823" s="2">
        <f>IFERROR(__xludf.DUMMYFUNCTION("""COMPUTED_VALUE"""),36909.666666666664)</f>
        <v>36909.66667</v>
      </c>
      <c r="B3823" s="1">
        <f>IFERROR(__xludf.DUMMYFUNCTION("""COMPUTED_VALUE"""),1329.89)</f>
        <v>1329.89</v>
      </c>
      <c r="C3823" s="1">
        <f>IFERROR(__xludf.DUMMYFUNCTION("""COMPUTED_VALUE"""),1352.71)</f>
        <v>1352.71</v>
      </c>
      <c r="D3823" s="1">
        <f>IFERROR(__xludf.DUMMYFUNCTION("""COMPUTED_VALUE"""),1327.41)</f>
        <v>1327.41</v>
      </c>
      <c r="E3823" s="1">
        <f>IFERROR(__xludf.DUMMYFUNCTION("""COMPUTED_VALUE"""),1347.97)</f>
        <v>1347.97</v>
      </c>
      <c r="F3823" s="1">
        <f>IFERROR(__xludf.DUMMYFUNCTION("""COMPUTED_VALUE"""),2.25781248E8)</f>
        <v>225781248</v>
      </c>
    </row>
    <row r="3824">
      <c r="A3824" s="2">
        <f>IFERROR(__xludf.DUMMYFUNCTION("""COMPUTED_VALUE"""),36910.666666666664)</f>
        <v>36910.66667</v>
      </c>
      <c r="B3824" s="1">
        <f>IFERROR(__xludf.DUMMYFUNCTION("""COMPUTED_VALUE"""),1354.55)</f>
        <v>1354.55</v>
      </c>
      <c r="C3824" s="1">
        <f>IFERROR(__xludf.DUMMYFUNCTION("""COMPUTED_VALUE"""),1354.55)</f>
        <v>1354.55</v>
      </c>
      <c r="D3824" s="1">
        <f>IFERROR(__xludf.DUMMYFUNCTION("""COMPUTED_VALUE"""),1336.74)</f>
        <v>1336.74</v>
      </c>
      <c r="E3824" s="1">
        <f>IFERROR(__xludf.DUMMYFUNCTION("""COMPUTED_VALUE"""),1342.55)</f>
        <v>1342.55</v>
      </c>
      <c r="F3824" s="1">
        <f>IFERROR(__xludf.DUMMYFUNCTION("""COMPUTED_VALUE"""),2.19968752E8)</f>
        <v>219968752</v>
      </c>
    </row>
    <row r="3825">
      <c r="A3825" s="2">
        <f>IFERROR(__xludf.DUMMYFUNCTION("""COMPUTED_VALUE"""),36913.666666666664)</f>
        <v>36913.66667</v>
      </c>
      <c r="B3825" s="1">
        <f>IFERROR(__xludf.DUMMYFUNCTION("""COMPUTED_VALUE"""),1341.36)</f>
        <v>1341.36</v>
      </c>
      <c r="C3825" s="1">
        <f>IFERROR(__xludf.DUMMYFUNCTION("""COMPUTED_VALUE"""),1353.62)</f>
        <v>1353.62</v>
      </c>
      <c r="D3825" s="1">
        <f>IFERROR(__xludf.DUMMYFUNCTION("""COMPUTED_VALUE"""),1333.84)</f>
        <v>1333.84</v>
      </c>
      <c r="E3825" s="1">
        <f>IFERROR(__xludf.DUMMYFUNCTION("""COMPUTED_VALUE"""),1342.9)</f>
        <v>1342.9</v>
      </c>
      <c r="F3825" s="1">
        <f>IFERROR(__xludf.DUMMYFUNCTION("""COMPUTED_VALUE"""),1.81875008E8)</f>
        <v>181875008</v>
      </c>
    </row>
    <row r="3826">
      <c r="A3826" s="2">
        <f>IFERROR(__xludf.DUMMYFUNCTION("""COMPUTED_VALUE"""),36914.666666666664)</f>
        <v>36914.66667</v>
      </c>
      <c r="B3826" s="1">
        <f>IFERROR(__xludf.DUMMYFUNCTION("""COMPUTED_VALUE"""),1342.9)</f>
        <v>1342.9</v>
      </c>
      <c r="C3826" s="1">
        <f>IFERROR(__xludf.DUMMYFUNCTION("""COMPUTED_VALUE"""),1362.9)</f>
        <v>1362.9</v>
      </c>
      <c r="D3826" s="1">
        <f>IFERROR(__xludf.DUMMYFUNCTION("""COMPUTED_VALUE"""),1339.63)</f>
        <v>1339.63</v>
      </c>
      <c r="E3826" s="1">
        <f>IFERROR(__xludf.DUMMYFUNCTION("""COMPUTED_VALUE"""),1360.4)</f>
        <v>1360.4</v>
      </c>
      <c r="F3826" s="1">
        <f>IFERROR(__xludf.DUMMYFUNCTION("""COMPUTED_VALUE"""),1.92593744E8)</f>
        <v>192593744</v>
      </c>
    </row>
    <row r="3827">
      <c r="A3827" s="2">
        <f>IFERROR(__xludf.DUMMYFUNCTION("""COMPUTED_VALUE"""),36915.666666666664)</f>
        <v>36915.66667</v>
      </c>
      <c r="B3827" s="1">
        <f>IFERROR(__xludf.DUMMYFUNCTION("""COMPUTED_VALUE"""),1361.74)</f>
        <v>1361.74</v>
      </c>
      <c r="C3827" s="1">
        <f>IFERROR(__xludf.DUMMYFUNCTION("""COMPUTED_VALUE"""),1369.75)</f>
        <v>1369.75</v>
      </c>
      <c r="D3827" s="1">
        <f>IFERROR(__xludf.DUMMYFUNCTION("""COMPUTED_VALUE"""),1357.28)</f>
        <v>1357.28</v>
      </c>
      <c r="E3827" s="1">
        <f>IFERROR(__xludf.DUMMYFUNCTION("""COMPUTED_VALUE"""),1364.3)</f>
        <v>1364.3</v>
      </c>
      <c r="F3827" s="1">
        <f>IFERROR(__xludf.DUMMYFUNCTION("""COMPUTED_VALUE"""),2.04531248E8)</f>
        <v>204531248</v>
      </c>
    </row>
    <row r="3828">
      <c r="A3828" s="2">
        <f>IFERROR(__xludf.DUMMYFUNCTION("""COMPUTED_VALUE"""),36916.666666666664)</f>
        <v>36916.66667</v>
      </c>
      <c r="B3828" s="1">
        <f>IFERROR(__xludf.DUMMYFUNCTION("""COMPUTED_VALUE"""),1361.74)</f>
        <v>1361.74</v>
      </c>
      <c r="C3828" s="1">
        <f>IFERROR(__xludf.DUMMYFUNCTION("""COMPUTED_VALUE"""),1369.75)</f>
        <v>1369.75</v>
      </c>
      <c r="D3828" s="1">
        <f>IFERROR(__xludf.DUMMYFUNCTION("""COMPUTED_VALUE"""),1354.63)</f>
        <v>1354.63</v>
      </c>
      <c r="E3828" s="1">
        <f>IFERROR(__xludf.DUMMYFUNCTION("""COMPUTED_VALUE"""),1357.51)</f>
        <v>1357.51</v>
      </c>
      <c r="F3828" s="1">
        <f>IFERROR(__xludf.DUMMYFUNCTION("""COMPUTED_VALUE"""),1.96562496E8)</f>
        <v>196562496</v>
      </c>
    </row>
    <row r="3829">
      <c r="A3829" s="2">
        <f>IFERROR(__xludf.DUMMYFUNCTION("""COMPUTED_VALUE"""),36917.666666666664)</f>
        <v>36917.66667</v>
      </c>
      <c r="B3829" s="1">
        <f>IFERROR(__xludf.DUMMYFUNCTION("""COMPUTED_VALUE"""),1353.47)</f>
        <v>1353.47</v>
      </c>
      <c r="C3829" s="1">
        <f>IFERROR(__xludf.DUMMYFUNCTION("""COMPUTED_VALUE"""),1357.48)</f>
        <v>1357.48</v>
      </c>
      <c r="D3829" s="1">
        <f>IFERROR(__xludf.DUMMYFUNCTION("""COMPUTED_VALUE"""),1342.75)</f>
        <v>1342.75</v>
      </c>
      <c r="E3829" s="1">
        <f>IFERROR(__xludf.DUMMYFUNCTION("""COMPUTED_VALUE"""),1354.95)</f>
        <v>1354.95</v>
      </c>
      <c r="F3829" s="1">
        <f>IFERROR(__xludf.DUMMYFUNCTION("""COMPUTED_VALUE"""),1.71562496E8)</f>
        <v>171562496</v>
      </c>
    </row>
    <row r="3830">
      <c r="A3830" s="2">
        <f>IFERROR(__xludf.DUMMYFUNCTION("""COMPUTED_VALUE"""),36920.666666666664)</f>
        <v>36920.66667</v>
      </c>
      <c r="B3830" s="1">
        <f>IFERROR(__xludf.DUMMYFUNCTION("""COMPUTED_VALUE"""),1351.03)</f>
        <v>1351.03</v>
      </c>
      <c r="C3830" s="1">
        <f>IFERROR(__xludf.DUMMYFUNCTION("""COMPUTED_VALUE"""),1365.54)</f>
        <v>1365.54</v>
      </c>
      <c r="D3830" s="1">
        <f>IFERROR(__xludf.DUMMYFUNCTION("""COMPUTED_VALUE"""),1350.36)</f>
        <v>1350.36</v>
      </c>
      <c r="E3830" s="1">
        <f>IFERROR(__xludf.DUMMYFUNCTION("""COMPUTED_VALUE"""),1364.17)</f>
        <v>1364.17</v>
      </c>
      <c r="F3830" s="1">
        <f>IFERROR(__xludf.DUMMYFUNCTION("""COMPUTED_VALUE"""),1.6454688E8)</f>
        <v>164546880</v>
      </c>
    </row>
    <row r="3831">
      <c r="A3831" s="2">
        <f>IFERROR(__xludf.DUMMYFUNCTION("""COMPUTED_VALUE"""),36921.666666666664)</f>
        <v>36921.66667</v>
      </c>
      <c r="B3831" s="1">
        <f>IFERROR(__xludf.DUMMYFUNCTION("""COMPUTED_VALUE"""),1364.42)</f>
        <v>1364.42</v>
      </c>
      <c r="C3831" s="1">
        <f>IFERROR(__xludf.DUMMYFUNCTION("""COMPUTED_VALUE"""),1375.68)</f>
        <v>1375.68</v>
      </c>
      <c r="D3831" s="1">
        <f>IFERROR(__xludf.DUMMYFUNCTION("""COMPUTED_VALUE"""),1356.2)</f>
        <v>1356.2</v>
      </c>
      <c r="E3831" s="1">
        <f>IFERROR(__xludf.DUMMYFUNCTION("""COMPUTED_VALUE"""),1373.73)</f>
        <v>1373.73</v>
      </c>
      <c r="F3831" s="1">
        <f>IFERROR(__xludf.DUMMYFUNCTION("""COMPUTED_VALUE"""),1.79656256E8)</f>
        <v>179656256</v>
      </c>
    </row>
    <row r="3832">
      <c r="A3832" s="2">
        <f>IFERROR(__xludf.DUMMYFUNCTION("""COMPUTED_VALUE"""),36922.666666666664)</f>
        <v>36922.66667</v>
      </c>
      <c r="B3832" s="1">
        <f>IFERROR(__xludf.DUMMYFUNCTION("""COMPUTED_VALUE"""),1374.56)</f>
        <v>1374.56</v>
      </c>
      <c r="C3832" s="1">
        <f>IFERROR(__xludf.DUMMYFUNCTION("""COMPUTED_VALUE"""),1383.37)</f>
        <v>1383.37</v>
      </c>
      <c r="D3832" s="1">
        <f>IFERROR(__xludf.DUMMYFUNCTION("""COMPUTED_VALUE"""),1364.66)</f>
        <v>1364.66</v>
      </c>
      <c r="E3832" s="1">
        <f>IFERROR(__xludf.DUMMYFUNCTION("""COMPUTED_VALUE"""),1366.01)</f>
        <v>1366.01</v>
      </c>
      <c r="F3832" s="1">
        <f>IFERROR(__xludf.DUMMYFUNCTION("""COMPUTED_VALUE"""),2.02390624E8)</f>
        <v>202390624</v>
      </c>
    </row>
    <row r="3833">
      <c r="A3833" s="2">
        <f>IFERROR(__xludf.DUMMYFUNCTION("""COMPUTED_VALUE"""),36923.666666666664)</f>
        <v>36923.66667</v>
      </c>
      <c r="B3833" s="1">
        <f>IFERROR(__xludf.DUMMYFUNCTION("""COMPUTED_VALUE"""),1365.67)</f>
        <v>1365.67</v>
      </c>
      <c r="C3833" s="1">
        <f>IFERROR(__xludf.DUMMYFUNCTION("""COMPUTED_VALUE"""),1373.5)</f>
        <v>1373.5</v>
      </c>
      <c r="D3833" s="1">
        <f>IFERROR(__xludf.DUMMYFUNCTION("""COMPUTED_VALUE"""),1359.34)</f>
        <v>1359.34</v>
      </c>
      <c r="E3833" s="1">
        <f>IFERROR(__xludf.DUMMYFUNCTION("""COMPUTED_VALUE"""),1373.47)</f>
        <v>1373.47</v>
      </c>
      <c r="F3833" s="1">
        <f>IFERROR(__xludf.DUMMYFUNCTION("""COMPUTED_VALUE"""),1.74812496E8)</f>
        <v>174812496</v>
      </c>
    </row>
    <row r="3834">
      <c r="A3834" s="2">
        <f>IFERROR(__xludf.DUMMYFUNCTION("""COMPUTED_VALUE"""),36924.666666666664)</f>
        <v>36924.66667</v>
      </c>
      <c r="B3834" s="1">
        <f>IFERROR(__xludf.DUMMYFUNCTION("""COMPUTED_VALUE"""),1373.21)</f>
        <v>1373.21</v>
      </c>
      <c r="C3834" s="1">
        <f>IFERROR(__xludf.DUMMYFUNCTION("""COMPUTED_VALUE"""),1376.38)</f>
        <v>1376.38</v>
      </c>
      <c r="D3834" s="1">
        <f>IFERROR(__xludf.DUMMYFUNCTION("""COMPUTED_VALUE"""),1348.72)</f>
        <v>1348.72</v>
      </c>
      <c r="E3834" s="1">
        <f>IFERROR(__xludf.DUMMYFUNCTION("""COMPUTED_VALUE"""),1349.47)</f>
        <v>1349.47</v>
      </c>
      <c r="F3834" s="1">
        <f>IFERROR(__xludf.DUMMYFUNCTION("""COMPUTED_VALUE"""),1.63812496E8)</f>
        <v>163812496</v>
      </c>
    </row>
    <row r="3835">
      <c r="A3835" s="2">
        <f>IFERROR(__xludf.DUMMYFUNCTION("""COMPUTED_VALUE"""),36927.666666666664)</f>
        <v>36927.66667</v>
      </c>
      <c r="B3835" s="1">
        <f>IFERROR(__xludf.DUMMYFUNCTION("""COMPUTED_VALUE"""),1347.08)</f>
        <v>1347.08</v>
      </c>
      <c r="C3835" s="1">
        <f>IFERROR(__xludf.DUMMYFUNCTION("""COMPUTED_VALUE"""),1354.56)</f>
        <v>1354.56</v>
      </c>
      <c r="D3835" s="1">
        <f>IFERROR(__xludf.DUMMYFUNCTION("""COMPUTED_VALUE"""),1344.48)</f>
        <v>1344.48</v>
      </c>
      <c r="E3835" s="1">
        <f>IFERROR(__xludf.DUMMYFUNCTION("""COMPUTED_VALUE"""),1354.31)</f>
        <v>1354.31</v>
      </c>
      <c r="F3835" s="1">
        <f>IFERROR(__xludf.DUMMYFUNCTION("""COMPUTED_VALUE"""),1.58281248E8)</f>
        <v>158281248</v>
      </c>
    </row>
    <row r="3836">
      <c r="A3836" s="2">
        <f>IFERROR(__xludf.DUMMYFUNCTION("""COMPUTED_VALUE"""),36928.666666666664)</f>
        <v>36928.66667</v>
      </c>
      <c r="B3836" s="1">
        <f>IFERROR(__xludf.DUMMYFUNCTION("""COMPUTED_VALUE"""),1354.4)</f>
        <v>1354.4</v>
      </c>
      <c r="C3836" s="1">
        <f>IFERROR(__xludf.DUMMYFUNCTION("""COMPUTED_VALUE"""),1363.55)</f>
        <v>1363.55</v>
      </c>
      <c r="D3836" s="1">
        <f>IFERROR(__xludf.DUMMYFUNCTION("""COMPUTED_VALUE"""),1350.04)</f>
        <v>1350.04</v>
      </c>
      <c r="E3836" s="1">
        <f>IFERROR(__xludf.DUMMYFUNCTION("""COMPUTED_VALUE"""),1352.26)</f>
        <v>1352.26</v>
      </c>
      <c r="F3836" s="1">
        <f>IFERROR(__xludf.DUMMYFUNCTION("""COMPUTED_VALUE"""),1.65562496E8)</f>
        <v>165562496</v>
      </c>
    </row>
    <row r="3837">
      <c r="A3837" s="2">
        <f>IFERROR(__xludf.DUMMYFUNCTION("""COMPUTED_VALUE"""),36929.666666666664)</f>
        <v>36929.66667</v>
      </c>
      <c r="B3837" s="1">
        <f>IFERROR(__xludf.DUMMYFUNCTION("""COMPUTED_VALUE"""),1351.8)</f>
        <v>1351.8</v>
      </c>
      <c r="C3837" s="1">
        <f>IFERROR(__xludf.DUMMYFUNCTION("""COMPUTED_VALUE"""),1351.8)</f>
        <v>1351.8</v>
      </c>
      <c r="D3837" s="1">
        <f>IFERROR(__xludf.DUMMYFUNCTION("""COMPUTED_VALUE"""),1334.26)</f>
        <v>1334.26</v>
      </c>
      <c r="E3837" s="1">
        <f>IFERROR(__xludf.DUMMYFUNCTION("""COMPUTED_VALUE"""),1340.89)</f>
        <v>1340.89</v>
      </c>
      <c r="F3837" s="1">
        <f>IFERROR(__xludf.DUMMYFUNCTION("""COMPUTED_VALUE"""),1.80984368E8)</f>
        <v>180984368</v>
      </c>
    </row>
    <row r="3838">
      <c r="A3838" s="2">
        <f>IFERROR(__xludf.DUMMYFUNCTION("""COMPUTED_VALUE"""),36930.666666666664)</f>
        <v>36930.66667</v>
      </c>
      <c r="B3838" s="1">
        <f>IFERROR(__xludf.DUMMYFUNCTION("""COMPUTED_VALUE"""),1342.37)</f>
        <v>1342.37</v>
      </c>
      <c r="C3838" s="1">
        <f>IFERROR(__xludf.DUMMYFUNCTION("""COMPUTED_VALUE"""),1350.32)</f>
        <v>1350.32</v>
      </c>
      <c r="D3838" s="1">
        <f>IFERROR(__xludf.DUMMYFUNCTION("""COMPUTED_VALUE"""),1332.42)</f>
        <v>1332.42</v>
      </c>
      <c r="E3838" s="1">
        <f>IFERROR(__xludf.DUMMYFUNCTION("""COMPUTED_VALUE"""),1332.53)</f>
        <v>1332.53</v>
      </c>
      <c r="F3838" s="1">
        <f>IFERROR(__xludf.DUMMYFUNCTION("""COMPUTED_VALUE"""),1.73E8)</f>
        <v>173000000</v>
      </c>
    </row>
    <row r="3839">
      <c r="A3839" s="2">
        <f>IFERROR(__xludf.DUMMYFUNCTION("""COMPUTED_VALUE"""),36931.666666666664)</f>
        <v>36931.66667</v>
      </c>
      <c r="B3839" s="1">
        <f>IFERROR(__xludf.DUMMYFUNCTION("""COMPUTED_VALUE"""),1329.81)</f>
        <v>1329.81</v>
      </c>
      <c r="C3839" s="1">
        <f>IFERROR(__xludf.DUMMYFUNCTION("""COMPUTED_VALUE"""),1330.39)</f>
        <v>1330.39</v>
      </c>
      <c r="D3839" s="1">
        <f>IFERROR(__xludf.DUMMYFUNCTION("""COMPUTED_VALUE"""),1309.98)</f>
        <v>1309.98</v>
      </c>
      <c r="E3839" s="1">
        <f>IFERROR(__xludf.DUMMYFUNCTION("""COMPUTED_VALUE"""),1314.76)</f>
        <v>1314.76</v>
      </c>
      <c r="F3839" s="1">
        <f>IFERROR(__xludf.DUMMYFUNCTION("""COMPUTED_VALUE"""),1.6804688E8)</f>
        <v>168046880</v>
      </c>
    </row>
    <row r="3840">
      <c r="A3840" s="2">
        <f>IFERROR(__xludf.DUMMYFUNCTION("""COMPUTED_VALUE"""),36934.666666666664)</f>
        <v>36934.66667</v>
      </c>
      <c r="B3840" s="1">
        <f>IFERROR(__xludf.DUMMYFUNCTION("""COMPUTED_VALUE"""),1314.18)</f>
        <v>1314.18</v>
      </c>
      <c r="C3840" s="1">
        <f>IFERROR(__xludf.DUMMYFUNCTION("""COMPUTED_VALUE"""),1330.96)</f>
        <v>1330.96</v>
      </c>
      <c r="D3840" s="1">
        <f>IFERROR(__xludf.DUMMYFUNCTION("""COMPUTED_VALUE"""),1313.64)</f>
        <v>1313.64</v>
      </c>
      <c r="E3840" s="1">
        <f>IFERROR(__xludf.DUMMYFUNCTION("""COMPUTED_VALUE"""),1330.31)</f>
        <v>1330.31</v>
      </c>
      <c r="F3840" s="1">
        <f>IFERROR(__xludf.DUMMYFUNCTION("""COMPUTED_VALUE"""),1.62359376E8)</f>
        <v>162359376</v>
      </c>
    </row>
    <row r="3841">
      <c r="A3841" s="2">
        <f>IFERROR(__xludf.DUMMYFUNCTION("""COMPUTED_VALUE"""),36935.666666666664)</f>
        <v>36935.66667</v>
      </c>
      <c r="B3841" s="1">
        <f>IFERROR(__xludf.DUMMYFUNCTION("""COMPUTED_VALUE"""),1332.07)</f>
        <v>1332.07</v>
      </c>
      <c r="C3841" s="1">
        <f>IFERROR(__xludf.DUMMYFUNCTION("""COMPUTED_VALUE"""),1336.62)</f>
        <v>1336.62</v>
      </c>
      <c r="D3841" s="1">
        <f>IFERROR(__xludf.DUMMYFUNCTION("""COMPUTED_VALUE"""),1317.51)</f>
        <v>1317.51</v>
      </c>
      <c r="E3841" s="1">
        <f>IFERROR(__xludf.DUMMYFUNCTION("""COMPUTED_VALUE"""),1318.8)</f>
        <v>1318.8</v>
      </c>
      <c r="F3841" s="1">
        <f>IFERROR(__xludf.DUMMYFUNCTION("""COMPUTED_VALUE"""),1.68E8)</f>
        <v>168000000</v>
      </c>
    </row>
    <row r="3842">
      <c r="A3842" s="2">
        <f>IFERROR(__xludf.DUMMYFUNCTION("""COMPUTED_VALUE"""),36936.666666666664)</f>
        <v>36936.66667</v>
      </c>
      <c r="B3842" s="1">
        <f>IFERROR(__xludf.DUMMYFUNCTION("""COMPUTED_VALUE"""),1319.64)</f>
        <v>1319.64</v>
      </c>
      <c r="C3842" s="1">
        <f>IFERROR(__xludf.DUMMYFUNCTION("""COMPUTED_VALUE"""),1320.73)</f>
        <v>1320.73</v>
      </c>
      <c r="D3842" s="1">
        <f>IFERROR(__xludf.DUMMYFUNCTION("""COMPUTED_VALUE"""),1304.72)</f>
        <v>1304.72</v>
      </c>
      <c r="E3842" s="1">
        <f>IFERROR(__xludf.DUMMYFUNCTION("""COMPUTED_VALUE"""),1315.92)</f>
        <v>1315.92</v>
      </c>
      <c r="F3842" s="1">
        <f>IFERROR(__xludf.DUMMYFUNCTION("""COMPUTED_VALUE"""),1.79734368E8)</f>
        <v>179734368</v>
      </c>
    </row>
    <row r="3843">
      <c r="A3843" s="2">
        <f>IFERROR(__xludf.DUMMYFUNCTION("""COMPUTED_VALUE"""),36937.666666666664)</f>
        <v>36937.66667</v>
      </c>
      <c r="B3843" s="1">
        <f>IFERROR(__xludf.DUMMYFUNCTION("""COMPUTED_VALUE"""),1315.92)</f>
        <v>1315.92</v>
      </c>
      <c r="C3843" s="1">
        <f>IFERROR(__xludf.DUMMYFUNCTION("""COMPUTED_VALUE"""),1331.29)</f>
        <v>1331.29</v>
      </c>
      <c r="D3843" s="1">
        <f>IFERROR(__xludf.DUMMYFUNCTION("""COMPUTED_VALUE"""),1315.92)</f>
        <v>1315.92</v>
      </c>
      <c r="E3843" s="1">
        <f>IFERROR(__xludf.DUMMYFUNCTION("""COMPUTED_VALUE"""),1326.61)</f>
        <v>1326.61</v>
      </c>
      <c r="F3843" s="1">
        <f>IFERROR(__xludf.DUMMYFUNCTION("""COMPUTED_VALUE"""),1.80265632E8)</f>
        <v>180265632</v>
      </c>
    </row>
    <row r="3844">
      <c r="A3844" s="2">
        <f>IFERROR(__xludf.DUMMYFUNCTION("""COMPUTED_VALUE"""),36938.666666666664)</f>
        <v>36938.66667</v>
      </c>
      <c r="B3844" s="1">
        <f>IFERROR(__xludf.DUMMYFUNCTION("""COMPUTED_VALUE"""),1314.31)</f>
        <v>1314.31</v>
      </c>
      <c r="C3844" s="1">
        <f>IFERROR(__xludf.DUMMYFUNCTION("""COMPUTED_VALUE"""),1314.31)</f>
        <v>1314.31</v>
      </c>
      <c r="D3844" s="1">
        <f>IFERROR(__xludf.DUMMYFUNCTION("""COMPUTED_VALUE"""),1293.18)</f>
        <v>1293.18</v>
      </c>
      <c r="E3844" s="1">
        <f>IFERROR(__xludf.DUMMYFUNCTION("""COMPUTED_VALUE"""),1301.53)</f>
        <v>1301.53</v>
      </c>
      <c r="F3844" s="1">
        <f>IFERROR(__xludf.DUMMYFUNCTION("""COMPUTED_VALUE"""),1.96437504E8)</f>
        <v>196437504</v>
      </c>
    </row>
    <row r="3845">
      <c r="A3845" s="2">
        <f>IFERROR(__xludf.DUMMYFUNCTION("""COMPUTED_VALUE"""),36942.666666666664)</f>
        <v>36942.66667</v>
      </c>
      <c r="B3845" s="1">
        <f>IFERROR(__xludf.DUMMYFUNCTION("""COMPUTED_VALUE"""),1301.53)</f>
        <v>1301.53</v>
      </c>
      <c r="C3845" s="1">
        <f>IFERROR(__xludf.DUMMYFUNCTION("""COMPUTED_VALUE"""),1307.16)</f>
        <v>1307.16</v>
      </c>
      <c r="D3845" s="1">
        <f>IFERROR(__xludf.DUMMYFUNCTION("""COMPUTED_VALUE"""),1278.44)</f>
        <v>1278.44</v>
      </c>
      <c r="E3845" s="1">
        <f>IFERROR(__xludf.DUMMYFUNCTION("""COMPUTED_VALUE"""),1278.94)</f>
        <v>1278.94</v>
      </c>
      <c r="F3845" s="1">
        <f>IFERROR(__xludf.DUMMYFUNCTION("""COMPUTED_VALUE"""),1.73781248E8)</f>
        <v>173781248</v>
      </c>
    </row>
    <row r="3846">
      <c r="A3846" s="2">
        <f>IFERROR(__xludf.DUMMYFUNCTION("""COMPUTED_VALUE"""),36943.666666666664)</f>
        <v>36943.66667</v>
      </c>
      <c r="B3846" s="1">
        <f>IFERROR(__xludf.DUMMYFUNCTION("""COMPUTED_VALUE"""),1275.09)</f>
        <v>1275.09</v>
      </c>
      <c r="C3846" s="1">
        <f>IFERROR(__xludf.DUMMYFUNCTION("""COMPUTED_VALUE"""),1282.97)</f>
        <v>1282.97</v>
      </c>
      <c r="D3846" s="1">
        <f>IFERROR(__xludf.DUMMYFUNCTION("""COMPUTED_VALUE"""),1253.16)</f>
        <v>1253.16</v>
      </c>
      <c r="E3846" s="1">
        <f>IFERROR(__xludf.DUMMYFUNCTION("""COMPUTED_VALUE"""),1255.27)</f>
        <v>1255.27</v>
      </c>
      <c r="F3846" s="1">
        <f>IFERROR(__xludf.DUMMYFUNCTION("""COMPUTED_VALUE"""),1.88828128E8)</f>
        <v>188828128</v>
      </c>
    </row>
    <row r="3847">
      <c r="A3847" s="2">
        <f>IFERROR(__xludf.DUMMYFUNCTION("""COMPUTED_VALUE"""),36944.666666666664)</f>
        <v>36944.66667</v>
      </c>
      <c r="B3847" s="1">
        <f>IFERROR(__xludf.DUMMYFUNCTION("""COMPUTED_VALUE"""),1255.99)</f>
        <v>1255.99</v>
      </c>
      <c r="C3847" s="1">
        <f>IFERROR(__xludf.DUMMYFUNCTION("""COMPUTED_VALUE"""),1259.94)</f>
        <v>1259.94</v>
      </c>
      <c r="D3847" s="1">
        <f>IFERROR(__xludf.DUMMYFUNCTION("""COMPUTED_VALUE"""),1228.33)</f>
        <v>1228.33</v>
      </c>
      <c r="E3847" s="1">
        <f>IFERROR(__xludf.DUMMYFUNCTION("""COMPUTED_VALUE"""),1252.82)</f>
        <v>1252.82</v>
      </c>
      <c r="F3847" s="1">
        <f>IFERROR(__xludf.DUMMYFUNCTION("""COMPUTED_VALUE"""),2.13421872E8)</f>
        <v>213421872</v>
      </c>
    </row>
    <row r="3848">
      <c r="A3848" s="2">
        <f>IFERROR(__xludf.DUMMYFUNCTION("""COMPUTED_VALUE"""),36945.666666666664)</f>
        <v>36945.66667</v>
      </c>
      <c r="B3848" s="1">
        <f>IFERROR(__xludf.DUMMYFUNCTION("""COMPUTED_VALUE"""),1249.59)</f>
        <v>1249.59</v>
      </c>
      <c r="C3848" s="1">
        <f>IFERROR(__xludf.DUMMYFUNCTION("""COMPUTED_VALUE"""),1250.06)</f>
        <v>1250.06</v>
      </c>
      <c r="D3848" s="1">
        <f>IFERROR(__xludf.DUMMYFUNCTION("""COMPUTED_VALUE"""),1215.44)</f>
        <v>1215.44</v>
      </c>
      <c r="E3848" s="1">
        <f>IFERROR(__xludf.DUMMYFUNCTION("""COMPUTED_VALUE"""),1245.86)</f>
        <v>1245.86</v>
      </c>
      <c r="F3848" s="1">
        <f>IFERROR(__xludf.DUMMYFUNCTION("""COMPUTED_VALUE"""),1.92390624E8)</f>
        <v>192390624</v>
      </c>
    </row>
    <row r="3849">
      <c r="A3849" s="2">
        <f>IFERROR(__xludf.DUMMYFUNCTION("""COMPUTED_VALUE"""),36948.666666666664)</f>
        <v>36948.66667</v>
      </c>
      <c r="B3849" s="1">
        <f>IFERROR(__xludf.DUMMYFUNCTION("""COMPUTED_VALUE"""),1245.86)</f>
        <v>1245.86</v>
      </c>
      <c r="C3849" s="1">
        <f>IFERROR(__xludf.DUMMYFUNCTION("""COMPUTED_VALUE"""),1267.69)</f>
        <v>1267.69</v>
      </c>
      <c r="D3849" s="1">
        <f>IFERROR(__xludf.DUMMYFUNCTION("""COMPUTED_VALUE"""),1241.71)</f>
        <v>1241.71</v>
      </c>
      <c r="E3849" s="1">
        <f>IFERROR(__xludf.DUMMYFUNCTION("""COMPUTED_VALUE"""),1267.65)</f>
        <v>1267.65</v>
      </c>
      <c r="F3849" s="1">
        <f>IFERROR(__xludf.DUMMYFUNCTION("""COMPUTED_VALUE"""),1.76687504E8)</f>
        <v>176687504</v>
      </c>
    </row>
    <row r="3850">
      <c r="A3850" s="2">
        <f>IFERROR(__xludf.DUMMYFUNCTION("""COMPUTED_VALUE"""),36949.666666666664)</f>
        <v>36949.66667</v>
      </c>
      <c r="B3850" s="1">
        <f>IFERROR(__xludf.DUMMYFUNCTION("""COMPUTED_VALUE"""),1265.72)</f>
        <v>1265.72</v>
      </c>
      <c r="C3850" s="1">
        <f>IFERROR(__xludf.DUMMYFUNCTION("""COMPUTED_VALUE"""),1272.76)</f>
        <v>1272.76</v>
      </c>
      <c r="D3850" s="1">
        <f>IFERROR(__xludf.DUMMYFUNCTION("""COMPUTED_VALUE"""),1252.26)</f>
        <v>1252.26</v>
      </c>
      <c r="E3850" s="1">
        <f>IFERROR(__xludf.DUMMYFUNCTION("""COMPUTED_VALUE"""),1257.94)</f>
        <v>1257.94</v>
      </c>
      <c r="F3850" s="1">
        <f>IFERROR(__xludf.DUMMYFUNCTION("""COMPUTED_VALUE"""),1.74078128E8)</f>
        <v>174078128</v>
      </c>
    </row>
    <row r="3851">
      <c r="A3851" s="2">
        <f>IFERROR(__xludf.DUMMYFUNCTION("""COMPUTED_VALUE"""),36950.666666666664)</f>
        <v>36950.66667</v>
      </c>
      <c r="B3851" s="1">
        <f>IFERROR(__xludf.DUMMYFUNCTION("""COMPUTED_VALUE"""),1257.94)</f>
        <v>1257.94</v>
      </c>
      <c r="C3851" s="1">
        <f>IFERROR(__xludf.DUMMYFUNCTION("""COMPUTED_VALUE"""),1263.47)</f>
        <v>1263.47</v>
      </c>
      <c r="D3851" s="1">
        <f>IFERROR(__xludf.DUMMYFUNCTION("""COMPUTED_VALUE"""),1229.65)</f>
        <v>1229.65</v>
      </c>
      <c r="E3851" s="1">
        <f>IFERROR(__xludf.DUMMYFUNCTION("""COMPUTED_VALUE"""),1239.94)</f>
        <v>1239.94</v>
      </c>
      <c r="F3851" s="1">
        <f>IFERROR(__xludf.DUMMYFUNCTION("""COMPUTED_VALUE"""),1.9145312E8)</f>
        <v>191453120</v>
      </c>
    </row>
    <row r="3852">
      <c r="A3852" s="2">
        <f>IFERROR(__xludf.DUMMYFUNCTION("""COMPUTED_VALUE"""),36951.666666666664)</f>
        <v>36951.66667</v>
      </c>
      <c r="B3852" s="1">
        <f>IFERROR(__xludf.DUMMYFUNCTION("""COMPUTED_VALUE"""),1237.39)</f>
        <v>1237.39</v>
      </c>
      <c r="C3852" s="1">
        <f>IFERROR(__xludf.DUMMYFUNCTION("""COMPUTED_VALUE"""),1241.36)</f>
        <v>1241.36</v>
      </c>
      <c r="D3852" s="1">
        <f>IFERROR(__xludf.DUMMYFUNCTION("""COMPUTED_VALUE"""),1214.5)</f>
        <v>1214.5</v>
      </c>
      <c r="E3852" s="1">
        <f>IFERROR(__xludf.DUMMYFUNCTION("""COMPUTED_VALUE"""),1241.23)</f>
        <v>1241.23</v>
      </c>
      <c r="F3852" s="1">
        <f>IFERROR(__xludf.DUMMYFUNCTION("""COMPUTED_VALUE"""),2.02328128E8)</f>
        <v>202328128</v>
      </c>
    </row>
    <row r="3853">
      <c r="A3853" s="2">
        <f>IFERROR(__xludf.DUMMYFUNCTION("""COMPUTED_VALUE"""),36952.666666666664)</f>
        <v>36952.66667</v>
      </c>
      <c r="B3853" s="1">
        <f>IFERROR(__xludf.DUMMYFUNCTION("""COMPUTED_VALUE"""),1241.23)</f>
        <v>1241.23</v>
      </c>
      <c r="C3853" s="1">
        <f>IFERROR(__xludf.DUMMYFUNCTION("""COMPUTED_VALUE"""),1251.01)</f>
        <v>1251.01</v>
      </c>
      <c r="D3853" s="1">
        <f>IFERROR(__xludf.DUMMYFUNCTION("""COMPUTED_VALUE"""),1219.74)</f>
        <v>1219.74</v>
      </c>
      <c r="E3853" s="1">
        <f>IFERROR(__xludf.DUMMYFUNCTION("""COMPUTED_VALUE"""),1234.18)</f>
        <v>1234.18</v>
      </c>
      <c r="F3853" s="1">
        <f>IFERROR(__xludf.DUMMYFUNCTION("""COMPUTED_VALUE"""),2.02187504E8)</f>
        <v>202187504</v>
      </c>
    </row>
    <row r="3854">
      <c r="A3854" s="2">
        <f>IFERROR(__xludf.DUMMYFUNCTION("""COMPUTED_VALUE"""),36955.666666666664)</f>
        <v>36955.66667</v>
      </c>
      <c r="B3854" s="1">
        <f>IFERROR(__xludf.DUMMYFUNCTION("""COMPUTED_VALUE"""),1234.18)</f>
        <v>1234.18</v>
      </c>
      <c r="C3854" s="1">
        <f>IFERROR(__xludf.DUMMYFUNCTION("""COMPUTED_VALUE"""),1242.55)</f>
        <v>1242.55</v>
      </c>
      <c r="D3854" s="1">
        <f>IFERROR(__xludf.DUMMYFUNCTION("""COMPUTED_VALUE"""),1234.04)</f>
        <v>1234.04</v>
      </c>
      <c r="E3854" s="1">
        <f>IFERROR(__xludf.DUMMYFUNCTION("""COMPUTED_VALUE"""),1241.41)</f>
        <v>1241.41</v>
      </c>
      <c r="F3854" s="1">
        <f>IFERROR(__xludf.DUMMYFUNCTION("""COMPUTED_VALUE"""),1.45187504E8)</f>
        <v>145187504</v>
      </c>
    </row>
    <row r="3855">
      <c r="A3855" s="2">
        <f>IFERROR(__xludf.DUMMYFUNCTION("""COMPUTED_VALUE"""),36956.666666666664)</f>
        <v>36956.66667</v>
      </c>
      <c r="B3855" s="1">
        <f>IFERROR(__xludf.DUMMYFUNCTION("""COMPUTED_VALUE"""),1243.88)</f>
        <v>1243.88</v>
      </c>
      <c r="C3855" s="1">
        <f>IFERROR(__xludf.DUMMYFUNCTION("""COMPUTED_VALUE"""),1267.42)</f>
        <v>1267.42</v>
      </c>
      <c r="D3855" s="1">
        <f>IFERROR(__xludf.DUMMYFUNCTION("""COMPUTED_VALUE"""),1243.88)</f>
        <v>1243.88</v>
      </c>
      <c r="E3855" s="1">
        <f>IFERROR(__xludf.DUMMYFUNCTION("""COMPUTED_VALUE"""),1253.8)</f>
        <v>1253.8</v>
      </c>
      <c r="F3855" s="1">
        <f>IFERROR(__xludf.DUMMYFUNCTION("""COMPUTED_VALUE"""),1.70593744E8)</f>
        <v>170593744</v>
      </c>
    </row>
    <row r="3856">
      <c r="A3856" s="2">
        <f>IFERROR(__xludf.DUMMYFUNCTION("""COMPUTED_VALUE"""),36957.666666666664)</f>
        <v>36957.66667</v>
      </c>
      <c r="B3856" s="1">
        <f>IFERROR(__xludf.DUMMYFUNCTION("""COMPUTED_VALUE"""),1253.8)</f>
        <v>1253.8</v>
      </c>
      <c r="C3856" s="1">
        <f>IFERROR(__xludf.DUMMYFUNCTION("""COMPUTED_VALUE"""),1263.86)</f>
        <v>1263.86</v>
      </c>
      <c r="D3856" s="1">
        <f>IFERROR(__xludf.DUMMYFUNCTION("""COMPUTED_VALUE"""),1253.8)</f>
        <v>1253.8</v>
      </c>
      <c r="E3856" s="1">
        <f>IFERROR(__xludf.DUMMYFUNCTION("""COMPUTED_VALUE"""),1261.89)</f>
        <v>1261.89</v>
      </c>
      <c r="F3856" s="1">
        <f>IFERROR(__xludf.DUMMYFUNCTION("""COMPUTED_VALUE"""),1.76906256E8)</f>
        <v>176906256</v>
      </c>
    </row>
    <row r="3857">
      <c r="A3857" s="2">
        <f>IFERROR(__xludf.DUMMYFUNCTION("""COMPUTED_VALUE"""),36958.666666666664)</f>
        <v>36958.66667</v>
      </c>
      <c r="B3857" s="1">
        <f>IFERROR(__xludf.DUMMYFUNCTION("""COMPUTED_VALUE"""),1260.62)</f>
        <v>1260.62</v>
      </c>
      <c r="C3857" s="1">
        <f>IFERROR(__xludf.DUMMYFUNCTION("""COMPUTED_VALUE"""),1266.5)</f>
        <v>1266.5</v>
      </c>
      <c r="D3857" s="1">
        <f>IFERROR(__xludf.DUMMYFUNCTION("""COMPUTED_VALUE"""),1257.6)</f>
        <v>1257.6</v>
      </c>
      <c r="E3857" s="1">
        <f>IFERROR(__xludf.DUMMYFUNCTION("""COMPUTED_VALUE"""),1264.76)</f>
        <v>1264.76</v>
      </c>
      <c r="F3857" s="1">
        <f>IFERROR(__xludf.DUMMYFUNCTION("""COMPUTED_VALUE"""),1.74078128E8)</f>
        <v>174078128</v>
      </c>
    </row>
    <row r="3858">
      <c r="A3858" s="2">
        <f>IFERROR(__xludf.DUMMYFUNCTION("""COMPUTED_VALUE"""),36959.666666666664)</f>
        <v>36959.66667</v>
      </c>
      <c r="B3858" s="1">
        <f>IFERROR(__xludf.DUMMYFUNCTION("""COMPUTED_VALUE"""),1262.1)</f>
        <v>1262.1</v>
      </c>
      <c r="C3858" s="1">
        <f>IFERROR(__xludf.DUMMYFUNCTION("""COMPUTED_VALUE"""),1262.1)</f>
        <v>1262.1</v>
      </c>
      <c r="D3858" s="1">
        <f>IFERROR(__xludf.DUMMYFUNCTION("""COMPUTED_VALUE"""),1228.42)</f>
        <v>1228.42</v>
      </c>
      <c r="E3858" s="1">
        <f>IFERROR(__xludf.DUMMYFUNCTION("""COMPUTED_VALUE"""),1233.42)</f>
        <v>1233.42</v>
      </c>
      <c r="F3858" s="1">
        <f>IFERROR(__xludf.DUMMYFUNCTION("""COMPUTED_VALUE"""),1.69671872E8)</f>
        <v>169671872</v>
      </c>
    </row>
    <row r="3859">
      <c r="A3859" s="2">
        <f>IFERROR(__xludf.DUMMYFUNCTION("""COMPUTED_VALUE"""),36962.666666666664)</f>
        <v>36962.66667</v>
      </c>
      <c r="B3859" s="1">
        <f>IFERROR(__xludf.DUMMYFUNCTION("""COMPUTED_VALUE"""),1228.88)</f>
        <v>1228.88</v>
      </c>
      <c r="C3859" s="1">
        <f>IFERROR(__xludf.DUMMYFUNCTION("""COMPUTED_VALUE"""),1228.88)</f>
        <v>1228.88</v>
      </c>
      <c r="D3859" s="1">
        <f>IFERROR(__xludf.DUMMYFUNCTION("""COMPUTED_VALUE"""),1176.78)</f>
        <v>1176.78</v>
      </c>
      <c r="E3859" s="1">
        <f>IFERROR(__xludf.DUMMYFUNCTION("""COMPUTED_VALUE"""),1180.16)</f>
        <v>1180.16</v>
      </c>
      <c r="F3859" s="1">
        <f>IFERROR(__xludf.DUMMYFUNCTION("""COMPUTED_VALUE"""),1.92031248E8)</f>
        <v>192031248</v>
      </c>
    </row>
    <row r="3860">
      <c r="A3860" s="2">
        <f>IFERROR(__xludf.DUMMYFUNCTION("""COMPUTED_VALUE"""),36963.666666666664)</f>
        <v>36963.66667</v>
      </c>
      <c r="B3860" s="1">
        <f>IFERROR(__xludf.DUMMYFUNCTION("""COMPUTED_VALUE"""),1182.88)</f>
        <v>1182.88</v>
      </c>
      <c r="C3860" s="1">
        <f>IFERROR(__xludf.DUMMYFUNCTION("""COMPUTED_VALUE"""),1197.83)</f>
        <v>1197.83</v>
      </c>
      <c r="D3860" s="1">
        <f>IFERROR(__xludf.DUMMYFUNCTION("""COMPUTED_VALUE"""),1171.5)</f>
        <v>1171.5</v>
      </c>
      <c r="E3860" s="1">
        <f>IFERROR(__xludf.DUMMYFUNCTION("""COMPUTED_VALUE"""),1197.66)</f>
        <v>1197.66</v>
      </c>
      <c r="F3860" s="1">
        <f>IFERROR(__xludf.DUMMYFUNCTION("""COMPUTED_VALUE"""),2.12640624E8)</f>
        <v>212640624</v>
      </c>
    </row>
    <row r="3861">
      <c r="A3861" s="2">
        <f>IFERROR(__xludf.DUMMYFUNCTION("""COMPUTED_VALUE"""),36964.666666666664)</f>
        <v>36964.66667</v>
      </c>
      <c r="B3861" s="1">
        <f>IFERROR(__xludf.DUMMYFUNCTION("""COMPUTED_VALUE"""),1197.45)</f>
        <v>1197.45</v>
      </c>
      <c r="C3861" s="1">
        <f>IFERROR(__xludf.DUMMYFUNCTION("""COMPUTED_VALUE"""),1197.45)</f>
        <v>1197.45</v>
      </c>
      <c r="D3861" s="1">
        <f>IFERROR(__xludf.DUMMYFUNCTION("""COMPUTED_VALUE"""),1155.35)</f>
        <v>1155.35</v>
      </c>
      <c r="E3861" s="1">
        <f>IFERROR(__xludf.DUMMYFUNCTION("""COMPUTED_VALUE"""),1166.71)</f>
        <v>1166.71</v>
      </c>
      <c r="F3861" s="1">
        <f>IFERROR(__xludf.DUMMYFUNCTION("""COMPUTED_VALUE"""),2.18343744E8)</f>
        <v>218343744</v>
      </c>
    </row>
    <row r="3862">
      <c r="A3862" s="2">
        <f>IFERROR(__xludf.DUMMYFUNCTION("""COMPUTED_VALUE"""),36965.666666666664)</f>
        <v>36965.66667</v>
      </c>
      <c r="B3862" s="1">
        <f>IFERROR(__xludf.DUMMYFUNCTION("""COMPUTED_VALUE"""),1171.29)</f>
        <v>1171.29</v>
      </c>
      <c r="C3862" s="1">
        <f>IFERROR(__xludf.DUMMYFUNCTION("""COMPUTED_VALUE"""),1182.04)</f>
        <v>1182.04</v>
      </c>
      <c r="D3862" s="1">
        <f>IFERROR(__xludf.DUMMYFUNCTION("""COMPUTED_VALUE"""),1170.83)</f>
        <v>1170.83</v>
      </c>
      <c r="E3862" s="1">
        <f>IFERROR(__xludf.DUMMYFUNCTION("""COMPUTED_VALUE"""),1173.56)</f>
        <v>1173.56</v>
      </c>
      <c r="F3862" s="1">
        <f>IFERROR(__xludf.DUMMYFUNCTION("""COMPUTED_VALUE"""),1.9679688E8)</f>
        <v>196796880</v>
      </c>
    </row>
    <row r="3863">
      <c r="A3863" s="2">
        <f>IFERROR(__xludf.DUMMYFUNCTION("""COMPUTED_VALUE"""),36966.666666666664)</f>
        <v>36966.66667</v>
      </c>
      <c r="B3863" s="1">
        <f>IFERROR(__xludf.DUMMYFUNCTION("""COMPUTED_VALUE"""),1170.96)</f>
        <v>1170.96</v>
      </c>
      <c r="C3863" s="1">
        <f>IFERROR(__xludf.DUMMYFUNCTION("""COMPUTED_VALUE"""),1170.96)</f>
        <v>1170.96</v>
      </c>
      <c r="D3863" s="1">
        <f>IFERROR(__xludf.DUMMYFUNCTION("""COMPUTED_VALUE"""),1148.64)</f>
        <v>1148.64</v>
      </c>
      <c r="E3863" s="1">
        <f>IFERROR(__xludf.DUMMYFUNCTION("""COMPUTED_VALUE"""),1150.53)</f>
        <v>1150.53</v>
      </c>
      <c r="F3863" s="1">
        <f>IFERROR(__xludf.DUMMYFUNCTION("""COMPUTED_VALUE"""),2.41181248E8)</f>
        <v>241181248</v>
      </c>
    </row>
    <row r="3864">
      <c r="A3864" s="2">
        <f>IFERROR(__xludf.DUMMYFUNCTION("""COMPUTED_VALUE"""),36969.666666666664)</f>
        <v>36969.66667</v>
      </c>
      <c r="B3864" s="1">
        <f>IFERROR(__xludf.DUMMYFUNCTION("""COMPUTED_VALUE"""),1151.68)</f>
        <v>1151.68</v>
      </c>
      <c r="C3864" s="1">
        <f>IFERROR(__xludf.DUMMYFUNCTION("""COMPUTED_VALUE"""),1173.5)</f>
        <v>1173.5</v>
      </c>
      <c r="D3864" s="1">
        <f>IFERROR(__xludf.DUMMYFUNCTION("""COMPUTED_VALUE"""),1147.18)</f>
        <v>1147.18</v>
      </c>
      <c r="E3864" s="1">
        <f>IFERROR(__xludf.DUMMYFUNCTION("""COMPUTED_VALUE"""),1170.81)</f>
        <v>1170.81</v>
      </c>
      <c r="F3864" s="1">
        <f>IFERROR(__xludf.DUMMYFUNCTION("""COMPUTED_VALUE"""),1.75968752E8)</f>
        <v>175968752</v>
      </c>
    </row>
    <row r="3865">
      <c r="A3865" s="2">
        <f>IFERROR(__xludf.DUMMYFUNCTION("""COMPUTED_VALUE"""),36970.666666666664)</f>
        <v>36970.66667</v>
      </c>
      <c r="B3865" s="1">
        <f>IFERROR(__xludf.DUMMYFUNCTION("""COMPUTED_VALUE"""),1172.28)</f>
        <v>1172.28</v>
      </c>
      <c r="C3865" s="1">
        <f>IFERROR(__xludf.DUMMYFUNCTION("""COMPUTED_VALUE"""),1180.56)</f>
        <v>1180.56</v>
      </c>
      <c r="D3865" s="1">
        <f>IFERROR(__xludf.DUMMYFUNCTION("""COMPUTED_VALUE"""),1142.19)</f>
        <v>1142.19</v>
      </c>
      <c r="E3865" s="1">
        <f>IFERROR(__xludf.DUMMYFUNCTION("""COMPUTED_VALUE"""),1142.62)</f>
        <v>1142.62</v>
      </c>
      <c r="F3865" s="1">
        <f>IFERROR(__xludf.DUMMYFUNCTION("""COMPUTED_VALUE"""),1.93109376E8)</f>
        <v>193109376</v>
      </c>
    </row>
    <row r="3866">
      <c r="A3866" s="2">
        <f>IFERROR(__xludf.DUMMYFUNCTION("""COMPUTED_VALUE"""),36971.666666666664)</f>
        <v>36971.66667</v>
      </c>
      <c r="B3866" s="1">
        <f>IFERROR(__xludf.DUMMYFUNCTION("""COMPUTED_VALUE"""),1142.33)</f>
        <v>1142.33</v>
      </c>
      <c r="C3866" s="1">
        <f>IFERROR(__xludf.DUMMYFUNCTION("""COMPUTED_VALUE"""),1149.39)</f>
        <v>1149.39</v>
      </c>
      <c r="D3866" s="1">
        <f>IFERROR(__xludf.DUMMYFUNCTION("""COMPUTED_VALUE"""),1118.74)</f>
        <v>1118.74</v>
      </c>
      <c r="E3866" s="1">
        <f>IFERROR(__xludf.DUMMYFUNCTION("""COMPUTED_VALUE"""),1122.14)</f>
        <v>1122.14</v>
      </c>
      <c r="F3866" s="1">
        <f>IFERROR(__xludf.DUMMYFUNCTION("""COMPUTED_VALUE"""),2.10359376E8)</f>
        <v>210359376</v>
      </c>
    </row>
    <row r="3867">
      <c r="A3867" s="2">
        <f>IFERROR(__xludf.DUMMYFUNCTION("""COMPUTED_VALUE"""),36972.666666666664)</f>
        <v>36972.66667</v>
      </c>
      <c r="B3867" s="1">
        <f>IFERROR(__xludf.DUMMYFUNCTION("""COMPUTED_VALUE"""),1122.14)</f>
        <v>1122.14</v>
      </c>
      <c r="C3867" s="1">
        <f>IFERROR(__xludf.DUMMYFUNCTION("""COMPUTED_VALUE"""),1124.27)</f>
        <v>1124.27</v>
      </c>
      <c r="D3867" s="1">
        <f>IFERROR(__xludf.DUMMYFUNCTION("""COMPUTED_VALUE"""),1081.19)</f>
        <v>1081.19</v>
      </c>
      <c r="E3867" s="1">
        <f>IFERROR(__xludf.DUMMYFUNCTION("""COMPUTED_VALUE"""),1117.58)</f>
        <v>1117.58</v>
      </c>
      <c r="F3867" s="1">
        <f>IFERROR(__xludf.DUMMYFUNCTION("""COMPUTED_VALUE"""),2.693672E8)</f>
        <v>269367200</v>
      </c>
    </row>
    <row r="3868">
      <c r="A3868" s="2">
        <f>IFERROR(__xludf.DUMMYFUNCTION("""COMPUTED_VALUE"""),36973.666666666664)</f>
        <v>36973.66667</v>
      </c>
      <c r="B3868" s="1">
        <f>IFERROR(__xludf.DUMMYFUNCTION("""COMPUTED_VALUE"""),1122.14)</f>
        <v>1122.14</v>
      </c>
      <c r="C3868" s="1">
        <f>IFERROR(__xludf.DUMMYFUNCTION("""COMPUTED_VALUE"""),1141.83)</f>
        <v>1141.83</v>
      </c>
      <c r="D3868" s="1">
        <f>IFERROR(__xludf.DUMMYFUNCTION("""COMPUTED_VALUE"""),1081.19)</f>
        <v>1081.19</v>
      </c>
      <c r="E3868" s="1">
        <f>IFERROR(__xludf.DUMMYFUNCTION("""COMPUTED_VALUE"""),1139.83)</f>
        <v>1139.83</v>
      </c>
      <c r="F3868" s="1">
        <f>IFERROR(__xludf.DUMMYFUNCTION("""COMPUTED_VALUE"""),2.13265632E8)</f>
        <v>213265632</v>
      </c>
    </row>
    <row r="3869">
      <c r="A3869" s="2">
        <f>IFERROR(__xludf.DUMMYFUNCTION("""COMPUTED_VALUE"""),36976.666666666664)</f>
        <v>36976.66667</v>
      </c>
      <c r="B3869" s="1">
        <f>IFERROR(__xludf.DUMMYFUNCTION("""COMPUTED_VALUE"""),1140.15)</f>
        <v>1140.15</v>
      </c>
      <c r="C3869" s="1">
        <f>IFERROR(__xludf.DUMMYFUNCTION("""COMPUTED_VALUE"""),1160.02)</f>
        <v>1160.02</v>
      </c>
      <c r="D3869" s="1">
        <f>IFERROR(__xludf.DUMMYFUNCTION("""COMPUTED_VALUE"""),1140.15)</f>
        <v>1140.15</v>
      </c>
      <c r="E3869" s="1">
        <f>IFERROR(__xludf.DUMMYFUNCTION("""COMPUTED_VALUE"""),1152.69)</f>
        <v>1152.69</v>
      </c>
      <c r="F3869" s="1">
        <f>IFERROR(__xludf.DUMMYFUNCTION("""COMPUTED_VALUE"""),1.74062496E8)</f>
        <v>174062496</v>
      </c>
    </row>
    <row r="3870">
      <c r="A3870" s="2">
        <f>IFERROR(__xludf.DUMMYFUNCTION("""COMPUTED_VALUE"""),36977.666666666664)</f>
        <v>36977.66667</v>
      </c>
      <c r="B3870" s="1">
        <f>IFERROR(__xludf.DUMMYFUNCTION("""COMPUTED_VALUE"""),1152.98)</f>
        <v>1152.98</v>
      </c>
      <c r="C3870" s="1">
        <f>IFERROR(__xludf.DUMMYFUNCTION("""COMPUTED_VALUE"""),1183.35)</f>
        <v>1183.35</v>
      </c>
      <c r="D3870" s="1">
        <f>IFERROR(__xludf.DUMMYFUNCTION("""COMPUTED_VALUE"""),1150.96)</f>
        <v>1150.96</v>
      </c>
      <c r="E3870" s="1">
        <f>IFERROR(__xludf.DUMMYFUNCTION("""COMPUTED_VALUE"""),1182.17)</f>
        <v>1182.17</v>
      </c>
      <c r="F3870" s="1">
        <f>IFERROR(__xludf.DUMMYFUNCTION("""COMPUTED_VALUE"""),2.05343744E8)</f>
        <v>205343744</v>
      </c>
    </row>
    <row r="3871">
      <c r="A3871" s="2">
        <f>IFERROR(__xludf.DUMMYFUNCTION("""COMPUTED_VALUE"""),36978.666666666664)</f>
        <v>36978.66667</v>
      </c>
      <c r="B3871" s="1">
        <f>IFERROR(__xludf.DUMMYFUNCTION("""COMPUTED_VALUE"""),1178.04)</f>
        <v>1178.04</v>
      </c>
      <c r="C3871" s="1">
        <f>IFERROR(__xludf.DUMMYFUNCTION("""COMPUTED_VALUE"""),1178.04)</f>
        <v>1178.04</v>
      </c>
      <c r="D3871" s="1">
        <f>IFERROR(__xludf.DUMMYFUNCTION("""COMPUTED_VALUE"""),1147.83)</f>
        <v>1147.83</v>
      </c>
      <c r="E3871" s="1">
        <f>IFERROR(__xludf.DUMMYFUNCTION("""COMPUTED_VALUE"""),1153.29)</f>
        <v>1153.29</v>
      </c>
      <c r="F3871" s="1">
        <f>IFERROR(__xludf.DUMMYFUNCTION("""COMPUTED_VALUE"""),2.08343744E8)</f>
        <v>208343744</v>
      </c>
    </row>
    <row r="3872">
      <c r="A3872" s="2">
        <f>IFERROR(__xludf.DUMMYFUNCTION("""COMPUTED_VALUE"""),36979.666666666664)</f>
        <v>36979.66667</v>
      </c>
      <c r="B3872" s="1">
        <f>IFERROR(__xludf.DUMMYFUNCTION("""COMPUTED_VALUE"""),1151.59)</f>
        <v>1151.59</v>
      </c>
      <c r="C3872" s="1">
        <f>IFERROR(__xludf.DUMMYFUNCTION("""COMPUTED_VALUE"""),1161.69)</f>
        <v>1161.69</v>
      </c>
      <c r="D3872" s="1">
        <f>IFERROR(__xludf.DUMMYFUNCTION("""COMPUTED_VALUE"""),1136.26)</f>
        <v>1136.26</v>
      </c>
      <c r="E3872" s="1">
        <f>IFERROR(__xludf.DUMMYFUNCTION("""COMPUTED_VALUE"""),1147.95)</f>
        <v>1147.95</v>
      </c>
      <c r="F3872" s="1">
        <f>IFERROR(__xludf.DUMMYFUNCTION("""COMPUTED_VALUE"""),1.92890624E8)</f>
        <v>192890624</v>
      </c>
    </row>
    <row r="3873">
      <c r="A3873" s="2">
        <f>IFERROR(__xludf.DUMMYFUNCTION("""COMPUTED_VALUE"""),36980.666666666664)</f>
        <v>36980.66667</v>
      </c>
      <c r="B3873" s="1">
        <f>IFERROR(__xludf.DUMMYFUNCTION("""COMPUTED_VALUE"""),1147.95)</f>
        <v>1147.95</v>
      </c>
      <c r="C3873" s="1">
        <f>IFERROR(__xludf.DUMMYFUNCTION("""COMPUTED_VALUE"""),1162.8)</f>
        <v>1162.8</v>
      </c>
      <c r="D3873" s="1">
        <f>IFERROR(__xludf.DUMMYFUNCTION("""COMPUTED_VALUE"""),1143.83)</f>
        <v>1143.83</v>
      </c>
      <c r="E3873" s="1">
        <f>IFERROR(__xludf.DUMMYFUNCTION("""COMPUTED_VALUE"""),1160.33)</f>
        <v>1160.33</v>
      </c>
      <c r="F3873" s="1">
        <f>IFERROR(__xludf.DUMMYFUNCTION("""COMPUTED_VALUE"""),2.00124992E8)</f>
        <v>200124992</v>
      </c>
    </row>
    <row r="3874">
      <c r="A3874" s="2">
        <f>IFERROR(__xludf.DUMMYFUNCTION("""COMPUTED_VALUE"""),36983.666666666664)</f>
        <v>36983.66667</v>
      </c>
      <c r="B3874" s="1">
        <f>IFERROR(__xludf.DUMMYFUNCTION("""COMPUTED_VALUE"""),1160.2)</f>
        <v>1160.2</v>
      </c>
      <c r="C3874" s="1">
        <f>IFERROR(__xludf.DUMMYFUNCTION("""COMPUTED_VALUE"""),1169.51)</f>
        <v>1169.51</v>
      </c>
      <c r="D3874" s="1">
        <f>IFERROR(__xludf.DUMMYFUNCTION("""COMPUTED_VALUE"""),1137.51)</f>
        <v>1137.51</v>
      </c>
      <c r="E3874" s="1">
        <f>IFERROR(__xludf.DUMMYFUNCTION("""COMPUTED_VALUE"""),1145.87)</f>
        <v>1145.87</v>
      </c>
      <c r="F3874" s="1">
        <f>IFERROR(__xludf.DUMMYFUNCTION("""COMPUTED_VALUE"""),1.96078128E8)</f>
        <v>196078128</v>
      </c>
    </row>
    <row r="3875">
      <c r="A3875" s="2">
        <f>IFERROR(__xludf.DUMMYFUNCTION("""COMPUTED_VALUE"""),36984.666666666664)</f>
        <v>36984.66667</v>
      </c>
      <c r="B3875" s="1">
        <f>IFERROR(__xludf.DUMMYFUNCTION("""COMPUTED_VALUE"""),1144.04)</f>
        <v>1144.04</v>
      </c>
      <c r="C3875" s="1">
        <f>IFERROR(__xludf.DUMMYFUNCTION("""COMPUTED_VALUE"""),1144.04)</f>
        <v>1144.04</v>
      </c>
      <c r="D3875" s="1">
        <f>IFERROR(__xludf.DUMMYFUNCTION("""COMPUTED_VALUE"""),1100.19)</f>
        <v>1100.19</v>
      </c>
      <c r="E3875" s="1">
        <f>IFERROR(__xludf.DUMMYFUNCTION("""COMPUTED_VALUE"""),1106.46)</f>
        <v>1106.46</v>
      </c>
      <c r="F3875" s="1">
        <f>IFERROR(__xludf.DUMMYFUNCTION("""COMPUTED_VALUE"""),2.16578128E8)</f>
        <v>216578128</v>
      </c>
    </row>
    <row r="3876">
      <c r="A3876" s="2">
        <f>IFERROR(__xludf.DUMMYFUNCTION("""COMPUTED_VALUE"""),36985.666666666664)</f>
        <v>36985.66667</v>
      </c>
      <c r="B3876" s="1">
        <f>IFERROR(__xludf.DUMMYFUNCTION("""COMPUTED_VALUE"""),1105.92)</f>
        <v>1105.92</v>
      </c>
      <c r="C3876" s="1">
        <f>IFERROR(__xludf.DUMMYFUNCTION("""COMPUTED_VALUE"""),1117.5)</f>
        <v>1117.5</v>
      </c>
      <c r="D3876" s="1">
        <f>IFERROR(__xludf.DUMMYFUNCTION("""COMPUTED_VALUE"""),1091.99)</f>
        <v>1091.99</v>
      </c>
      <c r="E3876" s="1">
        <f>IFERROR(__xludf.DUMMYFUNCTION("""COMPUTED_VALUE"""),1103.25)</f>
        <v>1103.25</v>
      </c>
      <c r="F3876" s="1">
        <f>IFERROR(__xludf.DUMMYFUNCTION("""COMPUTED_VALUE"""),2.22748432E8)</f>
        <v>222748432</v>
      </c>
    </row>
    <row r="3877">
      <c r="A3877" s="2">
        <f>IFERROR(__xludf.DUMMYFUNCTION("""COMPUTED_VALUE"""),36986.666666666664)</f>
        <v>36986.66667</v>
      </c>
      <c r="B3877" s="1">
        <f>IFERROR(__xludf.DUMMYFUNCTION("""COMPUTED_VALUE"""),1109.98)</f>
        <v>1109.98</v>
      </c>
      <c r="C3877" s="1">
        <f>IFERROR(__xludf.DUMMYFUNCTION("""COMPUTED_VALUE"""),1151.47)</f>
        <v>1151.47</v>
      </c>
      <c r="D3877" s="1">
        <f>IFERROR(__xludf.DUMMYFUNCTION("""COMPUTED_VALUE"""),1109.98)</f>
        <v>1109.98</v>
      </c>
      <c r="E3877" s="1">
        <f>IFERROR(__xludf.DUMMYFUNCTION("""COMPUTED_VALUE"""),1151.44)</f>
        <v>1151.44</v>
      </c>
      <c r="F3877" s="1">
        <f>IFERROR(__xludf.DUMMYFUNCTION("""COMPUTED_VALUE"""),2.1375E8)</f>
        <v>213750000</v>
      </c>
    </row>
    <row r="3878">
      <c r="A3878" s="2">
        <f>IFERROR(__xludf.DUMMYFUNCTION("""COMPUTED_VALUE"""),36987.666666666664)</f>
        <v>36987.66667</v>
      </c>
      <c r="B3878" s="1">
        <f>IFERROR(__xludf.DUMMYFUNCTION("""COMPUTED_VALUE"""),1148.44)</f>
        <v>1148.44</v>
      </c>
      <c r="C3878" s="1">
        <f>IFERROR(__xludf.DUMMYFUNCTION("""COMPUTED_VALUE"""),1148.44)</f>
        <v>1148.44</v>
      </c>
      <c r="D3878" s="1">
        <f>IFERROR(__xludf.DUMMYFUNCTION("""COMPUTED_VALUE"""),1119.29)</f>
        <v>1119.29</v>
      </c>
      <c r="E3878" s="1">
        <f>IFERROR(__xludf.DUMMYFUNCTION("""COMPUTED_VALUE"""),1128.43)</f>
        <v>1128.43</v>
      </c>
      <c r="F3878" s="1">
        <f>IFERROR(__xludf.DUMMYFUNCTION("""COMPUTED_VALUE"""),1.97937504E8)</f>
        <v>197937504</v>
      </c>
    </row>
    <row r="3879">
      <c r="A3879" s="2">
        <f>IFERROR(__xludf.DUMMYFUNCTION("""COMPUTED_VALUE"""),36990.666666666664)</f>
        <v>36990.66667</v>
      </c>
      <c r="B3879" s="1">
        <f>IFERROR(__xludf.DUMMYFUNCTION("""COMPUTED_VALUE"""),1129.88)</f>
        <v>1129.88</v>
      </c>
      <c r="C3879" s="1">
        <f>IFERROR(__xludf.DUMMYFUNCTION("""COMPUTED_VALUE"""),1146.13)</f>
        <v>1146.13</v>
      </c>
      <c r="D3879" s="1">
        <f>IFERROR(__xludf.DUMMYFUNCTION("""COMPUTED_VALUE"""),1126.38)</f>
        <v>1126.38</v>
      </c>
      <c r="E3879" s="1">
        <f>IFERROR(__xludf.DUMMYFUNCTION("""COMPUTED_VALUE"""),1137.59)</f>
        <v>1137.59</v>
      </c>
      <c r="F3879" s="1">
        <f>IFERROR(__xludf.DUMMYFUNCTION("""COMPUTED_VALUE"""),1.66062496E8)</f>
        <v>166062496</v>
      </c>
    </row>
    <row r="3880">
      <c r="A3880" s="2">
        <f>IFERROR(__xludf.DUMMYFUNCTION("""COMPUTED_VALUE"""),36991.666666666664)</f>
        <v>36991.66667</v>
      </c>
      <c r="B3880" s="1">
        <f>IFERROR(__xludf.DUMMYFUNCTION("""COMPUTED_VALUE"""),1137.59)</f>
        <v>1137.59</v>
      </c>
      <c r="C3880" s="1">
        <f>IFERROR(__xludf.DUMMYFUNCTION("""COMPUTED_VALUE"""),1173.92)</f>
        <v>1173.92</v>
      </c>
      <c r="D3880" s="1">
        <f>IFERROR(__xludf.DUMMYFUNCTION("""COMPUTED_VALUE"""),1137.59)</f>
        <v>1137.59</v>
      </c>
      <c r="E3880" s="1">
        <f>IFERROR(__xludf.DUMMYFUNCTION("""COMPUTED_VALUE"""),1168.38)</f>
        <v>1168.38</v>
      </c>
      <c r="F3880" s="1">
        <f>IFERROR(__xludf.DUMMYFUNCTION("""COMPUTED_VALUE"""),2.10875008E8)</f>
        <v>210875008</v>
      </c>
    </row>
    <row r="3881">
      <c r="A3881" s="2">
        <f>IFERROR(__xludf.DUMMYFUNCTION("""COMPUTED_VALUE"""),36992.666666666664)</f>
        <v>36992.66667</v>
      </c>
      <c r="B3881" s="1">
        <f>IFERROR(__xludf.DUMMYFUNCTION("""COMPUTED_VALUE"""),1173.9)</f>
        <v>1173.9</v>
      </c>
      <c r="C3881" s="1">
        <f>IFERROR(__xludf.DUMMYFUNCTION("""COMPUTED_VALUE"""),1182.24)</f>
        <v>1182.24</v>
      </c>
      <c r="D3881" s="1">
        <f>IFERROR(__xludf.DUMMYFUNCTION("""COMPUTED_VALUE"""),1160.26)</f>
        <v>1160.26</v>
      </c>
      <c r="E3881" s="1">
        <f>IFERROR(__xludf.DUMMYFUNCTION("""COMPUTED_VALUE"""),1165.89)</f>
        <v>1165.89</v>
      </c>
      <c r="F3881" s="1">
        <f>IFERROR(__xludf.DUMMYFUNCTION("""COMPUTED_VALUE"""),2.01609376E8)</f>
        <v>201609376</v>
      </c>
    </row>
    <row r="3882">
      <c r="A3882" s="2">
        <f>IFERROR(__xludf.DUMMYFUNCTION("""COMPUTED_VALUE"""),36993.666666666664)</f>
        <v>36993.66667</v>
      </c>
      <c r="B3882" s="1">
        <f>IFERROR(__xludf.DUMMYFUNCTION("""COMPUTED_VALUE"""),1165.51)</f>
        <v>1165.51</v>
      </c>
      <c r="C3882" s="1">
        <f>IFERROR(__xludf.DUMMYFUNCTION("""COMPUTED_VALUE"""),1183.51)</f>
        <v>1183.51</v>
      </c>
      <c r="D3882" s="1">
        <f>IFERROR(__xludf.DUMMYFUNCTION("""COMPUTED_VALUE"""),1157.73)</f>
        <v>1157.73</v>
      </c>
      <c r="E3882" s="1">
        <f>IFERROR(__xludf.DUMMYFUNCTION("""COMPUTED_VALUE"""),1183.5)</f>
        <v>1183.5</v>
      </c>
      <c r="F3882" s="1">
        <f>IFERROR(__xludf.DUMMYFUNCTION("""COMPUTED_VALUE"""),1.72187504E8)</f>
        <v>172187504</v>
      </c>
    </row>
    <row r="3883">
      <c r="A3883" s="2">
        <f>IFERROR(__xludf.DUMMYFUNCTION("""COMPUTED_VALUE"""),36997.666666666664)</f>
        <v>36997.66667</v>
      </c>
      <c r="B3883" s="1">
        <f>IFERROR(__xludf.DUMMYFUNCTION("""COMPUTED_VALUE"""),1180.39)</f>
        <v>1180.39</v>
      </c>
      <c r="C3883" s="1">
        <f>IFERROR(__xludf.DUMMYFUNCTION("""COMPUTED_VALUE"""),1184.64)</f>
        <v>1184.64</v>
      </c>
      <c r="D3883" s="1">
        <f>IFERROR(__xludf.DUMMYFUNCTION("""COMPUTED_VALUE"""),1167.38)</f>
        <v>1167.38</v>
      </c>
      <c r="E3883" s="1">
        <f>IFERROR(__xludf.DUMMYFUNCTION("""COMPUTED_VALUE"""),1179.68)</f>
        <v>1179.68</v>
      </c>
      <c r="F3883" s="1">
        <f>IFERROR(__xludf.DUMMYFUNCTION("""COMPUTED_VALUE"""),1.4279688E8)</f>
        <v>142796880</v>
      </c>
    </row>
    <row r="3884">
      <c r="A3884" s="2">
        <f>IFERROR(__xludf.DUMMYFUNCTION("""COMPUTED_VALUE"""),36998.666666666664)</f>
        <v>36998.66667</v>
      </c>
      <c r="B3884" s="1">
        <f>IFERROR(__xludf.DUMMYFUNCTION("""COMPUTED_VALUE"""),1179.68)</f>
        <v>1179.68</v>
      </c>
      <c r="C3884" s="1">
        <f>IFERROR(__xludf.DUMMYFUNCTION("""COMPUTED_VALUE"""),1192.25)</f>
        <v>1192.25</v>
      </c>
      <c r="D3884" s="1">
        <f>IFERROR(__xludf.DUMMYFUNCTION("""COMPUTED_VALUE"""),1168.9)</f>
        <v>1168.9</v>
      </c>
      <c r="E3884" s="1">
        <f>IFERROR(__xludf.DUMMYFUNCTION("""COMPUTED_VALUE"""),1191.53)</f>
        <v>1191.53</v>
      </c>
      <c r="F3884" s="1">
        <f>IFERROR(__xludf.DUMMYFUNCTION("""COMPUTED_VALUE"""),1.73375008E8)</f>
        <v>173375008</v>
      </c>
    </row>
    <row r="3885">
      <c r="A3885" s="2">
        <f>IFERROR(__xludf.DUMMYFUNCTION("""COMPUTED_VALUE"""),36999.666666666664)</f>
        <v>36999.66667</v>
      </c>
      <c r="B3885" s="1">
        <f>IFERROR(__xludf.DUMMYFUNCTION("""COMPUTED_VALUE"""),1200.58)</f>
        <v>1200.58</v>
      </c>
      <c r="C3885" s="1">
        <f>IFERROR(__xludf.DUMMYFUNCTION("""COMPUTED_VALUE"""),1248.42)</f>
        <v>1248.42</v>
      </c>
      <c r="D3885" s="1">
        <f>IFERROR(__xludf.DUMMYFUNCTION("""COMPUTED_VALUE"""),1200.58)</f>
        <v>1200.58</v>
      </c>
      <c r="E3885" s="1">
        <f>IFERROR(__xludf.DUMMYFUNCTION("""COMPUTED_VALUE"""),1238.16)</f>
        <v>1238.16</v>
      </c>
      <c r="F3885" s="1">
        <f>IFERROR(__xludf.DUMMYFUNCTION("""COMPUTED_VALUE"""),2.99828128E8)</f>
        <v>299828128</v>
      </c>
    </row>
    <row r="3886">
      <c r="A3886" s="2">
        <f>IFERROR(__xludf.DUMMYFUNCTION("""COMPUTED_VALUE"""),37000.666666666664)</f>
        <v>37000.66667</v>
      </c>
      <c r="B3886" s="1">
        <f>IFERROR(__xludf.DUMMYFUNCTION("""COMPUTED_VALUE"""),1239.58)</f>
        <v>1239.58</v>
      </c>
      <c r="C3886" s="1">
        <f>IFERROR(__xludf.DUMMYFUNCTION("""COMPUTED_VALUE"""),1253.71)</f>
        <v>1253.71</v>
      </c>
      <c r="D3886" s="1">
        <f>IFERROR(__xludf.DUMMYFUNCTION("""COMPUTED_VALUE"""),1233.39)</f>
        <v>1233.39</v>
      </c>
      <c r="E3886" s="1">
        <f>IFERROR(__xludf.DUMMYFUNCTION("""COMPUTED_VALUE"""),1253.69)</f>
        <v>1253.69</v>
      </c>
      <c r="F3886" s="1">
        <f>IFERROR(__xludf.DUMMYFUNCTION("""COMPUTED_VALUE"""),2.32312496E8)</f>
        <v>232312496</v>
      </c>
    </row>
    <row r="3887">
      <c r="A3887" s="2">
        <f>IFERROR(__xludf.DUMMYFUNCTION("""COMPUTED_VALUE"""),37001.666666666664)</f>
        <v>37001.66667</v>
      </c>
      <c r="B3887" s="1">
        <f>IFERROR(__xludf.DUMMYFUNCTION("""COMPUTED_VALUE"""),1252.88)</f>
        <v>1252.88</v>
      </c>
      <c r="C3887" s="1">
        <f>IFERROR(__xludf.DUMMYFUNCTION("""COMPUTED_VALUE"""),1252.88)</f>
        <v>1252.88</v>
      </c>
      <c r="D3887" s="1">
        <f>IFERROR(__xludf.DUMMYFUNCTION("""COMPUTED_VALUE"""),1234.41)</f>
        <v>1234.41</v>
      </c>
      <c r="E3887" s="1">
        <f>IFERROR(__xludf.DUMMYFUNCTION("""COMPUTED_VALUE"""),1242.98)</f>
        <v>1242.98</v>
      </c>
      <c r="F3887" s="1">
        <f>IFERROR(__xludf.DUMMYFUNCTION("""COMPUTED_VALUE"""),2.09171872E8)</f>
        <v>209171872</v>
      </c>
    </row>
    <row r="3888">
      <c r="A3888" s="2">
        <f>IFERROR(__xludf.DUMMYFUNCTION("""COMPUTED_VALUE"""),37004.666666666664)</f>
        <v>37004.66667</v>
      </c>
      <c r="B3888" s="1">
        <f>IFERROR(__xludf.DUMMYFUNCTION("""COMPUTED_VALUE"""),1242.98)</f>
        <v>1242.98</v>
      </c>
      <c r="C3888" s="1">
        <f>IFERROR(__xludf.DUMMYFUNCTION("""COMPUTED_VALUE"""),1242.98)</f>
        <v>1242.98</v>
      </c>
      <c r="D3888" s="1">
        <f>IFERROR(__xludf.DUMMYFUNCTION("""COMPUTED_VALUE"""),1217.47)</f>
        <v>1217.47</v>
      </c>
      <c r="E3888" s="1">
        <f>IFERROR(__xludf.DUMMYFUNCTION("""COMPUTED_VALUE"""),1224.36)</f>
        <v>1224.36</v>
      </c>
      <c r="F3888" s="1">
        <f>IFERROR(__xludf.DUMMYFUNCTION("""COMPUTED_VALUE"""),1.58218752E8)</f>
        <v>158218752</v>
      </c>
    </row>
    <row r="3889">
      <c r="A3889" s="2">
        <f>IFERROR(__xludf.DUMMYFUNCTION("""COMPUTED_VALUE"""),37005.666666666664)</f>
        <v>37005.66667</v>
      </c>
      <c r="B3889" s="1">
        <f>IFERROR(__xludf.DUMMYFUNCTION("""COMPUTED_VALUE"""),1224.36)</f>
        <v>1224.36</v>
      </c>
      <c r="C3889" s="1">
        <f>IFERROR(__xludf.DUMMYFUNCTION("""COMPUTED_VALUE"""),1233.54)</f>
        <v>1233.54</v>
      </c>
      <c r="D3889" s="1">
        <f>IFERROR(__xludf.DUMMYFUNCTION("""COMPUTED_VALUE"""),1208.89)</f>
        <v>1208.89</v>
      </c>
      <c r="E3889" s="1">
        <f>IFERROR(__xludf.DUMMYFUNCTION("""COMPUTED_VALUE"""),1209.47)</f>
        <v>1209.47</v>
      </c>
      <c r="F3889" s="1">
        <f>IFERROR(__xludf.DUMMYFUNCTION("""COMPUTED_VALUE"""),1.90078128E8)</f>
        <v>190078128</v>
      </c>
    </row>
    <row r="3890">
      <c r="A3890" s="2">
        <f>IFERROR(__xludf.DUMMYFUNCTION("""COMPUTED_VALUE"""),37006.666666666664)</f>
        <v>37006.66667</v>
      </c>
      <c r="B3890" s="1">
        <f>IFERROR(__xludf.DUMMYFUNCTION("""COMPUTED_VALUE"""),1209.11)</f>
        <v>1209.11</v>
      </c>
      <c r="C3890" s="1">
        <f>IFERROR(__xludf.DUMMYFUNCTION("""COMPUTED_VALUE"""),1232.36)</f>
        <v>1232.36</v>
      </c>
      <c r="D3890" s="1">
        <f>IFERROR(__xludf.DUMMYFUNCTION("""COMPUTED_VALUE"""),1207.38)</f>
        <v>1207.38</v>
      </c>
      <c r="E3890" s="1">
        <f>IFERROR(__xludf.DUMMYFUNCTION("""COMPUTED_VALUE"""),1228.75)</f>
        <v>1228.75</v>
      </c>
      <c r="F3890" s="1">
        <f>IFERROR(__xludf.DUMMYFUNCTION("""COMPUTED_VALUE"""),1.88062496E8)</f>
        <v>188062496</v>
      </c>
    </row>
    <row r="3891">
      <c r="A3891" s="2">
        <f>IFERROR(__xludf.DUMMYFUNCTION("""COMPUTED_VALUE"""),37007.666666666664)</f>
        <v>37007.66667</v>
      </c>
      <c r="B3891" s="1">
        <f>IFERROR(__xludf.DUMMYFUNCTION("""COMPUTED_VALUE"""),1231.64)</f>
        <v>1231.64</v>
      </c>
      <c r="C3891" s="1">
        <f>IFERROR(__xludf.DUMMYFUNCTION("""COMPUTED_VALUE"""),1248.3)</f>
        <v>1248.3</v>
      </c>
      <c r="D3891" s="1">
        <f>IFERROR(__xludf.DUMMYFUNCTION("""COMPUTED_VALUE"""),1231.64)</f>
        <v>1231.64</v>
      </c>
      <c r="E3891" s="1">
        <f>IFERROR(__xludf.DUMMYFUNCTION("""COMPUTED_VALUE"""),1234.52)</f>
        <v>1234.52</v>
      </c>
      <c r="F3891" s="1">
        <f>IFERROR(__xludf.DUMMYFUNCTION("""COMPUTED_VALUE"""),2.10187504E8)</f>
        <v>210187504</v>
      </c>
    </row>
    <row r="3892">
      <c r="A3892" s="2">
        <f>IFERROR(__xludf.DUMMYFUNCTION("""COMPUTED_VALUE"""),37008.666666666664)</f>
        <v>37008.66667</v>
      </c>
      <c r="B3892" s="1">
        <f>IFERROR(__xludf.DUMMYFUNCTION("""COMPUTED_VALUE"""),1238.28)</f>
        <v>1238.28</v>
      </c>
      <c r="C3892" s="1">
        <f>IFERROR(__xludf.DUMMYFUNCTION("""COMPUTED_VALUE"""),1253.07)</f>
        <v>1253.07</v>
      </c>
      <c r="D3892" s="1">
        <f>IFERROR(__xludf.DUMMYFUNCTION("""COMPUTED_VALUE"""),1238.28)</f>
        <v>1238.28</v>
      </c>
      <c r="E3892" s="1">
        <f>IFERROR(__xludf.DUMMYFUNCTION("""COMPUTED_VALUE"""),1253.05)</f>
        <v>1253.05</v>
      </c>
      <c r="F3892" s="1">
        <f>IFERROR(__xludf.DUMMYFUNCTION("""COMPUTED_VALUE"""),1.70515632E8)</f>
        <v>170515632</v>
      </c>
    </row>
    <row r="3893">
      <c r="A3893" s="2">
        <f>IFERROR(__xludf.DUMMYFUNCTION("""COMPUTED_VALUE"""),37011.666666666664)</f>
        <v>37011.66667</v>
      </c>
      <c r="B3893" s="1">
        <f>IFERROR(__xludf.DUMMYFUNCTION("""COMPUTED_VALUE"""),1257.01)</f>
        <v>1257.01</v>
      </c>
      <c r="C3893" s="1">
        <f>IFERROR(__xludf.DUMMYFUNCTION("""COMPUTED_VALUE"""),1269.3)</f>
        <v>1269.3</v>
      </c>
      <c r="D3893" s="1">
        <f>IFERROR(__xludf.DUMMYFUNCTION("""COMPUTED_VALUE"""),1243.99)</f>
        <v>1243.99</v>
      </c>
      <c r="E3893" s="1">
        <f>IFERROR(__xludf.DUMMYFUNCTION("""COMPUTED_VALUE"""),1249.46)</f>
        <v>1249.46</v>
      </c>
      <c r="F3893" s="1">
        <f>IFERROR(__xludf.DUMMYFUNCTION("""COMPUTED_VALUE"""),1.97937504E8)</f>
        <v>197937504</v>
      </c>
    </row>
    <row r="3894">
      <c r="A3894" s="2">
        <f>IFERROR(__xludf.DUMMYFUNCTION("""COMPUTED_VALUE"""),37012.666666666664)</f>
        <v>37012.66667</v>
      </c>
      <c r="B3894" s="1">
        <f>IFERROR(__xludf.DUMMYFUNCTION("""COMPUTED_VALUE"""),1249.55)</f>
        <v>1249.55</v>
      </c>
      <c r="C3894" s="1">
        <f>IFERROR(__xludf.DUMMYFUNCTION("""COMPUTED_VALUE"""),1266.47)</f>
        <v>1266.47</v>
      </c>
      <c r="D3894" s="1">
        <f>IFERROR(__xludf.DUMMYFUNCTION("""COMPUTED_VALUE"""),1243.55)</f>
        <v>1243.55</v>
      </c>
      <c r="E3894" s="1">
        <f>IFERROR(__xludf.DUMMYFUNCTION("""COMPUTED_VALUE"""),1266.44)</f>
        <v>1266.44</v>
      </c>
      <c r="F3894" s="1">
        <f>IFERROR(__xludf.DUMMYFUNCTION("""COMPUTED_VALUE"""),1.84578128E8)</f>
        <v>184578128</v>
      </c>
    </row>
    <row r="3895">
      <c r="A3895" s="2">
        <f>IFERROR(__xludf.DUMMYFUNCTION("""COMPUTED_VALUE"""),37013.666666666664)</f>
        <v>37013.66667</v>
      </c>
      <c r="B3895" s="1">
        <f>IFERROR(__xludf.DUMMYFUNCTION("""COMPUTED_VALUE"""),1269.97)</f>
        <v>1269.97</v>
      </c>
      <c r="C3895" s="1">
        <f>IFERROR(__xludf.DUMMYFUNCTION("""COMPUTED_VALUE"""),1272.93)</f>
        <v>1272.93</v>
      </c>
      <c r="D3895" s="1">
        <f>IFERROR(__xludf.DUMMYFUNCTION("""COMPUTED_VALUE"""),1257.7)</f>
        <v>1257.7</v>
      </c>
      <c r="E3895" s="1">
        <f>IFERROR(__xludf.DUMMYFUNCTION("""COMPUTED_VALUE"""),1267.43)</f>
        <v>1267.43</v>
      </c>
      <c r="F3895" s="1">
        <f>IFERROR(__xludf.DUMMYFUNCTION("""COMPUTED_VALUE"""),2.09718752E8)</f>
        <v>209718752</v>
      </c>
    </row>
    <row r="3896">
      <c r="A3896" s="2">
        <f>IFERROR(__xludf.DUMMYFUNCTION("""COMPUTED_VALUE"""),37014.666666666664)</f>
        <v>37014.66667</v>
      </c>
      <c r="B3896" s="1">
        <f>IFERROR(__xludf.DUMMYFUNCTION("""COMPUTED_VALUE"""),1264.43)</f>
        <v>1264.43</v>
      </c>
      <c r="C3896" s="1">
        <f>IFERROR(__xludf.DUMMYFUNCTION("""COMPUTED_VALUE"""),1264.43)</f>
        <v>1264.43</v>
      </c>
      <c r="D3896" s="1">
        <f>IFERROR(__xludf.DUMMYFUNCTION("""COMPUTED_VALUE"""),1239.88)</f>
        <v>1239.88</v>
      </c>
      <c r="E3896" s="1">
        <f>IFERROR(__xludf.DUMMYFUNCTION("""COMPUTED_VALUE"""),1248.58)</f>
        <v>1248.58</v>
      </c>
      <c r="F3896" s="1">
        <f>IFERROR(__xludf.DUMMYFUNCTION("""COMPUTED_VALUE"""),1.7779688E8)</f>
        <v>177796880</v>
      </c>
    </row>
    <row r="3897">
      <c r="A3897" s="2">
        <f>IFERROR(__xludf.DUMMYFUNCTION("""COMPUTED_VALUE"""),37015.666666666664)</f>
        <v>37015.66667</v>
      </c>
      <c r="B3897" s="1">
        <f>IFERROR(__xludf.DUMMYFUNCTION("""COMPUTED_VALUE"""),1248.58)</f>
        <v>1248.58</v>
      </c>
      <c r="C3897" s="1">
        <f>IFERROR(__xludf.DUMMYFUNCTION("""COMPUTED_VALUE"""),1267.51)</f>
        <v>1267.51</v>
      </c>
      <c r="D3897" s="1">
        <f>IFERROR(__xludf.DUMMYFUNCTION("""COMPUTED_VALUE"""),1232.0)</f>
        <v>1232</v>
      </c>
      <c r="E3897" s="1">
        <f>IFERROR(__xludf.DUMMYFUNCTION("""COMPUTED_VALUE"""),1266.61)</f>
        <v>1266.61</v>
      </c>
      <c r="F3897" s="1">
        <f>IFERROR(__xludf.DUMMYFUNCTION("""COMPUTED_VALUE"""),1.69078128E8)</f>
        <v>169078128</v>
      </c>
    </row>
    <row r="3898">
      <c r="A3898" s="2">
        <f>IFERROR(__xludf.DUMMYFUNCTION("""COMPUTED_VALUE"""),37018.666666666664)</f>
        <v>37018.66667</v>
      </c>
      <c r="B3898" s="1">
        <f>IFERROR(__xludf.DUMMYFUNCTION("""COMPUTED_VALUE"""),1266.61)</f>
        <v>1266.61</v>
      </c>
      <c r="C3898" s="1">
        <f>IFERROR(__xludf.DUMMYFUNCTION("""COMPUTED_VALUE"""),1270.0)</f>
        <v>1270</v>
      </c>
      <c r="D3898" s="1">
        <f>IFERROR(__xludf.DUMMYFUNCTION("""COMPUTED_VALUE"""),1259.19)</f>
        <v>1259.19</v>
      </c>
      <c r="E3898" s="1">
        <f>IFERROR(__xludf.DUMMYFUNCTION("""COMPUTED_VALUE"""),1263.51)</f>
        <v>1263.51</v>
      </c>
      <c r="F3898" s="1">
        <f>IFERROR(__xludf.DUMMYFUNCTION("""COMPUTED_VALUE"""),1.48281248E8)</f>
        <v>148281248</v>
      </c>
    </row>
    <row r="3899">
      <c r="A3899" s="2">
        <f>IFERROR(__xludf.DUMMYFUNCTION("""COMPUTED_VALUE"""),37019.666666666664)</f>
        <v>37019.66667</v>
      </c>
      <c r="B3899" s="1">
        <f>IFERROR(__xludf.DUMMYFUNCTION("""COMPUTED_VALUE"""),1266.71)</f>
        <v>1266.71</v>
      </c>
      <c r="C3899" s="1">
        <f>IFERROR(__xludf.DUMMYFUNCTION("""COMPUTED_VALUE"""),1267.01)</f>
        <v>1267.01</v>
      </c>
      <c r="D3899" s="1">
        <f>IFERROR(__xludf.DUMMYFUNCTION("""COMPUTED_VALUE"""),1253.0)</f>
        <v>1253</v>
      </c>
      <c r="E3899" s="1">
        <f>IFERROR(__xludf.DUMMYFUNCTION("""COMPUTED_VALUE"""),1261.2)</f>
        <v>1261.2</v>
      </c>
      <c r="F3899" s="1">
        <f>IFERROR(__xludf.DUMMYFUNCTION("""COMPUTED_VALUE"""),1.57234368E8)</f>
        <v>157234368</v>
      </c>
    </row>
    <row r="3900">
      <c r="A3900" s="2">
        <f>IFERROR(__xludf.DUMMYFUNCTION("""COMPUTED_VALUE"""),37020.666666666664)</f>
        <v>37020.66667</v>
      </c>
      <c r="B3900" s="1">
        <f>IFERROR(__xludf.DUMMYFUNCTION("""COMPUTED_VALUE"""),1261.2)</f>
        <v>1261.2</v>
      </c>
      <c r="C3900" s="1">
        <f>IFERROR(__xludf.DUMMYFUNCTION("""COMPUTED_VALUE"""),1261.65)</f>
        <v>1261.65</v>
      </c>
      <c r="D3900" s="1">
        <f>IFERROR(__xludf.DUMMYFUNCTION("""COMPUTED_VALUE"""),1247.83)</f>
        <v>1247.83</v>
      </c>
      <c r="E3900" s="1">
        <f>IFERROR(__xludf.DUMMYFUNCTION("""COMPUTED_VALUE"""),1255.54)</f>
        <v>1255.54</v>
      </c>
      <c r="F3900" s="1">
        <f>IFERROR(__xludf.DUMMYFUNCTION("""COMPUTED_VALUE"""),1.76937504E8)</f>
        <v>176937504</v>
      </c>
    </row>
    <row r="3901">
      <c r="A3901" s="2">
        <f>IFERROR(__xludf.DUMMYFUNCTION("""COMPUTED_VALUE"""),37021.666666666664)</f>
        <v>37021.66667</v>
      </c>
      <c r="B3901" s="1">
        <f>IFERROR(__xludf.DUMMYFUNCTION("""COMPUTED_VALUE"""),1255.54)</f>
        <v>1255.54</v>
      </c>
      <c r="C3901" s="1">
        <f>IFERROR(__xludf.DUMMYFUNCTION("""COMPUTED_VALUE"""),1268.14)</f>
        <v>1268.14</v>
      </c>
      <c r="D3901" s="1">
        <f>IFERROR(__xludf.DUMMYFUNCTION("""COMPUTED_VALUE"""),1254.56)</f>
        <v>1254.56</v>
      </c>
      <c r="E3901" s="1">
        <f>IFERROR(__xludf.DUMMYFUNCTION("""COMPUTED_VALUE"""),1255.18)</f>
        <v>1255.18</v>
      </c>
      <c r="F3901" s="1">
        <f>IFERROR(__xludf.DUMMYFUNCTION("""COMPUTED_VALUE"""),1.65109376E8)</f>
        <v>165109376</v>
      </c>
    </row>
    <row r="3902">
      <c r="A3902" s="2">
        <f>IFERROR(__xludf.DUMMYFUNCTION("""COMPUTED_VALUE"""),37022.666666666664)</f>
        <v>37022.66667</v>
      </c>
      <c r="B3902" s="1">
        <f>IFERROR(__xludf.DUMMYFUNCTION("""COMPUTED_VALUE"""),1255.39)</f>
        <v>1255.39</v>
      </c>
      <c r="C3902" s="1">
        <f>IFERROR(__xludf.DUMMYFUNCTION("""COMPUTED_VALUE"""),1259.84)</f>
        <v>1259.84</v>
      </c>
      <c r="D3902" s="1">
        <f>IFERROR(__xludf.DUMMYFUNCTION("""COMPUTED_VALUE"""),1240.79)</f>
        <v>1240.79</v>
      </c>
      <c r="E3902" s="1">
        <f>IFERROR(__xludf.DUMMYFUNCTION("""COMPUTED_VALUE"""),1245.67)</f>
        <v>1245.67</v>
      </c>
      <c r="F3902" s="1">
        <f>IFERROR(__xludf.DUMMYFUNCTION("""COMPUTED_VALUE"""),1.41593744E8)</f>
        <v>141593744</v>
      </c>
    </row>
    <row r="3903">
      <c r="A3903" s="2">
        <f>IFERROR(__xludf.DUMMYFUNCTION("""COMPUTED_VALUE"""),37025.666666666664)</f>
        <v>37025.66667</v>
      </c>
      <c r="B3903" s="1">
        <f>IFERROR(__xludf.DUMMYFUNCTION("""COMPUTED_VALUE"""),1245.67)</f>
        <v>1245.67</v>
      </c>
      <c r="C3903" s="1">
        <f>IFERROR(__xludf.DUMMYFUNCTION("""COMPUTED_VALUE"""),1249.68)</f>
        <v>1249.68</v>
      </c>
      <c r="D3903" s="1">
        <f>IFERROR(__xludf.DUMMYFUNCTION("""COMPUTED_VALUE"""),1241.02)</f>
        <v>1241.02</v>
      </c>
      <c r="E3903" s="1">
        <f>IFERROR(__xludf.DUMMYFUNCTION("""COMPUTED_VALUE"""),1248.92)</f>
        <v>1248.92</v>
      </c>
      <c r="F3903" s="1">
        <f>IFERROR(__xludf.DUMMYFUNCTION("""COMPUTED_VALUE"""),1.34093752E8)</f>
        <v>134093752</v>
      </c>
    </row>
    <row r="3904">
      <c r="A3904" s="2">
        <f>IFERROR(__xludf.DUMMYFUNCTION("""COMPUTED_VALUE"""),37026.666666666664)</f>
        <v>37026.66667</v>
      </c>
      <c r="B3904" s="1">
        <f>IFERROR(__xludf.DUMMYFUNCTION("""COMPUTED_VALUE"""),1249.28)</f>
        <v>1249.28</v>
      </c>
      <c r="C3904" s="1">
        <f>IFERROR(__xludf.DUMMYFUNCTION("""COMPUTED_VALUE"""),1257.45)</f>
        <v>1257.45</v>
      </c>
      <c r="D3904" s="1">
        <f>IFERROR(__xludf.DUMMYFUNCTION("""COMPUTED_VALUE"""),1245.36)</f>
        <v>1245.36</v>
      </c>
      <c r="E3904" s="1">
        <f>IFERROR(__xludf.DUMMYFUNCTION("""COMPUTED_VALUE"""),1249.44)</f>
        <v>1249.44</v>
      </c>
      <c r="F3904" s="1">
        <f>IFERROR(__xludf.DUMMYFUNCTION("""COMPUTED_VALUE"""),1.67468752E8)</f>
        <v>167468752</v>
      </c>
    </row>
    <row r="3905">
      <c r="A3905" s="2">
        <f>IFERROR(__xludf.DUMMYFUNCTION("""COMPUTED_VALUE"""),37027.666666666664)</f>
        <v>37027.66667</v>
      </c>
      <c r="B3905" s="1">
        <f>IFERROR(__xludf.DUMMYFUNCTION("""COMPUTED_VALUE"""),1247.95)</f>
        <v>1247.95</v>
      </c>
      <c r="C3905" s="1">
        <f>IFERROR(__xludf.DUMMYFUNCTION("""COMPUTED_VALUE"""),1286.39)</f>
        <v>1286.39</v>
      </c>
      <c r="D3905" s="1">
        <f>IFERROR(__xludf.DUMMYFUNCTION("""COMPUTED_VALUE"""),1243.02)</f>
        <v>1243.02</v>
      </c>
      <c r="E3905" s="1">
        <f>IFERROR(__xludf.DUMMYFUNCTION("""COMPUTED_VALUE"""),1284.99)</f>
        <v>1284.99</v>
      </c>
      <c r="F3905" s="1">
        <f>IFERROR(__xludf.DUMMYFUNCTION("""COMPUTED_VALUE"""),2.19578128E8)</f>
        <v>219578128</v>
      </c>
    </row>
    <row r="3906">
      <c r="A3906" s="2">
        <f>IFERROR(__xludf.DUMMYFUNCTION("""COMPUTED_VALUE"""),37028.666666666664)</f>
        <v>37028.66667</v>
      </c>
      <c r="B3906" s="1">
        <f>IFERROR(__xludf.DUMMYFUNCTION("""COMPUTED_VALUE"""),1285.24)</f>
        <v>1285.24</v>
      </c>
      <c r="C3906" s="1">
        <f>IFERROR(__xludf.DUMMYFUNCTION("""COMPUTED_VALUE"""),1296.48)</f>
        <v>1296.48</v>
      </c>
      <c r="D3906" s="1">
        <f>IFERROR(__xludf.DUMMYFUNCTION("""COMPUTED_VALUE"""),1282.65)</f>
        <v>1282.65</v>
      </c>
      <c r="E3906" s="1">
        <f>IFERROR(__xludf.DUMMYFUNCTION("""COMPUTED_VALUE"""),1288.49)</f>
        <v>1288.49</v>
      </c>
      <c r="F3906" s="1">
        <f>IFERROR(__xludf.DUMMYFUNCTION("""COMPUTED_VALUE"""),2.11812496E8)</f>
        <v>211812496</v>
      </c>
    </row>
    <row r="3907">
      <c r="A3907" s="2">
        <f>IFERROR(__xludf.DUMMYFUNCTION("""COMPUTED_VALUE"""),37029.666666666664)</f>
        <v>37029.66667</v>
      </c>
      <c r="B3907" s="1">
        <f>IFERROR(__xludf.DUMMYFUNCTION("""COMPUTED_VALUE"""),1287.13)</f>
        <v>1287.13</v>
      </c>
      <c r="C3907" s="1">
        <f>IFERROR(__xludf.DUMMYFUNCTION("""COMPUTED_VALUE"""),1292.06)</f>
        <v>1292.06</v>
      </c>
      <c r="D3907" s="1">
        <f>IFERROR(__xludf.DUMMYFUNCTION("""COMPUTED_VALUE"""),1281.15)</f>
        <v>1281.15</v>
      </c>
      <c r="E3907" s="1">
        <f>IFERROR(__xludf.DUMMYFUNCTION("""COMPUTED_VALUE"""),1291.96)</f>
        <v>1291.96</v>
      </c>
      <c r="F3907" s="1">
        <f>IFERROR(__xludf.DUMMYFUNCTION("""COMPUTED_VALUE"""),1.76687504E8)</f>
        <v>176687504</v>
      </c>
    </row>
    <row r="3908">
      <c r="A3908" s="2">
        <f>IFERROR(__xludf.DUMMYFUNCTION("""COMPUTED_VALUE"""),37032.666666666664)</f>
        <v>37032.66667</v>
      </c>
      <c r="B3908" s="1">
        <f>IFERROR(__xludf.DUMMYFUNCTION("""COMPUTED_VALUE"""),1291.96)</f>
        <v>1291.96</v>
      </c>
      <c r="C3908" s="1">
        <f>IFERROR(__xludf.DUMMYFUNCTION("""COMPUTED_VALUE"""),1312.95)</f>
        <v>1312.95</v>
      </c>
      <c r="D3908" s="1">
        <f>IFERROR(__xludf.DUMMYFUNCTION("""COMPUTED_VALUE"""),1287.87)</f>
        <v>1287.87</v>
      </c>
      <c r="E3908" s="1">
        <f>IFERROR(__xludf.DUMMYFUNCTION("""COMPUTED_VALUE"""),1312.83)</f>
        <v>1312.83</v>
      </c>
      <c r="F3908" s="1">
        <f>IFERROR(__xludf.DUMMYFUNCTION("""COMPUTED_VALUE"""),1.83578128E8)</f>
        <v>183578128</v>
      </c>
    </row>
    <row r="3909">
      <c r="A3909" s="2">
        <f>IFERROR(__xludf.DUMMYFUNCTION("""COMPUTED_VALUE"""),37033.666666666664)</f>
        <v>37033.66667</v>
      </c>
      <c r="B3909" s="1">
        <f>IFERROR(__xludf.DUMMYFUNCTION("""COMPUTED_VALUE"""),1314.16)</f>
        <v>1314.16</v>
      </c>
      <c r="C3909" s="1">
        <f>IFERROR(__xludf.DUMMYFUNCTION("""COMPUTED_VALUE"""),1315.93)</f>
        <v>1315.93</v>
      </c>
      <c r="D3909" s="1">
        <f>IFERROR(__xludf.DUMMYFUNCTION("""COMPUTED_VALUE"""),1306.92)</f>
        <v>1306.92</v>
      </c>
      <c r="E3909" s="1">
        <f>IFERROR(__xludf.DUMMYFUNCTION("""COMPUTED_VALUE"""),1309.38)</f>
        <v>1309.38</v>
      </c>
      <c r="F3909" s="1">
        <f>IFERROR(__xludf.DUMMYFUNCTION("""COMPUTED_VALUE"""),1.96937504E8)</f>
        <v>196937504</v>
      </c>
    </row>
    <row r="3910">
      <c r="A3910" s="2">
        <f>IFERROR(__xludf.DUMMYFUNCTION("""COMPUTED_VALUE"""),37034.666666666664)</f>
        <v>37034.66667</v>
      </c>
      <c r="B3910" s="1">
        <f>IFERROR(__xludf.DUMMYFUNCTION("""COMPUTED_VALUE"""),1308.36)</f>
        <v>1308.36</v>
      </c>
      <c r="C3910" s="1">
        <f>IFERROR(__xludf.DUMMYFUNCTION("""COMPUTED_VALUE"""),1308.36)</f>
        <v>1308.36</v>
      </c>
      <c r="D3910" s="1">
        <f>IFERROR(__xludf.DUMMYFUNCTION("""COMPUTED_VALUE"""),1288.7)</f>
        <v>1288.7</v>
      </c>
      <c r="E3910" s="1">
        <f>IFERROR(__xludf.DUMMYFUNCTION("""COMPUTED_VALUE"""),1289.05)</f>
        <v>1289.05</v>
      </c>
      <c r="F3910" s="1">
        <f>IFERROR(__xludf.DUMMYFUNCTION("""COMPUTED_VALUE"""),1.77312496E8)</f>
        <v>177312496</v>
      </c>
    </row>
    <row r="3911">
      <c r="A3911" s="2">
        <f>IFERROR(__xludf.DUMMYFUNCTION("""COMPUTED_VALUE"""),37035.666666666664)</f>
        <v>37035.66667</v>
      </c>
      <c r="B3911" s="1">
        <f>IFERROR(__xludf.DUMMYFUNCTION("""COMPUTED_VALUE"""),1289.05)</f>
        <v>1289.05</v>
      </c>
      <c r="C3911" s="1">
        <f>IFERROR(__xludf.DUMMYFUNCTION("""COMPUTED_VALUE"""),1295.04)</f>
        <v>1295.04</v>
      </c>
      <c r="D3911" s="1">
        <f>IFERROR(__xludf.DUMMYFUNCTION("""COMPUTED_VALUE"""),1281.22)</f>
        <v>1281.22</v>
      </c>
      <c r="E3911" s="1">
        <f>IFERROR(__xludf.DUMMYFUNCTION("""COMPUTED_VALUE"""),1293.17)</f>
        <v>1293.17</v>
      </c>
      <c r="F3911" s="1">
        <f>IFERROR(__xludf.DUMMYFUNCTION("""COMPUTED_VALUE"""),1.71984368E8)</f>
        <v>171984368</v>
      </c>
    </row>
    <row r="3912">
      <c r="A3912" s="2">
        <f>IFERROR(__xludf.DUMMYFUNCTION("""COMPUTED_VALUE"""),37036.666666666664)</f>
        <v>37036.66667</v>
      </c>
      <c r="B3912" s="1">
        <f>IFERROR(__xludf.DUMMYFUNCTION("""COMPUTED_VALUE"""),1293.17)</f>
        <v>1293.17</v>
      </c>
      <c r="C3912" s="1">
        <f>IFERROR(__xludf.DUMMYFUNCTION("""COMPUTED_VALUE"""),1293.17)</f>
        <v>1293.17</v>
      </c>
      <c r="D3912" s="1">
        <f>IFERROR(__xludf.DUMMYFUNCTION("""COMPUTED_VALUE"""),1276.42)</f>
        <v>1276.42</v>
      </c>
      <c r="E3912" s="1">
        <f>IFERROR(__xludf.DUMMYFUNCTION("""COMPUTED_VALUE"""),1277.89)</f>
        <v>1277.89</v>
      </c>
      <c r="F3912" s="1">
        <f>IFERROR(__xludf.DUMMYFUNCTION("""COMPUTED_VALUE"""),1.29390624E8)</f>
        <v>129390624</v>
      </c>
    </row>
    <row r="3913">
      <c r="A3913" s="2">
        <f>IFERROR(__xludf.DUMMYFUNCTION("""COMPUTED_VALUE"""),37040.666666666664)</f>
        <v>37040.66667</v>
      </c>
      <c r="B3913" s="1">
        <f>IFERROR(__xludf.DUMMYFUNCTION("""COMPUTED_VALUE"""),1277.89)</f>
        <v>1277.89</v>
      </c>
      <c r="C3913" s="1">
        <f>IFERROR(__xludf.DUMMYFUNCTION("""COMPUTED_VALUE"""),1278.42)</f>
        <v>1278.42</v>
      </c>
      <c r="D3913" s="1">
        <f>IFERROR(__xludf.DUMMYFUNCTION("""COMPUTED_VALUE"""),1265.41)</f>
        <v>1265.41</v>
      </c>
      <c r="E3913" s="1">
        <f>IFERROR(__xludf.DUMMYFUNCTION("""COMPUTED_VALUE"""),1267.93)</f>
        <v>1267.93</v>
      </c>
      <c r="F3913" s="1">
        <f>IFERROR(__xludf.DUMMYFUNCTION("""COMPUTED_VALUE"""),1.60312496E8)</f>
        <v>160312496</v>
      </c>
    </row>
    <row r="3914">
      <c r="A3914" s="2">
        <f>IFERROR(__xludf.DUMMYFUNCTION("""COMPUTED_VALUE"""),37041.666666666664)</f>
        <v>37041.66667</v>
      </c>
      <c r="B3914" s="1">
        <f>IFERROR(__xludf.DUMMYFUNCTION("""COMPUTED_VALUE"""),1263.51)</f>
        <v>1263.51</v>
      </c>
      <c r="C3914" s="1">
        <f>IFERROR(__xludf.DUMMYFUNCTION("""COMPUTED_VALUE"""),1265.44)</f>
        <v>1265.44</v>
      </c>
      <c r="D3914" s="1">
        <f>IFERROR(__xludf.DUMMYFUNCTION("""COMPUTED_VALUE"""),1245.96)</f>
        <v>1245.96</v>
      </c>
      <c r="E3914" s="1">
        <f>IFERROR(__xludf.DUMMYFUNCTION("""COMPUTED_VALUE"""),1248.08)</f>
        <v>1248.08</v>
      </c>
      <c r="F3914" s="1">
        <f>IFERROR(__xludf.DUMMYFUNCTION("""COMPUTED_VALUE"""),1.81031248E8)</f>
        <v>181031248</v>
      </c>
    </row>
    <row r="3915">
      <c r="A3915" s="2">
        <f>IFERROR(__xludf.DUMMYFUNCTION("""COMPUTED_VALUE"""),37042.666666666664)</f>
        <v>37042.66667</v>
      </c>
      <c r="B3915" s="1">
        <f>IFERROR(__xludf.DUMMYFUNCTION("""COMPUTED_VALUE"""),1248.7)</f>
        <v>1248.7</v>
      </c>
      <c r="C3915" s="1">
        <f>IFERROR(__xludf.DUMMYFUNCTION("""COMPUTED_VALUE"""),1261.91)</f>
        <v>1261.91</v>
      </c>
      <c r="D3915" s="1">
        <f>IFERROR(__xludf.DUMMYFUNCTION("""COMPUTED_VALUE"""),1248.07)</f>
        <v>1248.07</v>
      </c>
      <c r="E3915" s="1">
        <f>IFERROR(__xludf.DUMMYFUNCTION("""COMPUTED_VALUE"""),1255.82)</f>
        <v>1255.82</v>
      </c>
      <c r="F3915" s="1">
        <f>IFERROR(__xludf.DUMMYFUNCTION("""COMPUTED_VALUE"""),1.91656256E8)</f>
        <v>191656256</v>
      </c>
    </row>
    <row r="3916">
      <c r="A3916" s="2">
        <f>IFERROR(__xludf.DUMMYFUNCTION("""COMPUTED_VALUE"""),37043.666666666664)</f>
        <v>37043.66667</v>
      </c>
      <c r="B3916" s="1">
        <f>IFERROR(__xludf.DUMMYFUNCTION("""COMPUTED_VALUE"""),1257.5)</f>
        <v>1257.5</v>
      </c>
      <c r="C3916" s="1">
        <f>IFERROR(__xludf.DUMMYFUNCTION("""COMPUTED_VALUE"""),1265.34)</f>
        <v>1265.34</v>
      </c>
      <c r="D3916" s="1">
        <f>IFERROR(__xludf.DUMMYFUNCTION("""COMPUTED_VALUE"""),1246.88)</f>
        <v>1246.88</v>
      </c>
      <c r="E3916" s="1">
        <f>IFERROR(__xludf.DUMMYFUNCTION("""COMPUTED_VALUE"""),1260.67)</f>
        <v>1260.67</v>
      </c>
      <c r="F3916" s="1">
        <f>IFERROR(__xludf.DUMMYFUNCTION("""COMPUTED_VALUE"""),1.58593744E8)</f>
        <v>158593744</v>
      </c>
    </row>
    <row r="3917">
      <c r="A3917" s="2">
        <f>IFERROR(__xludf.DUMMYFUNCTION("""COMPUTED_VALUE"""),37046.666666666664)</f>
        <v>37046.66667</v>
      </c>
      <c r="B3917" s="1">
        <f>IFERROR(__xludf.DUMMYFUNCTION("""COMPUTED_VALUE"""),1262.62)</f>
        <v>1262.62</v>
      </c>
      <c r="C3917" s="1">
        <f>IFERROR(__xludf.DUMMYFUNCTION("""COMPUTED_VALUE"""),1267.17)</f>
        <v>1267.17</v>
      </c>
      <c r="D3917" s="1">
        <f>IFERROR(__xludf.DUMMYFUNCTION("""COMPUTED_VALUE"""),1256.36)</f>
        <v>1256.36</v>
      </c>
      <c r="E3917" s="1">
        <f>IFERROR(__xludf.DUMMYFUNCTION("""COMPUTED_VALUE"""),1267.11)</f>
        <v>1267.11</v>
      </c>
      <c r="F3917" s="1">
        <f>IFERROR(__xludf.DUMMYFUNCTION("""COMPUTED_VALUE"""),1.30703128E8)</f>
        <v>130703128</v>
      </c>
    </row>
    <row r="3918">
      <c r="A3918" s="2">
        <f>IFERROR(__xludf.DUMMYFUNCTION("""COMPUTED_VALUE"""),37047.666666666664)</f>
        <v>37047.66667</v>
      </c>
      <c r="B3918" s="1">
        <f>IFERROR(__xludf.DUMMYFUNCTION("""COMPUTED_VALUE"""),1268.31)</f>
        <v>1268.31</v>
      </c>
      <c r="C3918" s="1">
        <f>IFERROR(__xludf.DUMMYFUNCTION("""COMPUTED_VALUE"""),1286.62)</f>
        <v>1286.62</v>
      </c>
      <c r="D3918" s="1">
        <f>IFERROR(__xludf.DUMMYFUNCTION("""COMPUTED_VALUE"""),1267.28)</f>
        <v>1267.28</v>
      </c>
      <c r="E3918" s="1">
        <f>IFERROR(__xludf.DUMMYFUNCTION("""COMPUTED_VALUE"""),1283.57)</f>
        <v>1283.57</v>
      </c>
      <c r="F3918" s="1">
        <f>IFERROR(__xludf.DUMMYFUNCTION("""COMPUTED_VALUE"""),1.745E8)</f>
        <v>174500000</v>
      </c>
    </row>
    <row r="3919">
      <c r="A3919" s="2">
        <f>IFERROR(__xludf.DUMMYFUNCTION("""COMPUTED_VALUE"""),37048.666666666664)</f>
        <v>37048.66667</v>
      </c>
      <c r="B3919" s="1">
        <f>IFERROR(__xludf.DUMMYFUNCTION("""COMPUTED_VALUE"""),1283.85)</f>
        <v>1283.85</v>
      </c>
      <c r="C3919" s="1">
        <f>IFERROR(__xludf.DUMMYFUNCTION("""COMPUTED_VALUE"""),1283.85)</f>
        <v>1283.85</v>
      </c>
      <c r="D3919" s="1">
        <f>IFERROR(__xludf.DUMMYFUNCTION("""COMPUTED_VALUE"""),1269.01)</f>
        <v>1269.01</v>
      </c>
      <c r="E3919" s="1">
        <f>IFERROR(__xludf.DUMMYFUNCTION("""COMPUTED_VALUE"""),1270.03)</f>
        <v>1270.03</v>
      </c>
      <c r="F3919" s="1">
        <f>IFERROR(__xludf.DUMMYFUNCTION("""COMPUTED_VALUE"""),1.65921872E8)</f>
        <v>165921872</v>
      </c>
    </row>
    <row r="3920">
      <c r="A3920" s="2">
        <f>IFERROR(__xludf.DUMMYFUNCTION("""COMPUTED_VALUE"""),37049.666666666664)</f>
        <v>37049.66667</v>
      </c>
      <c r="B3920" s="1">
        <f>IFERROR(__xludf.DUMMYFUNCTION("""COMPUTED_VALUE"""),1269.4)</f>
        <v>1269.4</v>
      </c>
      <c r="C3920" s="1">
        <f>IFERROR(__xludf.DUMMYFUNCTION("""COMPUTED_VALUE"""),1277.08)</f>
        <v>1277.08</v>
      </c>
      <c r="D3920" s="1">
        <f>IFERROR(__xludf.DUMMYFUNCTION("""COMPUTED_VALUE"""),1265.08)</f>
        <v>1265.08</v>
      </c>
      <c r="E3920" s="1">
        <f>IFERROR(__xludf.DUMMYFUNCTION("""COMPUTED_VALUE"""),1276.96)</f>
        <v>1276.96</v>
      </c>
      <c r="F3920" s="1">
        <f>IFERROR(__xludf.DUMMYFUNCTION("""COMPUTED_VALUE"""),1.7025E8)</f>
        <v>170250000</v>
      </c>
    </row>
    <row r="3921">
      <c r="A3921" s="2">
        <f>IFERROR(__xludf.DUMMYFUNCTION("""COMPUTED_VALUE"""),37050.666666666664)</f>
        <v>37050.66667</v>
      </c>
      <c r="B3921" s="1">
        <f>IFERROR(__xludf.DUMMYFUNCTION("""COMPUTED_VALUE"""),1277.11)</f>
        <v>1277.11</v>
      </c>
      <c r="C3921" s="1">
        <f>IFERROR(__xludf.DUMMYFUNCTION("""COMPUTED_VALUE"""),1277.11)</f>
        <v>1277.11</v>
      </c>
      <c r="D3921" s="1">
        <f>IFERROR(__xludf.DUMMYFUNCTION("""COMPUTED_VALUE"""),1259.99)</f>
        <v>1259.99</v>
      </c>
      <c r="E3921" s="1">
        <f>IFERROR(__xludf.DUMMYFUNCTION("""COMPUTED_VALUE"""),1264.96)</f>
        <v>1264.96</v>
      </c>
      <c r="F3921" s="1">
        <f>IFERROR(__xludf.DUMMYFUNCTION("""COMPUTED_VALUE"""),1.13468752E8)</f>
        <v>113468752</v>
      </c>
    </row>
    <row r="3922">
      <c r="A3922" s="2">
        <f>IFERROR(__xludf.DUMMYFUNCTION("""COMPUTED_VALUE"""),37053.666666666664)</f>
        <v>37053.66667</v>
      </c>
      <c r="B3922" s="1">
        <f>IFERROR(__xludf.DUMMYFUNCTION("""COMPUTED_VALUE"""),1264.96)</f>
        <v>1264.96</v>
      </c>
      <c r="C3922" s="1">
        <f>IFERROR(__xludf.DUMMYFUNCTION("""COMPUTED_VALUE"""),1264.96)</f>
        <v>1264.96</v>
      </c>
      <c r="D3922" s="1">
        <f>IFERROR(__xludf.DUMMYFUNCTION("""COMPUTED_VALUE"""),1249.23)</f>
        <v>1249.23</v>
      </c>
      <c r="E3922" s="1">
        <f>IFERROR(__xludf.DUMMYFUNCTION("""COMPUTED_VALUE"""),1254.39)</f>
        <v>1254.39</v>
      </c>
      <c r="F3922" s="1">
        <f>IFERROR(__xludf.DUMMYFUNCTION("""COMPUTED_VALUE"""),1.3595312E8)</f>
        <v>135953120</v>
      </c>
    </row>
    <row r="3923">
      <c r="A3923" s="2">
        <f>IFERROR(__xludf.DUMMYFUNCTION("""COMPUTED_VALUE"""),37054.666666666664)</f>
        <v>37054.66667</v>
      </c>
      <c r="B3923" s="1">
        <f>IFERROR(__xludf.DUMMYFUNCTION("""COMPUTED_VALUE"""),1252.6)</f>
        <v>1252.6</v>
      </c>
      <c r="C3923" s="1">
        <f>IFERROR(__xludf.DUMMYFUNCTION("""COMPUTED_VALUE"""),1261.0)</f>
        <v>1261</v>
      </c>
      <c r="D3923" s="1">
        <f>IFERROR(__xludf.DUMMYFUNCTION("""COMPUTED_VALUE"""),1235.75)</f>
        <v>1235.75</v>
      </c>
      <c r="E3923" s="1">
        <f>IFERROR(__xludf.DUMMYFUNCTION("""COMPUTED_VALUE"""),1255.85)</f>
        <v>1255.85</v>
      </c>
      <c r="F3923" s="1">
        <f>IFERROR(__xludf.DUMMYFUNCTION("""COMPUTED_VALUE"""),1.77578128E8)</f>
        <v>177578128</v>
      </c>
    </row>
    <row r="3924">
      <c r="A3924" s="2">
        <f>IFERROR(__xludf.DUMMYFUNCTION("""COMPUTED_VALUE"""),37055.666666666664)</f>
        <v>37055.66667</v>
      </c>
      <c r="B3924" s="1">
        <f>IFERROR(__xludf.DUMMYFUNCTION("""COMPUTED_VALUE"""),1255.85)</f>
        <v>1255.85</v>
      </c>
      <c r="C3924" s="1">
        <f>IFERROR(__xludf.DUMMYFUNCTION("""COMPUTED_VALUE"""),1259.75)</f>
        <v>1259.75</v>
      </c>
      <c r="D3924" s="1">
        <f>IFERROR(__xludf.DUMMYFUNCTION("""COMPUTED_VALUE"""),1241.59)</f>
        <v>1241.59</v>
      </c>
      <c r="E3924" s="1">
        <f>IFERROR(__xludf.DUMMYFUNCTION("""COMPUTED_VALUE"""),1241.6)</f>
        <v>1241.6</v>
      </c>
      <c r="F3924" s="1">
        <f>IFERROR(__xludf.DUMMYFUNCTION("""COMPUTED_VALUE"""),1.66187504E8)</f>
        <v>166187504</v>
      </c>
    </row>
    <row r="3925">
      <c r="A3925" s="2">
        <f>IFERROR(__xludf.DUMMYFUNCTION("""COMPUTED_VALUE"""),37056.666666666664)</f>
        <v>37056.66667</v>
      </c>
      <c r="B3925" s="1">
        <f>IFERROR(__xludf.DUMMYFUNCTION("""COMPUTED_VALUE"""),1241.6)</f>
        <v>1241.6</v>
      </c>
      <c r="C3925" s="1">
        <f>IFERROR(__xludf.DUMMYFUNCTION("""COMPUTED_VALUE"""),1241.6)</f>
        <v>1241.6</v>
      </c>
      <c r="D3925" s="1">
        <f>IFERROR(__xludf.DUMMYFUNCTION("""COMPUTED_VALUE"""),1218.9)</f>
        <v>1218.9</v>
      </c>
      <c r="E3925" s="1">
        <f>IFERROR(__xludf.DUMMYFUNCTION("""COMPUTED_VALUE"""),1219.87)</f>
        <v>1219.87</v>
      </c>
      <c r="F3925" s="1">
        <f>IFERROR(__xludf.DUMMYFUNCTION("""COMPUTED_VALUE"""),1.9420312E8)</f>
        <v>194203120</v>
      </c>
    </row>
    <row r="3926">
      <c r="A3926" s="2">
        <f>IFERROR(__xludf.DUMMYFUNCTION("""COMPUTED_VALUE"""),37057.666666666664)</f>
        <v>37057.66667</v>
      </c>
      <c r="B3926" s="1">
        <f>IFERROR(__xludf.DUMMYFUNCTION("""COMPUTED_VALUE"""),1219.87)</f>
        <v>1219.87</v>
      </c>
      <c r="C3926" s="1">
        <f>IFERROR(__xludf.DUMMYFUNCTION("""COMPUTED_VALUE"""),1221.5)</f>
        <v>1221.5</v>
      </c>
      <c r="D3926" s="1">
        <f>IFERROR(__xludf.DUMMYFUNCTION("""COMPUTED_VALUE"""),1203.03)</f>
        <v>1203.03</v>
      </c>
      <c r="E3926" s="1">
        <f>IFERROR(__xludf.DUMMYFUNCTION("""COMPUTED_VALUE"""),1214.36)</f>
        <v>1214.36</v>
      </c>
      <c r="F3926" s="1">
        <f>IFERROR(__xludf.DUMMYFUNCTION("""COMPUTED_VALUE"""),2.55554688E8)</f>
        <v>255554688</v>
      </c>
    </row>
    <row r="3927">
      <c r="A3927" s="2">
        <f>IFERROR(__xludf.DUMMYFUNCTION("""COMPUTED_VALUE"""),37060.666666666664)</f>
        <v>37060.66667</v>
      </c>
      <c r="B3927" s="1">
        <f>IFERROR(__xludf.DUMMYFUNCTION("""COMPUTED_VALUE"""),1214.36)</f>
        <v>1214.36</v>
      </c>
      <c r="C3927" s="1">
        <f>IFERROR(__xludf.DUMMYFUNCTION("""COMPUTED_VALUE"""),1221.23)</f>
        <v>1221.23</v>
      </c>
      <c r="D3927" s="1">
        <f>IFERROR(__xludf.DUMMYFUNCTION("""COMPUTED_VALUE"""),1208.33)</f>
        <v>1208.33</v>
      </c>
      <c r="E3927" s="1">
        <f>IFERROR(__xludf.DUMMYFUNCTION("""COMPUTED_VALUE"""),1208.43)</f>
        <v>1208.43</v>
      </c>
      <c r="F3927" s="1">
        <f>IFERROR(__xludf.DUMMYFUNCTION("""COMPUTED_VALUE"""),1.73687504E8)</f>
        <v>173687504</v>
      </c>
    </row>
    <row r="3928">
      <c r="A3928" s="2">
        <f>IFERROR(__xludf.DUMMYFUNCTION("""COMPUTED_VALUE"""),37061.666666666664)</f>
        <v>37061.66667</v>
      </c>
      <c r="B3928" s="1">
        <f>IFERROR(__xludf.DUMMYFUNCTION("""COMPUTED_VALUE"""),1208.43)</f>
        <v>1208.43</v>
      </c>
      <c r="C3928" s="1">
        <f>IFERROR(__xludf.DUMMYFUNCTION("""COMPUTED_VALUE"""),1226.11)</f>
        <v>1226.11</v>
      </c>
      <c r="D3928" s="1">
        <f>IFERROR(__xludf.DUMMYFUNCTION("""COMPUTED_VALUE"""),1207.71)</f>
        <v>1207.71</v>
      </c>
      <c r="E3928" s="1">
        <f>IFERROR(__xludf.DUMMYFUNCTION("""COMPUTED_VALUE"""),1212.58)</f>
        <v>1212.58</v>
      </c>
      <c r="F3928" s="1">
        <f>IFERROR(__xludf.DUMMYFUNCTION("""COMPUTED_VALUE"""),1.85140624E8)</f>
        <v>185140624</v>
      </c>
    </row>
    <row r="3929">
      <c r="A3929" s="2">
        <f>IFERROR(__xludf.DUMMYFUNCTION("""COMPUTED_VALUE"""),37062.666666666664)</f>
        <v>37062.66667</v>
      </c>
      <c r="B3929" s="1">
        <f>IFERROR(__xludf.DUMMYFUNCTION("""COMPUTED_VALUE"""),1210.67)</f>
        <v>1210.67</v>
      </c>
      <c r="C3929" s="1">
        <f>IFERROR(__xludf.DUMMYFUNCTION("""COMPUTED_VALUE"""),1225.61)</f>
        <v>1225.61</v>
      </c>
      <c r="D3929" s="1">
        <f>IFERROR(__xludf.DUMMYFUNCTION("""COMPUTED_VALUE"""),1210.07)</f>
        <v>1210.07</v>
      </c>
      <c r="E3929" s="1">
        <f>IFERROR(__xludf.DUMMYFUNCTION("""COMPUTED_VALUE"""),1223.14)</f>
        <v>1223.14</v>
      </c>
      <c r="F3929" s="1">
        <f>IFERROR(__xludf.DUMMYFUNCTION("""COMPUTED_VALUE"""),2.1095312E8)</f>
        <v>210953120</v>
      </c>
    </row>
    <row r="3930">
      <c r="A3930" s="2">
        <f>IFERROR(__xludf.DUMMYFUNCTION("""COMPUTED_VALUE"""),37063.666666666664)</f>
        <v>37063.66667</v>
      </c>
      <c r="B3930" s="1">
        <f>IFERROR(__xludf.DUMMYFUNCTION("""COMPUTED_VALUE"""),1222.66)</f>
        <v>1222.66</v>
      </c>
      <c r="C3930" s="1">
        <f>IFERROR(__xludf.DUMMYFUNCTION("""COMPUTED_VALUE"""),1240.24)</f>
        <v>1240.24</v>
      </c>
      <c r="D3930" s="1">
        <f>IFERROR(__xludf.DUMMYFUNCTION("""COMPUTED_VALUE"""),1220.25)</f>
        <v>1220.25</v>
      </c>
      <c r="E3930" s="1">
        <f>IFERROR(__xludf.DUMMYFUNCTION("""COMPUTED_VALUE"""),1237.04)</f>
        <v>1237.04</v>
      </c>
      <c r="F3930" s="1">
        <f>IFERROR(__xludf.DUMMYFUNCTION("""COMPUTED_VALUE"""),2.41690624E8)</f>
        <v>241690624</v>
      </c>
    </row>
    <row r="3931">
      <c r="A3931" s="2">
        <f>IFERROR(__xludf.DUMMYFUNCTION("""COMPUTED_VALUE"""),37064.666666666664)</f>
        <v>37064.66667</v>
      </c>
      <c r="B3931" s="1">
        <f>IFERROR(__xludf.DUMMYFUNCTION("""COMPUTED_VALUE"""),1237.59)</f>
        <v>1237.59</v>
      </c>
      <c r="C3931" s="1">
        <f>IFERROR(__xludf.DUMMYFUNCTION("""COMPUTED_VALUE"""),1237.73)</f>
        <v>1237.73</v>
      </c>
      <c r="D3931" s="1">
        <f>IFERROR(__xludf.DUMMYFUNCTION("""COMPUTED_VALUE"""),1221.41)</f>
        <v>1221.41</v>
      </c>
      <c r="E3931" s="1">
        <f>IFERROR(__xludf.DUMMYFUNCTION("""COMPUTED_VALUE"""),1225.35)</f>
        <v>1225.35</v>
      </c>
      <c r="F3931" s="1">
        <f>IFERROR(__xludf.DUMMYFUNCTION("""COMPUTED_VALUE"""),1.85812496E8)</f>
        <v>185812496</v>
      </c>
    </row>
    <row r="3932">
      <c r="A3932" s="2">
        <f>IFERROR(__xludf.DUMMYFUNCTION("""COMPUTED_VALUE"""),37067.666666666664)</f>
        <v>37067.66667</v>
      </c>
      <c r="B3932" s="1">
        <f>IFERROR(__xludf.DUMMYFUNCTION("""COMPUTED_VALUE"""),1225.35)</f>
        <v>1225.35</v>
      </c>
      <c r="C3932" s="1">
        <f>IFERROR(__xludf.DUMMYFUNCTION("""COMPUTED_VALUE"""),1231.5)</f>
        <v>1231.5</v>
      </c>
      <c r="D3932" s="1">
        <f>IFERROR(__xludf.DUMMYFUNCTION("""COMPUTED_VALUE"""),1213.6)</f>
        <v>1213.6</v>
      </c>
      <c r="E3932" s="1">
        <f>IFERROR(__xludf.DUMMYFUNCTION("""COMPUTED_VALUE"""),1218.6)</f>
        <v>1218.6</v>
      </c>
      <c r="F3932" s="1">
        <f>IFERROR(__xludf.DUMMYFUNCTION("""COMPUTED_VALUE"""),1.64078128E8)</f>
        <v>164078128</v>
      </c>
    </row>
    <row r="3933">
      <c r="A3933" s="2">
        <f>IFERROR(__xludf.DUMMYFUNCTION("""COMPUTED_VALUE"""),37068.666666666664)</f>
        <v>37068.66667</v>
      </c>
      <c r="B3933" s="1">
        <f>IFERROR(__xludf.DUMMYFUNCTION("""COMPUTED_VALUE"""),1215.31)</f>
        <v>1215.31</v>
      </c>
      <c r="C3933" s="1">
        <f>IFERROR(__xludf.DUMMYFUNCTION("""COMPUTED_VALUE"""),1220.7)</f>
        <v>1220.7</v>
      </c>
      <c r="D3933" s="1">
        <f>IFERROR(__xludf.DUMMYFUNCTION("""COMPUTED_VALUE"""),1204.64)</f>
        <v>1204.64</v>
      </c>
      <c r="E3933" s="1">
        <f>IFERROR(__xludf.DUMMYFUNCTION("""COMPUTED_VALUE"""),1216.76)</f>
        <v>1216.76</v>
      </c>
      <c r="F3933" s="1">
        <f>IFERROR(__xludf.DUMMYFUNCTION("""COMPUTED_VALUE"""),1.87328128E8)</f>
        <v>187328128</v>
      </c>
    </row>
    <row r="3934">
      <c r="A3934" s="2">
        <f>IFERROR(__xludf.DUMMYFUNCTION("""COMPUTED_VALUE"""),37069.666666666664)</f>
        <v>37069.66667</v>
      </c>
      <c r="B3934" s="1">
        <f>IFERROR(__xludf.DUMMYFUNCTION("""COMPUTED_VALUE"""),1216.77)</f>
        <v>1216.77</v>
      </c>
      <c r="C3934" s="1">
        <f>IFERROR(__xludf.DUMMYFUNCTION("""COMPUTED_VALUE"""),1219.92)</f>
        <v>1219.92</v>
      </c>
      <c r="D3934" s="1">
        <f>IFERROR(__xludf.DUMMYFUNCTION("""COMPUTED_VALUE"""),1207.29)</f>
        <v>1207.29</v>
      </c>
      <c r="E3934" s="1">
        <f>IFERROR(__xludf.DUMMYFUNCTION("""COMPUTED_VALUE"""),1211.07)</f>
        <v>1211.07</v>
      </c>
      <c r="F3934" s="1">
        <f>IFERROR(__xludf.DUMMYFUNCTION("""COMPUTED_VALUE"""),1.81578128E8)</f>
        <v>181578128</v>
      </c>
    </row>
    <row r="3935">
      <c r="A3935" s="2">
        <f>IFERROR(__xludf.DUMMYFUNCTION("""COMPUTED_VALUE"""),37070.666666666664)</f>
        <v>37070.66667</v>
      </c>
      <c r="B3935" s="1">
        <f>IFERROR(__xludf.DUMMYFUNCTION("""COMPUTED_VALUE"""),1211.08)</f>
        <v>1211.08</v>
      </c>
      <c r="C3935" s="1">
        <f>IFERROR(__xludf.DUMMYFUNCTION("""COMPUTED_VALUE"""),1234.44)</f>
        <v>1234.44</v>
      </c>
      <c r="D3935" s="1">
        <f>IFERROR(__xludf.DUMMYFUNCTION("""COMPUTED_VALUE"""),1211.08)</f>
        <v>1211.08</v>
      </c>
      <c r="E3935" s="1">
        <f>IFERROR(__xludf.DUMMYFUNCTION("""COMPUTED_VALUE"""),1226.2)</f>
        <v>1226.2</v>
      </c>
      <c r="F3935" s="1">
        <f>IFERROR(__xludf.DUMMYFUNCTION("""COMPUTED_VALUE"""),2.07390624E8)</f>
        <v>207390624</v>
      </c>
    </row>
    <row r="3936">
      <c r="A3936" s="2">
        <f>IFERROR(__xludf.DUMMYFUNCTION("""COMPUTED_VALUE"""),37071.666666666664)</f>
        <v>37071.66667</v>
      </c>
      <c r="B3936" s="1">
        <f>IFERROR(__xludf.DUMMYFUNCTION("""COMPUTED_VALUE"""),1226.2)</f>
        <v>1226.2</v>
      </c>
      <c r="C3936" s="1">
        <f>IFERROR(__xludf.DUMMYFUNCTION("""COMPUTED_VALUE"""),1237.29)</f>
        <v>1237.29</v>
      </c>
      <c r="D3936" s="1">
        <f>IFERROR(__xludf.DUMMYFUNCTION("""COMPUTED_VALUE"""),1221.14)</f>
        <v>1221.14</v>
      </c>
      <c r="E3936" s="1">
        <f>IFERROR(__xludf.DUMMYFUNCTION("""COMPUTED_VALUE"""),1224.38)</f>
        <v>1224.38</v>
      </c>
      <c r="F3936" s="1">
        <f>IFERROR(__xludf.DUMMYFUNCTION("""COMPUTED_VALUE"""),2.8630624E8)</f>
        <v>286306240</v>
      </c>
    </row>
    <row r="3937">
      <c r="A3937" s="2">
        <f>IFERROR(__xludf.DUMMYFUNCTION("""COMPUTED_VALUE"""),37074.666666666664)</f>
        <v>37074.66667</v>
      </c>
      <c r="B3937" s="1">
        <f>IFERROR(__xludf.DUMMYFUNCTION("""COMPUTED_VALUE"""),1225.0)</f>
        <v>1225</v>
      </c>
      <c r="C3937" s="1">
        <f>IFERROR(__xludf.DUMMYFUNCTION("""COMPUTED_VALUE"""),1239.78)</f>
        <v>1239.78</v>
      </c>
      <c r="D3937" s="1">
        <f>IFERROR(__xludf.DUMMYFUNCTION("""COMPUTED_VALUE"""),1224.03)</f>
        <v>1224.03</v>
      </c>
      <c r="E3937" s="1">
        <f>IFERROR(__xludf.DUMMYFUNCTION("""COMPUTED_VALUE"""),1236.72)</f>
        <v>1236.72</v>
      </c>
      <c r="F3937" s="1">
        <f>IFERROR(__xludf.DUMMYFUNCTION("""COMPUTED_VALUE"""),1.7629688E8)</f>
        <v>176296880</v>
      </c>
    </row>
    <row r="3938">
      <c r="A3938" s="2">
        <f>IFERROR(__xludf.DUMMYFUNCTION("""COMPUTED_VALUE"""),37075.666666666664)</f>
        <v>37075.66667</v>
      </c>
      <c r="B3938" s="1">
        <f>IFERROR(__xludf.DUMMYFUNCTION("""COMPUTED_VALUE"""),1235.91)</f>
        <v>1235.91</v>
      </c>
      <c r="C3938" s="1">
        <f>IFERROR(__xludf.DUMMYFUNCTION("""COMPUTED_VALUE"""),1236.21)</f>
        <v>1236.21</v>
      </c>
      <c r="D3938" s="1">
        <f>IFERROR(__xludf.DUMMYFUNCTION("""COMPUTED_VALUE"""),1229.43)</f>
        <v>1229.43</v>
      </c>
      <c r="E3938" s="1">
        <f>IFERROR(__xludf.DUMMYFUNCTION("""COMPUTED_VALUE"""),1234.45)</f>
        <v>1234.45</v>
      </c>
      <c r="F3938" s="1">
        <f>IFERROR(__xludf.DUMMYFUNCTION("""COMPUTED_VALUE"""),9.7204688E7)</f>
        <v>97204688</v>
      </c>
    </row>
    <row r="3939">
      <c r="A3939" s="2">
        <f>IFERROR(__xludf.DUMMYFUNCTION("""COMPUTED_VALUE"""),37077.666666666664)</f>
        <v>37077.66667</v>
      </c>
      <c r="B3939" s="1">
        <f>IFERROR(__xludf.DUMMYFUNCTION("""COMPUTED_VALUE"""),1234.05)</f>
        <v>1234.05</v>
      </c>
      <c r="C3939" s="1">
        <f>IFERROR(__xludf.DUMMYFUNCTION("""COMPUTED_VALUE"""),1234.05)</f>
        <v>1234.05</v>
      </c>
      <c r="D3939" s="1">
        <f>IFERROR(__xludf.DUMMYFUNCTION("""COMPUTED_VALUE"""),1219.15)</f>
        <v>1219.15</v>
      </c>
      <c r="E3939" s="1">
        <f>IFERROR(__xludf.DUMMYFUNCTION("""COMPUTED_VALUE"""),1219.24)</f>
        <v>1219.24</v>
      </c>
      <c r="F3939" s="1">
        <f>IFERROR(__xludf.DUMMYFUNCTION("""COMPUTED_VALUE"""),1.46078128E8)</f>
        <v>146078128</v>
      </c>
    </row>
    <row r="3940">
      <c r="A3940" s="2">
        <f>IFERROR(__xludf.DUMMYFUNCTION("""COMPUTED_VALUE"""),37078.666666666664)</f>
        <v>37078.66667</v>
      </c>
      <c r="B3940" s="1">
        <f>IFERROR(__xludf.DUMMYFUNCTION("""COMPUTED_VALUE"""),1219.1)</f>
        <v>1219.1</v>
      </c>
      <c r="C3940" s="1">
        <f>IFERROR(__xludf.DUMMYFUNCTION("""COMPUTED_VALUE"""),1219.1)</f>
        <v>1219.1</v>
      </c>
      <c r="D3940" s="1">
        <f>IFERROR(__xludf.DUMMYFUNCTION("""COMPUTED_VALUE"""),1188.74)</f>
        <v>1188.74</v>
      </c>
      <c r="E3940" s="1">
        <f>IFERROR(__xludf.DUMMYFUNCTION("""COMPUTED_VALUE"""),1190.59)</f>
        <v>1190.59</v>
      </c>
      <c r="F3940" s="1">
        <f>IFERROR(__xludf.DUMMYFUNCTION("""COMPUTED_VALUE"""),1.65109376E8)</f>
        <v>165109376</v>
      </c>
    </row>
    <row r="3941">
      <c r="A3941" s="2">
        <f>IFERROR(__xludf.DUMMYFUNCTION("""COMPUTED_VALUE"""),37081.666666666664)</f>
        <v>37081.66667</v>
      </c>
      <c r="B3941" s="1">
        <f>IFERROR(__xludf.DUMMYFUNCTION("""COMPUTED_VALUE"""),1191.1)</f>
        <v>1191.1</v>
      </c>
      <c r="C3941" s="1">
        <f>IFERROR(__xludf.DUMMYFUNCTION("""COMPUTED_VALUE"""),1201.76)</f>
        <v>1201.76</v>
      </c>
      <c r="D3941" s="1">
        <f>IFERROR(__xludf.DUMMYFUNCTION("""COMPUTED_VALUE"""),1189.75)</f>
        <v>1189.75</v>
      </c>
      <c r="E3941" s="1">
        <f>IFERROR(__xludf.DUMMYFUNCTION("""COMPUTED_VALUE"""),1198.78)</f>
        <v>1198.78</v>
      </c>
      <c r="F3941" s="1">
        <f>IFERROR(__xludf.DUMMYFUNCTION("""COMPUTED_VALUE"""),1.63390624E8)</f>
        <v>163390624</v>
      </c>
    </row>
    <row r="3942">
      <c r="A3942" s="2">
        <f>IFERROR(__xludf.DUMMYFUNCTION("""COMPUTED_VALUE"""),37082.666666666664)</f>
        <v>37082.66667</v>
      </c>
      <c r="B3942" s="1">
        <f>IFERROR(__xludf.DUMMYFUNCTION("""COMPUTED_VALUE"""),1198.78)</f>
        <v>1198.78</v>
      </c>
      <c r="C3942" s="1">
        <f>IFERROR(__xludf.DUMMYFUNCTION("""COMPUTED_VALUE"""),1203.43)</f>
        <v>1203.43</v>
      </c>
      <c r="D3942" s="1">
        <f>IFERROR(__xludf.DUMMYFUNCTION("""COMPUTED_VALUE"""),1179.93)</f>
        <v>1179.93</v>
      </c>
      <c r="E3942" s="1">
        <f>IFERROR(__xludf.DUMMYFUNCTION("""COMPUTED_VALUE"""),1181.52)</f>
        <v>1181.52</v>
      </c>
      <c r="F3942" s="1">
        <f>IFERROR(__xludf.DUMMYFUNCTION("""COMPUTED_VALUE"""),1.97468752E8)</f>
        <v>197468752</v>
      </c>
    </row>
    <row r="3943">
      <c r="A3943" s="2">
        <f>IFERROR(__xludf.DUMMYFUNCTION("""COMPUTED_VALUE"""),37083.666666666664)</f>
        <v>37083.66667</v>
      </c>
      <c r="B3943" s="1">
        <f>IFERROR(__xludf.DUMMYFUNCTION("""COMPUTED_VALUE"""),1181.54)</f>
        <v>1181.54</v>
      </c>
      <c r="C3943" s="1">
        <f>IFERROR(__xludf.DUMMYFUNCTION("""COMPUTED_VALUE"""),1184.93)</f>
        <v>1184.93</v>
      </c>
      <c r="D3943" s="1">
        <f>IFERROR(__xludf.DUMMYFUNCTION("""COMPUTED_VALUE"""),1168.46)</f>
        <v>1168.46</v>
      </c>
      <c r="E3943" s="1">
        <f>IFERROR(__xludf.DUMMYFUNCTION("""COMPUTED_VALUE"""),1180.18)</f>
        <v>1180.18</v>
      </c>
      <c r="F3943" s="1">
        <f>IFERROR(__xludf.DUMMYFUNCTION("""COMPUTED_VALUE"""),2.16265632E8)</f>
        <v>216265632</v>
      </c>
    </row>
    <row r="3944">
      <c r="A3944" s="2">
        <f>IFERROR(__xludf.DUMMYFUNCTION("""COMPUTED_VALUE"""),37084.666666666664)</f>
        <v>37084.66667</v>
      </c>
      <c r="B3944" s="1">
        <f>IFERROR(__xludf.DUMMYFUNCTION("""COMPUTED_VALUE"""),1187.55)</f>
        <v>1187.55</v>
      </c>
      <c r="C3944" s="1">
        <f>IFERROR(__xludf.DUMMYFUNCTION("""COMPUTED_VALUE"""),1210.25)</f>
        <v>1210.25</v>
      </c>
      <c r="D3944" s="1">
        <f>IFERROR(__xludf.DUMMYFUNCTION("""COMPUTED_VALUE"""),1187.55)</f>
        <v>1187.55</v>
      </c>
      <c r="E3944" s="1">
        <f>IFERROR(__xludf.DUMMYFUNCTION("""COMPUTED_VALUE"""),1208.14)</f>
        <v>1208.14</v>
      </c>
      <c r="F3944" s="1">
        <f>IFERROR(__xludf.DUMMYFUNCTION("""COMPUTED_VALUE"""),2.17812496E8)</f>
        <v>217812496</v>
      </c>
    </row>
    <row r="3945">
      <c r="A3945" s="2">
        <f>IFERROR(__xludf.DUMMYFUNCTION("""COMPUTED_VALUE"""),37085.666666666664)</f>
        <v>37085.66667</v>
      </c>
      <c r="B3945" s="1">
        <f>IFERROR(__xludf.DUMMYFUNCTION("""COMPUTED_VALUE"""),1207.61)</f>
        <v>1207.61</v>
      </c>
      <c r="C3945" s="1">
        <f>IFERROR(__xludf.DUMMYFUNCTION("""COMPUTED_VALUE"""),1218.54)</f>
        <v>1218.54</v>
      </c>
      <c r="D3945" s="1">
        <f>IFERROR(__xludf.DUMMYFUNCTION("""COMPUTED_VALUE"""),1203.61)</f>
        <v>1203.61</v>
      </c>
      <c r="E3945" s="1">
        <f>IFERROR(__xludf.DUMMYFUNCTION("""COMPUTED_VALUE"""),1215.68)</f>
        <v>1215.68</v>
      </c>
      <c r="F3945" s="1">
        <f>IFERROR(__xludf.DUMMYFUNCTION("""COMPUTED_VALUE"""),1.75265632E8)</f>
        <v>175265632</v>
      </c>
    </row>
    <row r="3946">
      <c r="A3946" s="2">
        <f>IFERROR(__xludf.DUMMYFUNCTION("""COMPUTED_VALUE"""),37088.666666666664)</f>
        <v>37088.66667</v>
      </c>
      <c r="B3946" s="1">
        <f>IFERROR(__xludf.DUMMYFUNCTION("""COMPUTED_VALUE"""),1214.59)</f>
        <v>1214.59</v>
      </c>
      <c r="C3946" s="1">
        <f>IFERROR(__xludf.DUMMYFUNCTION("""COMPUTED_VALUE"""),1219.63)</f>
        <v>1219.63</v>
      </c>
      <c r="D3946" s="1">
        <f>IFERROR(__xludf.DUMMYFUNCTION("""COMPUTED_VALUE"""),1200.05)</f>
        <v>1200.05</v>
      </c>
      <c r="E3946" s="1">
        <f>IFERROR(__xludf.DUMMYFUNCTION("""COMPUTED_VALUE"""),1202.45)</f>
        <v>1202.45</v>
      </c>
      <c r="F3946" s="1">
        <f>IFERROR(__xludf.DUMMYFUNCTION("""COMPUTED_VALUE"""),1.62468752E8)</f>
        <v>162468752</v>
      </c>
    </row>
    <row r="3947">
      <c r="A3947" s="2">
        <f>IFERROR(__xludf.DUMMYFUNCTION("""COMPUTED_VALUE"""),37089.666666666664)</f>
        <v>37089.66667</v>
      </c>
      <c r="B3947" s="1">
        <f>IFERROR(__xludf.DUMMYFUNCTION("""COMPUTED_VALUE"""),1201.42)</f>
        <v>1201.42</v>
      </c>
      <c r="C3947" s="1">
        <f>IFERROR(__xludf.DUMMYFUNCTION("""COMPUTED_VALUE"""),1215.36)</f>
        <v>1215.36</v>
      </c>
      <c r="D3947" s="1">
        <f>IFERROR(__xludf.DUMMYFUNCTION("""COMPUTED_VALUE"""),1196.14)</f>
        <v>1196.14</v>
      </c>
      <c r="E3947" s="1">
        <f>IFERROR(__xludf.DUMMYFUNCTION("""COMPUTED_VALUE"""),1214.44)</f>
        <v>1214.44</v>
      </c>
      <c r="F3947" s="1">
        <f>IFERROR(__xludf.DUMMYFUNCTION("""COMPUTED_VALUE"""),1.9345312E8)</f>
        <v>193453120</v>
      </c>
    </row>
    <row r="3948">
      <c r="A3948" s="2">
        <f>IFERROR(__xludf.DUMMYFUNCTION("""COMPUTED_VALUE"""),37090.666666666664)</f>
        <v>37090.66667</v>
      </c>
      <c r="B3948" s="1">
        <f>IFERROR(__xludf.DUMMYFUNCTION("""COMPUTED_VALUE"""),1210.62)</f>
        <v>1210.62</v>
      </c>
      <c r="C3948" s="1">
        <f>IFERROR(__xludf.DUMMYFUNCTION("""COMPUTED_VALUE"""),1211.16)</f>
        <v>1211.16</v>
      </c>
      <c r="D3948" s="1">
        <f>IFERROR(__xludf.DUMMYFUNCTION("""COMPUTED_VALUE"""),1198.33)</f>
        <v>1198.33</v>
      </c>
      <c r="E3948" s="1">
        <f>IFERROR(__xludf.DUMMYFUNCTION("""COMPUTED_VALUE"""),1207.71)</f>
        <v>1207.71</v>
      </c>
      <c r="F3948" s="1">
        <f>IFERROR(__xludf.DUMMYFUNCTION("""COMPUTED_VALUE"""),2.05671872E8)</f>
        <v>205671872</v>
      </c>
    </row>
    <row r="3949">
      <c r="A3949" s="2">
        <f>IFERROR(__xludf.DUMMYFUNCTION("""COMPUTED_VALUE"""),37091.666666666664)</f>
        <v>37091.66667</v>
      </c>
      <c r="B3949" s="1">
        <f>IFERROR(__xludf.DUMMYFUNCTION("""COMPUTED_VALUE"""),1210.68)</f>
        <v>1210.68</v>
      </c>
      <c r="C3949" s="1">
        <f>IFERROR(__xludf.DUMMYFUNCTION("""COMPUTED_VALUE"""),1225.04)</f>
        <v>1225.04</v>
      </c>
      <c r="D3949" s="1">
        <f>IFERROR(__xludf.DUMMYFUNCTION("""COMPUTED_VALUE"""),1205.8)</f>
        <v>1205.8</v>
      </c>
      <c r="E3949" s="1">
        <f>IFERROR(__xludf.DUMMYFUNCTION("""COMPUTED_VALUE"""),1215.02)</f>
        <v>1215.02</v>
      </c>
      <c r="F3949" s="1">
        <f>IFERROR(__xludf.DUMMYFUNCTION("""COMPUTED_VALUE"""),2.09921872E8)</f>
        <v>209921872</v>
      </c>
    </row>
    <row r="3950">
      <c r="A3950" s="2">
        <f>IFERROR(__xludf.DUMMYFUNCTION("""COMPUTED_VALUE"""),37092.666666666664)</f>
        <v>37092.66667</v>
      </c>
      <c r="B3950" s="1">
        <f>IFERROR(__xludf.DUMMYFUNCTION("""COMPUTED_VALUE"""),1210.69)</f>
        <v>1210.69</v>
      </c>
      <c r="C3950" s="1">
        <f>IFERROR(__xludf.DUMMYFUNCTION("""COMPUTED_VALUE"""),1215.69)</f>
        <v>1215.69</v>
      </c>
      <c r="D3950" s="1">
        <f>IFERROR(__xludf.DUMMYFUNCTION("""COMPUTED_VALUE"""),1207.04)</f>
        <v>1207.04</v>
      </c>
      <c r="E3950" s="1">
        <f>IFERROR(__xludf.DUMMYFUNCTION("""COMPUTED_VALUE"""),1210.85)</f>
        <v>1210.85</v>
      </c>
      <c r="F3950" s="1">
        <f>IFERROR(__xludf.DUMMYFUNCTION("""COMPUTED_VALUE"""),1.8295312E8)</f>
        <v>182953120</v>
      </c>
    </row>
    <row r="3951">
      <c r="A3951" s="2">
        <f>IFERROR(__xludf.DUMMYFUNCTION("""COMPUTED_VALUE"""),37095.666666666664)</f>
        <v>37095.66667</v>
      </c>
      <c r="B3951" s="1">
        <f>IFERROR(__xludf.DUMMYFUNCTION("""COMPUTED_VALUE"""),1210.85)</f>
        <v>1210.85</v>
      </c>
      <c r="C3951" s="1">
        <f>IFERROR(__xludf.DUMMYFUNCTION("""COMPUTED_VALUE"""),1215.22)</f>
        <v>1215.22</v>
      </c>
      <c r="D3951" s="1">
        <f>IFERROR(__xludf.DUMMYFUNCTION("""COMPUTED_VALUE"""),1190.5)</f>
        <v>1190.5</v>
      </c>
      <c r="E3951" s="1">
        <f>IFERROR(__xludf.DUMMYFUNCTION("""COMPUTED_VALUE"""),1191.03)</f>
        <v>1191.03</v>
      </c>
      <c r="F3951" s="1">
        <f>IFERROR(__xludf.DUMMYFUNCTION("""COMPUTED_VALUE"""),1.5420312E8)</f>
        <v>154203120</v>
      </c>
    </row>
    <row r="3952">
      <c r="A3952" s="2">
        <f>IFERROR(__xludf.DUMMYFUNCTION("""COMPUTED_VALUE"""),37096.666666666664)</f>
        <v>37096.66667</v>
      </c>
      <c r="B3952" s="1">
        <f>IFERROR(__xludf.DUMMYFUNCTION("""COMPUTED_VALUE"""),1190.14)</f>
        <v>1190.14</v>
      </c>
      <c r="C3952" s="1">
        <f>IFERROR(__xludf.DUMMYFUNCTION("""COMPUTED_VALUE"""),1190.14)</f>
        <v>1190.14</v>
      </c>
      <c r="D3952" s="1">
        <f>IFERROR(__xludf.DUMMYFUNCTION("""COMPUTED_VALUE"""),1165.54)</f>
        <v>1165.54</v>
      </c>
      <c r="E3952" s="1">
        <f>IFERROR(__xludf.DUMMYFUNCTION("""COMPUTED_VALUE"""),1171.65)</f>
        <v>1171.65</v>
      </c>
      <c r="F3952" s="1">
        <f>IFERROR(__xludf.DUMMYFUNCTION("""COMPUTED_VALUE"""),1.8729688E8)</f>
        <v>187296880</v>
      </c>
    </row>
    <row r="3953">
      <c r="A3953" s="2">
        <f>IFERROR(__xludf.DUMMYFUNCTION("""COMPUTED_VALUE"""),37097.666666666664)</f>
        <v>37097.66667</v>
      </c>
      <c r="B3953" s="1">
        <f>IFERROR(__xludf.DUMMYFUNCTION("""COMPUTED_VALUE"""),1171.65)</f>
        <v>1171.65</v>
      </c>
      <c r="C3953" s="1">
        <f>IFERROR(__xludf.DUMMYFUNCTION("""COMPUTED_VALUE"""),1190.52)</f>
        <v>1190.52</v>
      </c>
      <c r="D3953" s="1">
        <f>IFERROR(__xludf.DUMMYFUNCTION("""COMPUTED_VALUE"""),1171.28)</f>
        <v>1171.28</v>
      </c>
      <c r="E3953" s="1">
        <f>IFERROR(__xludf.DUMMYFUNCTION("""COMPUTED_VALUE"""),1190.49)</f>
        <v>1190.49</v>
      </c>
      <c r="F3953" s="1">
        <f>IFERROR(__xludf.DUMMYFUNCTION("""COMPUTED_VALUE"""),2.00109376E8)</f>
        <v>200109376</v>
      </c>
    </row>
    <row r="3954">
      <c r="A3954" s="2">
        <f>IFERROR(__xludf.DUMMYFUNCTION("""COMPUTED_VALUE"""),37098.666666666664)</f>
        <v>37098.66667</v>
      </c>
      <c r="B3954" s="1">
        <f>IFERROR(__xludf.DUMMYFUNCTION("""COMPUTED_VALUE"""),1189.95)</f>
        <v>1189.95</v>
      </c>
      <c r="C3954" s="1">
        <f>IFERROR(__xludf.DUMMYFUNCTION("""COMPUTED_VALUE"""),1204.18)</f>
        <v>1204.18</v>
      </c>
      <c r="D3954" s="1">
        <f>IFERROR(__xludf.DUMMYFUNCTION("""COMPUTED_VALUE"""),1182.65)</f>
        <v>1182.65</v>
      </c>
      <c r="E3954" s="1">
        <f>IFERROR(__xludf.DUMMYFUNCTION("""COMPUTED_VALUE"""),1202.93)</f>
        <v>1202.93</v>
      </c>
      <c r="F3954" s="1">
        <f>IFERROR(__xludf.DUMMYFUNCTION("""COMPUTED_VALUE"""),1.89671872E8)</f>
        <v>189671872</v>
      </c>
    </row>
    <row r="3955">
      <c r="A3955" s="2">
        <f>IFERROR(__xludf.DUMMYFUNCTION("""COMPUTED_VALUE"""),37099.666666666664)</f>
        <v>37099.66667</v>
      </c>
      <c r="B3955" s="1">
        <f>IFERROR(__xludf.DUMMYFUNCTION("""COMPUTED_VALUE"""),1202.55)</f>
        <v>1202.55</v>
      </c>
      <c r="C3955" s="1">
        <f>IFERROR(__xludf.DUMMYFUNCTION("""COMPUTED_VALUE"""),1209.26)</f>
        <v>1209.26</v>
      </c>
      <c r="D3955" s="1">
        <f>IFERROR(__xludf.DUMMYFUNCTION("""COMPUTED_VALUE"""),1195.99)</f>
        <v>1195.99</v>
      </c>
      <c r="E3955" s="1">
        <f>IFERROR(__xludf.DUMMYFUNCTION("""COMPUTED_VALUE"""),1205.82)</f>
        <v>1205.82</v>
      </c>
      <c r="F3955" s="1">
        <f>IFERROR(__xludf.DUMMYFUNCTION("""COMPUTED_VALUE"""),1.58640624E8)</f>
        <v>158640624</v>
      </c>
    </row>
    <row r="3956">
      <c r="A3956" s="2">
        <f>IFERROR(__xludf.DUMMYFUNCTION("""COMPUTED_VALUE"""),37102.666666666664)</f>
        <v>37102.66667</v>
      </c>
      <c r="B3956" s="1">
        <f>IFERROR(__xludf.DUMMYFUNCTION("""COMPUTED_VALUE"""),1206.48)</f>
        <v>1206.48</v>
      </c>
      <c r="C3956" s="1">
        <f>IFERROR(__xludf.DUMMYFUNCTION("""COMPUTED_VALUE"""),1209.05)</f>
        <v>1209.05</v>
      </c>
      <c r="D3956" s="1">
        <f>IFERROR(__xludf.DUMMYFUNCTION("""COMPUTED_VALUE"""),1200.41)</f>
        <v>1200.41</v>
      </c>
      <c r="E3956" s="1">
        <f>IFERROR(__xludf.DUMMYFUNCTION("""COMPUTED_VALUE"""),1204.52)</f>
        <v>1204.52</v>
      </c>
      <c r="F3956" s="1">
        <f>IFERROR(__xludf.DUMMYFUNCTION("""COMPUTED_VALUE"""),1.4204688E8)</f>
        <v>142046880</v>
      </c>
    </row>
    <row r="3957">
      <c r="A3957" s="2">
        <f>IFERROR(__xludf.DUMMYFUNCTION("""COMPUTED_VALUE"""),37103.666666666664)</f>
        <v>37103.66667</v>
      </c>
      <c r="B3957" s="1">
        <f>IFERROR(__xludf.DUMMYFUNCTION("""COMPUTED_VALUE"""),1205.35)</f>
        <v>1205.35</v>
      </c>
      <c r="C3957" s="1">
        <f>IFERROR(__xludf.DUMMYFUNCTION("""COMPUTED_VALUE"""),1222.74)</f>
        <v>1222.74</v>
      </c>
      <c r="D3957" s="1">
        <f>IFERROR(__xludf.DUMMYFUNCTION("""COMPUTED_VALUE"""),1205.32)</f>
        <v>1205.32</v>
      </c>
      <c r="E3957" s="1">
        <f>IFERROR(__xludf.DUMMYFUNCTION("""COMPUTED_VALUE"""),1211.23)</f>
        <v>1211.23</v>
      </c>
      <c r="F3957" s="1">
        <f>IFERROR(__xludf.DUMMYFUNCTION("""COMPUTED_VALUE"""),1.76437504E8)</f>
        <v>176437504</v>
      </c>
    </row>
    <row r="3958">
      <c r="A3958" s="2">
        <f>IFERROR(__xludf.DUMMYFUNCTION("""COMPUTED_VALUE"""),37104.666666666664)</f>
        <v>37104.66667</v>
      </c>
      <c r="B3958" s="1">
        <f>IFERROR(__xludf.DUMMYFUNCTION("""COMPUTED_VALUE"""),1214.3)</f>
        <v>1214.3</v>
      </c>
      <c r="C3958" s="1">
        <f>IFERROR(__xludf.DUMMYFUNCTION("""COMPUTED_VALUE"""),1223.04)</f>
        <v>1223.04</v>
      </c>
      <c r="D3958" s="1">
        <f>IFERROR(__xludf.DUMMYFUNCTION("""COMPUTED_VALUE"""),1212.33)</f>
        <v>1212.33</v>
      </c>
      <c r="E3958" s="1">
        <f>IFERROR(__xludf.DUMMYFUNCTION("""COMPUTED_VALUE"""),1215.93)</f>
        <v>1215.93</v>
      </c>
      <c r="F3958" s="1">
        <f>IFERROR(__xludf.DUMMYFUNCTION("""COMPUTED_VALUE"""),2.09421872E8)</f>
        <v>209421872</v>
      </c>
    </row>
    <row r="3959">
      <c r="A3959" s="2">
        <f>IFERROR(__xludf.DUMMYFUNCTION("""COMPUTED_VALUE"""),37105.666666666664)</f>
        <v>37105.66667</v>
      </c>
      <c r="B3959" s="1">
        <f>IFERROR(__xludf.DUMMYFUNCTION("""COMPUTED_VALUE"""),1225.6)</f>
        <v>1225.6</v>
      </c>
      <c r="C3959" s="1">
        <f>IFERROR(__xludf.DUMMYFUNCTION("""COMPUTED_VALUE"""),1226.38)</f>
        <v>1226.38</v>
      </c>
      <c r="D3959" s="1">
        <f>IFERROR(__xludf.DUMMYFUNCTION("""COMPUTED_VALUE"""),1215.31)</f>
        <v>1215.31</v>
      </c>
      <c r="E3959" s="1">
        <f>IFERROR(__xludf.DUMMYFUNCTION("""COMPUTED_VALUE"""),1220.75)</f>
        <v>1220.75</v>
      </c>
      <c r="F3959" s="1">
        <f>IFERROR(__xludf.DUMMYFUNCTION("""COMPUTED_VALUE"""),1.90359376E8)</f>
        <v>190359376</v>
      </c>
    </row>
    <row r="3960">
      <c r="A3960" s="2">
        <f>IFERROR(__xludf.DUMMYFUNCTION("""COMPUTED_VALUE"""),37106.666666666664)</f>
        <v>37106.66667</v>
      </c>
      <c r="B3960" s="1">
        <f>IFERROR(__xludf.DUMMYFUNCTION("""COMPUTED_VALUE"""),1220.75)</f>
        <v>1220.75</v>
      </c>
      <c r="C3960" s="1">
        <f>IFERROR(__xludf.DUMMYFUNCTION("""COMPUTED_VALUE"""),1220.75)</f>
        <v>1220.75</v>
      </c>
      <c r="D3960" s="1">
        <f>IFERROR(__xludf.DUMMYFUNCTION("""COMPUTED_VALUE"""),1205.31)</f>
        <v>1205.31</v>
      </c>
      <c r="E3960" s="1">
        <f>IFERROR(__xludf.DUMMYFUNCTION("""COMPUTED_VALUE"""),1214.35)</f>
        <v>1214.35</v>
      </c>
      <c r="F3960" s="1">
        <f>IFERROR(__xludf.DUMMYFUNCTION("""COMPUTED_VALUE"""),1.46859376E8)</f>
        <v>146859376</v>
      </c>
    </row>
    <row r="3961">
      <c r="A3961" s="2">
        <f>IFERROR(__xludf.DUMMYFUNCTION("""COMPUTED_VALUE"""),37109.666666666664)</f>
        <v>37109.66667</v>
      </c>
      <c r="B3961" s="1">
        <f>IFERROR(__xludf.DUMMYFUNCTION("""COMPUTED_VALUE"""),1211.9)</f>
        <v>1211.9</v>
      </c>
      <c r="C3961" s="1">
        <f>IFERROR(__xludf.DUMMYFUNCTION("""COMPUTED_VALUE"""),1211.9)</f>
        <v>1211.9</v>
      </c>
      <c r="D3961" s="1">
        <f>IFERROR(__xludf.DUMMYFUNCTION("""COMPUTED_VALUE"""),1197.35)</f>
        <v>1197.35</v>
      </c>
      <c r="E3961" s="1">
        <f>IFERROR(__xludf.DUMMYFUNCTION("""COMPUTED_VALUE"""),1200.48)</f>
        <v>1200.48</v>
      </c>
      <c r="F3961" s="1">
        <f>IFERROR(__xludf.DUMMYFUNCTION("""COMPUTED_VALUE"""),1.26828128E8)</f>
        <v>126828128</v>
      </c>
    </row>
    <row r="3962">
      <c r="A3962" s="2">
        <f>IFERROR(__xludf.DUMMYFUNCTION("""COMPUTED_VALUE"""),37110.666666666664)</f>
        <v>37110.66667</v>
      </c>
      <c r="B3962" s="1">
        <f>IFERROR(__xludf.DUMMYFUNCTION("""COMPUTED_VALUE"""),1199.48)</f>
        <v>1199.48</v>
      </c>
      <c r="C3962" s="1">
        <f>IFERROR(__xludf.DUMMYFUNCTION("""COMPUTED_VALUE"""),1207.56)</f>
        <v>1207.56</v>
      </c>
      <c r="D3962" s="1">
        <f>IFERROR(__xludf.DUMMYFUNCTION("""COMPUTED_VALUE"""),1195.64)</f>
        <v>1195.64</v>
      </c>
      <c r="E3962" s="1">
        <f>IFERROR(__xludf.DUMMYFUNCTION("""COMPUTED_VALUE"""),1204.4)</f>
        <v>1204.4</v>
      </c>
      <c r="F3962" s="1">
        <f>IFERROR(__xludf.DUMMYFUNCTION("""COMPUTED_VALUE"""),1.58124992E8)</f>
        <v>158124992</v>
      </c>
    </row>
    <row r="3963">
      <c r="A3963" s="2">
        <f>IFERROR(__xludf.DUMMYFUNCTION("""COMPUTED_VALUE"""),37111.666666666664)</f>
        <v>37111.66667</v>
      </c>
      <c r="B3963" s="1">
        <f>IFERROR(__xludf.DUMMYFUNCTION("""COMPUTED_VALUE"""),1203.02)</f>
        <v>1203.02</v>
      </c>
      <c r="C3963" s="1">
        <f>IFERROR(__xludf.DUMMYFUNCTION("""COMPUTED_VALUE"""),1206.79)</f>
        <v>1206.79</v>
      </c>
      <c r="D3963" s="1">
        <f>IFERROR(__xludf.DUMMYFUNCTION("""COMPUTED_VALUE"""),1181.27)</f>
        <v>1181.27</v>
      </c>
      <c r="E3963" s="1">
        <f>IFERROR(__xludf.DUMMYFUNCTION("""COMPUTED_VALUE"""),1183.53)</f>
        <v>1183.53</v>
      </c>
      <c r="F3963" s="1">
        <f>IFERROR(__xludf.DUMMYFUNCTION("""COMPUTED_VALUE"""),1.75718752E8)</f>
        <v>175718752</v>
      </c>
    </row>
    <row r="3964">
      <c r="A3964" s="2">
        <f>IFERROR(__xludf.DUMMYFUNCTION("""COMPUTED_VALUE"""),37112.666666666664)</f>
        <v>37112.66667</v>
      </c>
      <c r="B3964" s="1">
        <f>IFERROR(__xludf.DUMMYFUNCTION("""COMPUTED_VALUE"""),1182.76)</f>
        <v>1182.76</v>
      </c>
      <c r="C3964" s="1">
        <f>IFERROR(__xludf.DUMMYFUNCTION("""COMPUTED_VALUE"""),1184.71)</f>
        <v>1184.71</v>
      </c>
      <c r="D3964" s="1">
        <f>IFERROR(__xludf.DUMMYFUNCTION("""COMPUTED_VALUE"""),1174.68)</f>
        <v>1174.68</v>
      </c>
      <c r="E3964" s="1">
        <f>IFERROR(__xludf.DUMMYFUNCTION("""COMPUTED_VALUE"""),1183.43)</f>
        <v>1183.43</v>
      </c>
      <c r="F3964" s="1">
        <f>IFERROR(__xludf.DUMMYFUNCTION("""COMPUTED_VALUE"""),1.72531248E8)</f>
        <v>172531248</v>
      </c>
    </row>
    <row r="3965">
      <c r="A3965" s="2">
        <f>IFERROR(__xludf.DUMMYFUNCTION("""COMPUTED_VALUE"""),37113.666666666664)</f>
        <v>37113.66667</v>
      </c>
      <c r="B3965" s="1">
        <f>IFERROR(__xludf.DUMMYFUNCTION("""COMPUTED_VALUE"""),1182.7)</f>
        <v>1182.7</v>
      </c>
      <c r="C3965" s="1">
        <f>IFERROR(__xludf.DUMMYFUNCTION("""COMPUTED_VALUE"""),1193.33)</f>
        <v>1193.33</v>
      </c>
      <c r="D3965" s="1">
        <f>IFERROR(__xludf.DUMMYFUNCTION("""COMPUTED_VALUE"""),1169.55)</f>
        <v>1169.55</v>
      </c>
      <c r="E3965" s="1">
        <f>IFERROR(__xludf.DUMMYFUNCTION("""COMPUTED_VALUE"""),1190.16)</f>
        <v>1190.16</v>
      </c>
      <c r="F3965" s="1">
        <f>IFERROR(__xludf.DUMMYFUNCTION("""COMPUTED_VALUE"""),1.50140624E8)</f>
        <v>150140624</v>
      </c>
    </row>
    <row r="3966">
      <c r="A3966" s="2">
        <f>IFERROR(__xludf.DUMMYFUNCTION("""COMPUTED_VALUE"""),37116.666666666664)</f>
        <v>37116.66667</v>
      </c>
      <c r="B3966" s="1">
        <f>IFERROR(__xludf.DUMMYFUNCTION("""COMPUTED_VALUE"""),1190.84)</f>
        <v>1190.84</v>
      </c>
      <c r="C3966" s="1">
        <f>IFERROR(__xludf.DUMMYFUNCTION("""COMPUTED_VALUE"""),1193.82)</f>
        <v>1193.82</v>
      </c>
      <c r="D3966" s="1">
        <f>IFERROR(__xludf.DUMMYFUNCTION("""COMPUTED_VALUE"""),1185.12)</f>
        <v>1185.12</v>
      </c>
      <c r="E3966" s="1">
        <f>IFERROR(__xludf.DUMMYFUNCTION("""COMPUTED_VALUE"""),1191.29)</f>
        <v>1191.29</v>
      </c>
      <c r="F3966" s="1">
        <f>IFERROR(__xludf.DUMMYFUNCTION("""COMPUTED_VALUE"""),1.30875E8)</f>
        <v>130875000</v>
      </c>
    </row>
    <row r="3967">
      <c r="A3967" s="2">
        <f>IFERROR(__xludf.DUMMYFUNCTION("""COMPUTED_VALUE"""),37117.666666666664)</f>
        <v>37117.66667</v>
      </c>
      <c r="B3967" s="1">
        <f>IFERROR(__xludf.DUMMYFUNCTION("""COMPUTED_VALUE"""),1191.5)</f>
        <v>1191.5</v>
      </c>
      <c r="C3967" s="1">
        <f>IFERROR(__xludf.DUMMYFUNCTION("""COMPUTED_VALUE"""),1198.79)</f>
        <v>1198.79</v>
      </c>
      <c r="D3967" s="1">
        <f>IFERROR(__xludf.DUMMYFUNCTION("""COMPUTED_VALUE"""),1184.26)</f>
        <v>1184.26</v>
      </c>
      <c r="E3967" s="1">
        <f>IFERROR(__xludf.DUMMYFUNCTION("""COMPUTED_VALUE"""),1186.73)</f>
        <v>1186.73</v>
      </c>
      <c r="F3967" s="1">
        <f>IFERROR(__xludf.DUMMYFUNCTION("""COMPUTED_VALUE"""),1.50718752E8)</f>
        <v>150718752</v>
      </c>
    </row>
    <row r="3968">
      <c r="A3968" s="2">
        <f>IFERROR(__xludf.DUMMYFUNCTION("""COMPUTED_VALUE"""),37118.666666666664)</f>
        <v>37118.66667</v>
      </c>
      <c r="B3968" s="1">
        <f>IFERROR(__xludf.DUMMYFUNCTION("""COMPUTED_VALUE"""),1187.17)</f>
        <v>1187.17</v>
      </c>
      <c r="C3968" s="1">
        <f>IFERROR(__xludf.DUMMYFUNCTION("""COMPUTED_VALUE"""),1191.21)</f>
        <v>1191.21</v>
      </c>
      <c r="D3968" s="1">
        <f>IFERROR(__xludf.DUMMYFUNCTION("""COMPUTED_VALUE"""),1177.61)</f>
        <v>1177.61</v>
      </c>
      <c r="E3968" s="1">
        <f>IFERROR(__xludf.DUMMYFUNCTION("""COMPUTED_VALUE"""),1178.02)</f>
        <v>1178.02</v>
      </c>
      <c r="F3968" s="1">
        <f>IFERROR(__xludf.DUMMYFUNCTION("""COMPUTED_VALUE"""),1.665E8)</f>
        <v>166500000</v>
      </c>
    </row>
    <row r="3969">
      <c r="A3969" s="2">
        <f>IFERROR(__xludf.DUMMYFUNCTION("""COMPUTED_VALUE"""),37119.666666666664)</f>
        <v>37119.66667</v>
      </c>
      <c r="B3969" s="1">
        <f>IFERROR(__xludf.DUMMYFUNCTION("""COMPUTED_VALUE"""),1176.38)</f>
        <v>1176.38</v>
      </c>
      <c r="C3969" s="1">
        <f>IFERROR(__xludf.DUMMYFUNCTION("""COMPUTED_VALUE"""),1181.8)</f>
        <v>1181.8</v>
      </c>
      <c r="D3969" s="1">
        <f>IFERROR(__xludf.DUMMYFUNCTION("""COMPUTED_VALUE"""),1166.08)</f>
        <v>1166.08</v>
      </c>
      <c r="E3969" s="1">
        <f>IFERROR(__xludf.DUMMYFUNCTION("""COMPUTED_VALUE"""),1181.66)</f>
        <v>1181.66</v>
      </c>
      <c r="F3969" s="1">
        <f>IFERROR(__xludf.DUMMYFUNCTION("""COMPUTED_VALUE"""),1.64906256E8)</f>
        <v>164906256</v>
      </c>
    </row>
    <row r="3970">
      <c r="A3970" s="2">
        <f>IFERROR(__xludf.DUMMYFUNCTION("""COMPUTED_VALUE"""),37120.666666666664)</f>
        <v>37120.66667</v>
      </c>
      <c r="B3970" s="1">
        <f>IFERROR(__xludf.DUMMYFUNCTION("""COMPUTED_VALUE"""),1173.54)</f>
        <v>1173.54</v>
      </c>
      <c r="C3970" s="1">
        <f>IFERROR(__xludf.DUMMYFUNCTION("""COMPUTED_VALUE"""),1173.54)</f>
        <v>1173.54</v>
      </c>
      <c r="D3970" s="1">
        <f>IFERROR(__xludf.DUMMYFUNCTION("""COMPUTED_VALUE"""),1156.07)</f>
        <v>1156.07</v>
      </c>
      <c r="E3970" s="1">
        <f>IFERROR(__xludf.DUMMYFUNCTION("""COMPUTED_VALUE"""),1161.97)</f>
        <v>1161.97</v>
      </c>
      <c r="F3970" s="1">
        <f>IFERROR(__xludf.DUMMYFUNCTION("""COMPUTED_VALUE"""),1.52234368E8)</f>
        <v>152234368</v>
      </c>
    </row>
    <row r="3971">
      <c r="A3971" s="2">
        <f>IFERROR(__xludf.DUMMYFUNCTION("""COMPUTED_VALUE"""),37123.666666666664)</f>
        <v>37123.66667</v>
      </c>
      <c r="B3971" s="1">
        <f>IFERROR(__xludf.DUMMYFUNCTION("""COMPUTED_VALUE"""),1161.99)</f>
        <v>1161.99</v>
      </c>
      <c r="C3971" s="1">
        <f>IFERROR(__xludf.DUMMYFUNCTION("""COMPUTED_VALUE"""),1171.41)</f>
        <v>1171.41</v>
      </c>
      <c r="D3971" s="1">
        <f>IFERROR(__xludf.DUMMYFUNCTION("""COMPUTED_VALUE"""),1160.94)</f>
        <v>1160.94</v>
      </c>
      <c r="E3971" s="1">
        <f>IFERROR(__xludf.DUMMYFUNCTION("""COMPUTED_VALUE"""),1171.41)</f>
        <v>1171.41</v>
      </c>
      <c r="F3971" s="1">
        <f>IFERROR(__xludf.DUMMYFUNCTION("""COMPUTED_VALUE"""),1.40171872E8)</f>
        <v>140171872</v>
      </c>
    </row>
    <row r="3972">
      <c r="A3972" s="2">
        <f>IFERROR(__xludf.DUMMYFUNCTION("""COMPUTED_VALUE"""),37124.666666666664)</f>
        <v>37124.66667</v>
      </c>
      <c r="B3972" s="1">
        <f>IFERROR(__xludf.DUMMYFUNCTION("""COMPUTED_VALUE"""),1171.48)</f>
        <v>1171.48</v>
      </c>
      <c r="C3972" s="1">
        <f>IFERROR(__xludf.DUMMYFUNCTION("""COMPUTED_VALUE"""),1179.85)</f>
        <v>1179.85</v>
      </c>
      <c r="D3972" s="1">
        <f>IFERROR(__xludf.DUMMYFUNCTION("""COMPUTED_VALUE"""),1156.56)</f>
        <v>1156.56</v>
      </c>
      <c r="E3972" s="1">
        <f>IFERROR(__xludf.DUMMYFUNCTION("""COMPUTED_VALUE"""),1157.26)</f>
        <v>1157.26</v>
      </c>
      <c r="F3972" s="1">
        <f>IFERROR(__xludf.DUMMYFUNCTION("""COMPUTED_VALUE"""),1.6275E8)</f>
        <v>162750000</v>
      </c>
    </row>
    <row r="3973">
      <c r="A3973" s="2">
        <f>IFERROR(__xludf.DUMMYFUNCTION("""COMPUTED_VALUE"""),37125.666666666664)</f>
        <v>37125.66667</v>
      </c>
      <c r="B3973" s="1">
        <f>IFERROR(__xludf.DUMMYFUNCTION("""COMPUTED_VALUE"""),1159.31)</f>
        <v>1159.31</v>
      </c>
      <c r="C3973" s="1">
        <f>IFERROR(__xludf.DUMMYFUNCTION("""COMPUTED_VALUE"""),1168.56)</f>
        <v>1168.56</v>
      </c>
      <c r="D3973" s="1">
        <f>IFERROR(__xludf.DUMMYFUNCTION("""COMPUTED_VALUE"""),1153.34)</f>
        <v>1153.34</v>
      </c>
      <c r="E3973" s="1">
        <f>IFERROR(__xludf.DUMMYFUNCTION("""COMPUTED_VALUE"""),1165.31)</f>
        <v>1165.31</v>
      </c>
      <c r="F3973" s="1">
        <f>IFERROR(__xludf.DUMMYFUNCTION("""COMPUTED_VALUE"""),1.73562496E8)</f>
        <v>173562496</v>
      </c>
    </row>
    <row r="3974">
      <c r="A3974" s="2">
        <f>IFERROR(__xludf.DUMMYFUNCTION("""COMPUTED_VALUE"""),37126.666666666664)</f>
        <v>37126.66667</v>
      </c>
      <c r="B3974" s="1">
        <f>IFERROR(__xludf.DUMMYFUNCTION("""COMPUTED_VALUE"""),1165.18)</f>
        <v>1165.18</v>
      </c>
      <c r="C3974" s="1">
        <f>IFERROR(__xludf.DUMMYFUNCTION("""COMPUTED_VALUE"""),1169.86)</f>
        <v>1169.86</v>
      </c>
      <c r="D3974" s="1">
        <f>IFERROR(__xludf.DUMMYFUNCTION("""COMPUTED_VALUE"""),1160.96)</f>
        <v>1160.96</v>
      </c>
      <c r="E3974" s="1">
        <f>IFERROR(__xludf.DUMMYFUNCTION("""COMPUTED_VALUE"""),1162.09)</f>
        <v>1162.09</v>
      </c>
      <c r="F3974" s="1">
        <f>IFERROR(__xludf.DUMMYFUNCTION("""COMPUTED_VALUE"""),1.54093744E8)</f>
        <v>154093744</v>
      </c>
    </row>
    <row r="3975">
      <c r="A3975" s="2">
        <f>IFERROR(__xludf.DUMMYFUNCTION("""COMPUTED_VALUE"""),37127.666666666664)</f>
        <v>37127.66667</v>
      </c>
      <c r="B3975" s="1">
        <f>IFERROR(__xludf.DUMMYFUNCTION("""COMPUTED_VALUE"""),1164.19)</f>
        <v>1164.19</v>
      </c>
      <c r="C3975" s="1">
        <f>IFERROR(__xludf.DUMMYFUNCTION("""COMPUTED_VALUE"""),1185.12)</f>
        <v>1185.12</v>
      </c>
      <c r="D3975" s="1">
        <f>IFERROR(__xludf.DUMMYFUNCTION("""COMPUTED_VALUE"""),1162.79)</f>
        <v>1162.79</v>
      </c>
      <c r="E3975" s="1">
        <f>IFERROR(__xludf.DUMMYFUNCTION("""COMPUTED_VALUE"""),1184.93)</f>
        <v>1184.93</v>
      </c>
      <c r="F3975" s="1">
        <f>IFERROR(__xludf.DUMMYFUNCTION("""COMPUTED_VALUE"""),1.63062496E8)</f>
        <v>163062496</v>
      </c>
    </row>
    <row r="3976">
      <c r="A3976" s="2">
        <f>IFERROR(__xludf.DUMMYFUNCTION("""COMPUTED_VALUE"""),37130.666666666664)</f>
        <v>37130.66667</v>
      </c>
      <c r="B3976" s="1">
        <f>IFERROR(__xludf.DUMMYFUNCTION("""COMPUTED_VALUE"""),1184.41)</f>
        <v>1184.41</v>
      </c>
      <c r="C3976" s="1">
        <f>IFERROR(__xludf.DUMMYFUNCTION("""COMPUTED_VALUE"""),1186.85)</f>
        <v>1186.85</v>
      </c>
      <c r="D3976" s="1">
        <f>IFERROR(__xludf.DUMMYFUNCTION("""COMPUTED_VALUE"""),1178.07)</f>
        <v>1178.07</v>
      </c>
      <c r="E3976" s="1">
        <f>IFERROR(__xludf.DUMMYFUNCTION("""COMPUTED_VALUE"""),1179.21)</f>
        <v>1179.21</v>
      </c>
      <c r="F3976" s="1">
        <f>IFERROR(__xludf.DUMMYFUNCTION("""COMPUTED_VALUE"""),1.31656248E8)</f>
        <v>131656248</v>
      </c>
    </row>
    <row r="3977">
      <c r="A3977" s="2">
        <f>IFERROR(__xludf.DUMMYFUNCTION("""COMPUTED_VALUE"""),37131.666666666664)</f>
        <v>37131.66667</v>
      </c>
      <c r="B3977" s="1">
        <f>IFERROR(__xludf.DUMMYFUNCTION("""COMPUTED_VALUE"""),1179.21)</f>
        <v>1179.21</v>
      </c>
      <c r="C3977" s="1">
        <f>IFERROR(__xludf.DUMMYFUNCTION("""COMPUTED_VALUE"""),1179.66)</f>
        <v>1179.66</v>
      </c>
      <c r="D3977" s="1">
        <f>IFERROR(__xludf.DUMMYFUNCTION("""COMPUTED_VALUE"""),1161.17)</f>
        <v>1161.17</v>
      </c>
      <c r="E3977" s="1">
        <f>IFERROR(__xludf.DUMMYFUNCTION("""COMPUTED_VALUE"""),1161.51)</f>
        <v>1161.51</v>
      </c>
      <c r="F3977" s="1">
        <f>IFERROR(__xludf.DUMMYFUNCTION("""COMPUTED_VALUE"""),1.54234368E8)</f>
        <v>154234368</v>
      </c>
    </row>
    <row r="3978">
      <c r="A3978" s="2">
        <f>IFERROR(__xludf.DUMMYFUNCTION("""COMPUTED_VALUE"""),37132.666666666664)</f>
        <v>37132.66667</v>
      </c>
      <c r="B3978" s="1">
        <f>IFERROR(__xludf.DUMMYFUNCTION("""COMPUTED_VALUE"""),1162.83)</f>
        <v>1162.83</v>
      </c>
      <c r="C3978" s="1">
        <f>IFERROR(__xludf.DUMMYFUNCTION("""COMPUTED_VALUE"""),1166.97)</f>
        <v>1166.97</v>
      </c>
      <c r="D3978" s="1">
        <f>IFERROR(__xludf.DUMMYFUNCTION("""COMPUTED_VALUE"""),1147.38)</f>
        <v>1147.38</v>
      </c>
      <c r="E3978" s="1">
        <f>IFERROR(__xludf.DUMMYFUNCTION("""COMPUTED_VALUE"""),1148.56)</f>
        <v>1148.56</v>
      </c>
      <c r="F3978" s="1">
        <f>IFERROR(__xludf.DUMMYFUNCTION("""COMPUTED_VALUE"""),1.50578128E8)</f>
        <v>150578128</v>
      </c>
    </row>
    <row r="3979">
      <c r="A3979" s="2">
        <f>IFERROR(__xludf.DUMMYFUNCTION("""COMPUTED_VALUE"""),37133.666666666664)</f>
        <v>37133.66667</v>
      </c>
      <c r="B3979" s="1">
        <f>IFERROR(__xludf.DUMMYFUNCTION("""COMPUTED_VALUE"""),1145.36)</f>
        <v>1145.36</v>
      </c>
      <c r="C3979" s="1">
        <f>IFERROR(__xludf.DUMMYFUNCTION("""COMPUTED_VALUE"""),1151.75)</f>
        <v>1151.75</v>
      </c>
      <c r="D3979" s="1">
        <f>IFERROR(__xludf.DUMMYFUNCTION("""COMPUTED_VALUE"""),1124.87)</f>
        <v>1124.87</v>
      </c>
      <c r="E3979" s="1">
        <f>IFERROR(__xludf.DUMMYFUNCTION("""COMPUTED_VALUE"""),1129.03)</f>
        <v>1129.03</v>
      </c>
      <c r="F3979" s="1">
        <f>IFERROR(__xludf.DUMMYFUNCTION("""COMPUTED_VALUE"""),1.80781248E8)</f>
        <v>180781248</v>
      </c>
    </row>
    <row r="3980">
      <c r="A3980" s="2">
        <f>IFERROR(__xludf.DUMMYFUNCTION("""COMPUTED_VALUE"""),37134.666666666664)</f>
        <v>37134.66667</v>
      </c>
      <c r="B3980" s="1">
        <f>IFERROR(__xludf.DUMMYFUNCTION("""COMPUTED_VALUE"""),1128.21)</f>
        <v>1128.21</v>
      </c>
      <c r="C3980" s="1">
        <f>IFERROR(__xludf.DUMMYFUNCTION("""COMPUTED_VALUE"""),1141.83)</f>
        <v>1141.83</v>
      </c>
      <c r="D3980" s="1">
        <f>IFERROR(__xludf.DUMMYFUNCTION("""COMPUTED_VALUE"""),1126.38)</f>
        <v>1126.38</v>
      </c>
      <c r="E3980" s="1">
        <f>IFERROR(__xludf.DUMMYFUNCTION("""COMPUTED_VALUE"""),1133.58)</f>
        <v>1133.58</v>
      </c>
      <c r="F3980" s="1">
        <f>IFERROR(__xludf.DUMMYFUNCTION("""COMPUTED_VALUE"""),1.43765632E8)</f>
        <v>143765632</v>
      </c>
    </row>
    <row r="3981">
      <c r="A3981" s="2">
        <f>IFERROR(__xludf.DUMMYFUNCTION("""COMPUTED_VALUE"""),37138.666666666664)</f>
        <v>37138.66667</v>
      </c>
      <c r="B3981" s="1">
        <f>IFERROR(__xludf.DUMMYFUNCTION("""COMPUTED_VALUE"""),1133.38)</f>
        <v>1133.38</v>
      </c>
      <c r="C3981" s="1">
        <f>IFERROR(__xludf.DUMMYFUNCTION("""COMPUTED_VALUE"""),1155.4)</f>
        <v>1155.4</v>
      </c>
      <c r="D3981" s="1">
        <f>IFERROR(__xludf.DUMMYFUNCTION("""COMPUTED_VALUE"""),1129.06)</f>
        <v>1129.06</v>
      </c>
      <c r="E3981" s="1">
        <f>IFERROR(__xludf.DUMMYFUNCTION("""COMPUTED_VALUE"""),1132.94)</f>
        <v>1132.94</v>
      </c>
      <c r="F3981" s="1">
        <f>IFERROR(__xludf.DUMMYFUNCTION("""COMPUTED_VALUE"""),1.84109376E8)</f>
        <v>184109376</v>
      </c>
    </row>
    <row r="3982">
      <c r="A3982" s="2">
        <f>IFERROR(__xludf.DUMMYFUNCTION("""COMPUTED_VALUE"""),37139.666666666664)</f>
        <v>37139.66667</v>
      </c>
      <c r="B3982" s="1">
        <f>IFERROR(__xludf.DUMMYFUNCTION("""COMPUTED_VALUE"""),1133.38)</f>
        <v>1133.38</v>
      </c>
      <c r="C3982" s="1">
        <f>IFERROR(__xludf.DUMMYFUNCTION("""COMPUTED_VALUE"""),1155.4)</f>
        <v>1155.4</v>
      </c>
      <c r="D3982" s="1">
        <f>IFERROR(__xludf.DUMMYFUNCTION("""COMPUTED_VALUE"""),1114.86)</f>
        <v>1114.86</v>
      </c>
      <c r="E3982" s="1">
        <f>IFERROR(__xludf.DUMMYFUNCTION("""COMPUTED_VALUE"""),1131.74)</f>
        <v>1131.74</v>
      </c>
      <c r="F3982" s="1">
        <f>IFERROR(__xludf.DUMMYFUNCTION("""COMPUTED_VALUE"""),2.16328128E8)</f>
        <v>216328128</v>
      </c>
    </row>
    <row r="3983">
      <c r="A3983" s="2">
        <f>IFERROR(__xludf.DUMMYFUNCTION("""COMPUTED_VALUE"""),37140.666666666664)</f>
        <v>37140.66667</v>
      </c>
      <c r="B3983" s="1">
        <f>IFERROR(__xludf.DUMMYFUNCTION("""COMPUTED_VALUE"""),1128.95)</f>
        <v>1128.95</v>
      </c>
      <c r="C3983" s="1">
        <f>IFERROR(__xludf.DUMMYFUNCTION("""COMPUTED_VALUE"""),1128.95)</f>
        <v>1128.95</v>
      </c>
      <c r="D3983" s="1">
        <f>IFERROR(__xludf.DUMMYFUNCTION("""COMPUTED_VALUE"""),1105.83)</f>
        <v>1105.83</v>
      </c>
      <c r="E3983" s="1">
        <f>IFERROR(__xludf.DUMMYFUNCTION("""COMPUTED_VALUE"""),1106.4)</f>
        <v>1106.4</v>
      </c>
      <c r="F3983" s="1">
        <f>IFERROR(__xludf.DUMMYFUNCTION("""COMPUTED_VALUE"""),2.1245312E8)</f>
        <v>212453120</v>
      </c>
    </row>
    <row r="3984">
      <c r="A3984" s="2">
        <f>IFERROR(__xludf.DUMMYFUNCTION("""COMPUTED_VALUE"""),37141.666666666664)</f>
        <v>37141.66667</v>
      </c>
      <c r="B3984" s="1">
        <f>IFERROR(__xludf.DUMMYFUNCTION("""COMPUTED_VALUE"""),1104.79)</f>
        <v>1104.79</v>
      </c>
      <c r="C3984" s="1">
        <f>IFERROR(__xludf.DUMMYFUNCTION("""COMPUTED_VALUE"""),1105.82)</f>
        <v>1105.82</v>
      </c>
      <c r="D3984" s="1">
        <f>IFERROR(__xludf.DUMMYFUNCTION("""COMPUTED_VALUE"""),1082.12)</f>
        <v>1082.12</v>
      </c>
      <c r="E3984" s="1">
        <f>IFERROR(__xludf.DUMMYFUNCTION("""COMPUTED_VALUE"""),1085.78)</f>
        <v>1085.78</v>
      </c>
      <c r="F3984" s="1">
        <f>IFERROR(__xludf.DUMMYFUNCTION("""COMPUTED_VALUE"""),2.2254688E8)</f>
        <v>222546880</v>
      </c>
    </row>
    <row r="3985">
      <c r="A3985" s="2">
        <f>IFERROR(__xludf.DUMMYFUNCTION("""COMPUTED_VALUE"""),37144.666666666664)</f>
        <v>37144.66667</v>
      </c>
      <c r="B3985" s="1">
        <f>IFERROR(__xludf.DUMMYFUNCTION("""COMPUTED_VALUE"""),1084.49)</f>
        <v>1084.49</v>
      </c>
      <c r="C3985" s="1">
        <f>IFERROR(__xludf.DUMMYFUNCTION("""COMPUTED_VALUE"""),1096.94)</f>
        <v>1096.94</v>
      </c>
      <c r="D3985" s="1">
        <f>IFERROR(__xludf.DUMMYFUNCTION("""COMPUTED_VALUE"""),1073.15)</f>
        <v>1073.15</v>
      </c>
      <c r="E3985" s="1">
        <f>IFERROR(__xludf.DUMMYFUNCTION("""COMPUTED_VALUE"""),1092.54)</f>
        <v>1092.54</v>
      </c>
      <c r="F3985" s="1">
        <f>IFERROR(__xludf.DUMMYFUNCTION("""COMPUTED_VALUE"""),1.99468752E8)</f>
        <v>199468752</v>
      </c>
    </row>
    <row r="3986">
      <c r="A3986" s="2">
        <f>IFERROR(__xludf.DUMMYFUNCTION("""COMPUTED_VALUE"""),37145.666666666664)</f>
        <v>37145.66667</v>
      </c>
      <c r="B3986" s="1">
        <f>IFERROR(__xludf.DUMMYFUNCTION("""COMPUTED_VALUE"""),1092.54)</f>
        <v>1092.54</v>
      </c>
      <c r="C3986" s="1">
        <f>IFERROR(__xludf.DUMMYFUNCTION("""COMPUTED_VALUE"""),1092.54)</f>
        <v>1092.54</v>
      </c>
      <c r="D3986" s="1">
        <f>IFERROR(__xludf.DUMMYFUNCTION("""COMPUTED_VALUE"""),1092.54)</f>
        <v>1092.54</v>
      </c>
      <c r="E3986" s="1">
        <f>IFERROR(__xludf.DUMMYFUNCTION("""COMPUTED_VALUE"""),1092.54)</f>
        <v>1092.54</v>
      </c>
      <c r="F3986" s="1">
        <f>IFERROR(__xludf.DUMMYFUNCTION("""COMPUTED_VALUE"""),0.0)</f>
        <v>0</v>
      </c>
    </row>
    <row r="3987">
      <c r="A3987" s="2">
        <f>IFERROR(__xludf.DUMMYFUNCTION("""COMPUTED_VALUE"""),37151.666666666664)</f>
        <v>37151.66667</v>
      </c>
      <c r="B3987" s="1">
        <f>IFERROR(__xludf.DUMMYFUNCTION("""COMPUTED_VALUE"""),1092.54)</f>
        <v>1092.54</v>
      </c>
      <c r="C3987" s="1">
        <f>IFERROR(__xludf.DUMMYFUNCTION("""COMPUTED_VALUE"""),1092.54)</f>
        <v>1092.54</v>
      </c>
      <c r="D3987" s="1">
        <f>IFERROR(__xludf.DUMMYFUNCTION("""COMPUTED_VALUE"""),1037.46)</f>
        <v>1037.46</v>
      </c>
      <c r="E3987" s="1">
        <f>IFERROR(__xludf.DUMMYFUNCTION("""COMPUTED_VALUE"""),1038.77)</f>
        <v>1038.77</v>
      </c>
      <c r="F3987" s="1">
        <f>IFERROR(__xludf.DUMMYFUNCTION("""COMPUTED_VALUE"""),3.64192192E8)</f>
        <v>364192192</v>
      </c>
    </row>
    <row r="3988">
      <c r="A3988" s="2">
        <f>IFERROR(__xludf.DUMMYFUNCTION("""COMPUTED_VALUE"""),37152.666666666664)</f>
        <v>37152.66667</v>
      </c>
      <c r="B3988" s="1">
        <f>IFERROR(__xludf.DUMMYFUNCTION("""COMPUTED_VALUE"""),1038.77)</f>
        <v>1038.77</v>
      </c>
      <c r="C3988" s="1">
        <f>IFERROR(__xludf.DUMMYFUNCTION("""COMPUTED_VALUE"""),1046.42)</f>
        <v>1046.42</v>
      </c>
      <c r="D3988" s="1">
        <f>IFERROR(__xludf.DUMMYFUNCTION("""COMPUTED_VALUE"""),1029.25)</f>
        <v>1029.25</v>
      </c>
      <c r="E3988" s="1">
        <f>IFERROR(__xludf.DUMMYFUNCTION("""COMPUTED_VALUE"""),1032.74)</f>
        <v>1032.74</v>
      </c>
      <c r="F3988" s="1">
        <f>IFERROR(__xludf.DUMMYFUNCTION("""COMPUTED_VALUE"""),2.5787656E8)</f>
        <v>257876560</v>
      </c>
    </row>
    <row r="3989">
      <c r="A3989" s="2">
        <f>IFERROR(__xludf.DUMMYFUNCTION("""COMPUTED_VALUE"""),37153.666666666664)</f>
        <v>37153.66667</v>
      </c>
      <c r="B3989" s="1">
        <f>IFERROR(__xludf.DUMMYFUNCTION("""COMPUTED_VALUE"""),1032.74)</f>
        <v>1032.74</v>
      </c>
      <c r="C3989" s="1">
        <f>IFERROR(__xludf.DUMMYFUNCTION("""COMPUTED_VALUE"""),1038.91)</f>
        <v>1038.91</v>
      </c>
      <c r="D3989" s="1">
        <f>IFERROR(__xludf.DUMMYFUNCTION("""COMPUTED_VALUE"""),984.62)</f>
        <v>984.62</v>
      </c>
      <c r="E3989" s="1">
        <f>IFERROR(__xludf.DUMMYFUNCTION("""COMPUTED_VALUE"""),1016.1)</f>
        <v>1016.1</v>
      </c>
      <c r="F3989" s="1">
        <f>IFERROR(__xludf.DUMMYFUNCTION("""COMPUTED_VALUE"""),3.31335936E8)</f>
        <v>331335936</v>
      </c>
    </row>
    <row r="3990">
      <c r="A3990" s="2">
        <f>IFERROR(__xludf.DUMMYFUNCTION("""COMPUTED_VALUE"""),37154.666666666664)</f>
        <v>37154.66667</v>
      </c>
      <c r="B3990" s="1">
        <f>IFERROR(__xludf.DUMMYFUNCTION("""COMPUTED_VALUE"""),994.23)</f>
        <v>994.23</v>
      </c>
      <c r="C3990" s="1">
        <f>IFERROR(__xludf.DUMMYFUNCTION("""COMPUTED_VALUE"""),998.47)</f>
        <v>998.47</v>
      </c>
      <c r="D3990" s="1">
        <f>IFERROR(__xludf.DUMMYFUNCTION("""COMPUTED_VALUE"""),984.49)</f>
        <v>984.49</v>
      </c>
      <c r="E3990" s="1">
        <f>IFERROR(__xludf.DUMMYFUNCTION("""COMPUTED_VALUE"""),984.54)</f>
        <v>984.54</v>
      </c>
      <c r="F3990" s="1">
        <f>IFERROR(__xludf.DUMMYFUNCTION("""COMPUTED_VALUE"""),3.13249984E8)</f>
        <v>313249984</v>
      </c>
    </row>
    <row r="3991">
      <c r="A3991" s="2">
        <f>IFERROR(__xludf.DUMMYFUNCTION("""COMPUTED_VALUE"""),37155.666666666664)</f>
        <v>37155.66667</v>
      </c>
      <c r="B3991" s="1">
        <f>IFERROR(__xludf.DUMMYFUNCTION("""COMPUTED_VALUE"""),975.98)</f>
        <v>975.98</v>
      </c>
      <c r="C3991" s="1">
        <f>IFERROR(__xludf.DUMMYFUNCTION("""COMPUTED_VALUE"""),984.54)</f>
        <v>984.54</v>
      </c>
      <c r="D3991" s="1">
        <f>IFERROR(__xludf.DUMMYFUNCTION("""COMPUTED_VALUE"""),944.75)</f>
        <v>944.75</v>
      </c>
      <c r="E3991" s="1">
        <f>IFERROR(__xludf.DUMMYFUNCTION("""COMPUTED_VALUE"""),965.8)</f>
        <v>965.8</v>
      </c>
      <c r="F3991" s="1">
        <f>IFERROR(__xludf.DUMMYFUNCTION("""COMPUTED_VALUE"""),3.62078112E8)</f>
        <v>362078112</v>
      </c>
    </row>
    <row r="3992">
      <c r="A3992" s="2">
        <f>IFERROR(__xludf.DUMMYFUNCTION("""COMPUTED_VALUE"""),37158.666666666664)</f>
        <v>37158.66667</v>
      </c>
      <c r="B3992" s="1">
        <f>IFERROR(__xludf.DUMMYFUNCTION("""COMPUTED_VALUE"""),969.73)</f>
        <v>969.73</v>
      </c>
      <c r="C3992" s="1">
        <f>IFERROR(__xludf.DUMMYFUNCTION("""COMPUTED_VALUE"""),1008.44)</f>
        <v>1008.44</v>
      </c>
      <c r="D3992" s="1">
        <f>IFERROR(__xludf.DUMMYFUNCTION("""COMPUTED_VALUE"""),969.73)</f>
        <v>969.73</v>
      </c>
      <c r="E3992" s="1">
        <f>IFERROR(__xludf.DUMMYFUNCTION("""COMPUTED_VALUE"""),1003.45)</f>
        <v>1003.45</v>
      </c>
      <c r="F3992" s="1">
        <f>IFERROR(__xludf.DUMMYFUNCTION("""COMPUTED_VALUE"""),2.7290624E8)</f>
        <v>272906240</v>
      </c>
    </row>
    <row r="3993">
      <c r="A3993" s="2">
        <f>IFERROR(__xludf.DUMMYFUNCTION("""COMPUTED_VALUE"""),37159.666666666664)</f>
        <v>37159.66667</v>
      </c>
      <c r="B3993" s="1">
        <f>IFERROR(__xludf.DUMMYFUNCTION("""COMPUTED_VALUE"""),1003.88)</f>
        <v>1003.88</v>
      </c>
      <c r="C3993" s="1">
        <f>IFERROR(__xludf.DUMMYFUNCTION("""COMPUTED_VALUE"""),1017.14)</f>
        <v>1017.14</v>
      </c>
      <c r="D3993" s="1">
        <f>IFERROR(__xludf.DUMMYFUNCTION("""COMPUTED_VALUE"""),998.33)</f>
        <v>998.33</v>
      </c>
      <c r="E3993" s="1">
        <f>IFERROR(__xludf.DUMMYFUNCTION("""COMPUTED_VALUE"""),1012.27)</f>
        <v>1012.27</v>
      </c>
      <c r="F3993" s="1">
        <f>IFERROR(__xludf.DUMMYFUNCTION("""COMPUTED_VALUE"""),2.52156256E8)</f>
        <v>252156256</v>
      </c>
    </row>
    <row r="3994">
      <c r="A3994" s="2">
        <f>IFERROR(__xludf.DUMMYFUNCTION("""COMPUTED_VALUE"""),37160.666666666664)</f>
        <v>37160.66667</v>
      </c>
      <c r="B3994" s="1">
        <f>IFERROR(__xludf.DUMMYFUNCTION("""COMPUTED_VALUE"""),1013.53)</f>
        <v>1013.53</v>
      </c>
      <c r="C3994" s="1">
        <f>IFERROR(__xludf.DUMMYFUNCTION("""COMPUTED_VALUE"""),1020.29)</f>
        <v>1020.29</v>
      </c>
      <c r="D3994" s="1">
        <f>IFERROR(__xludf.DUMMYFUNCTION("""COMPUTED_VALUE"""),1002.62)</f>
        <v>1002.62</v>
      </c>
      <c r="E3994" s="1">
        <f>IFERROR(__xludf.DUMMYFUNCTION("""COMPUTED_VALUE"""),1007.04)</f>
        <v>1007.04</v>
      </c>
      <c r="F3994" s="1">
        <f>IFERROR(__xludf.DUMMYFUNCTION("""COMPUTED_VALUE"""),2.37359376E8)</f>
        <v>237359376</v>
      </c>
    </row>
    <row r="3995">
      <c r="A3995" s="2">
        <f>IFERROR(__xludf.DUMMYFUNCTION("""COMPUTED_VALUE"""),37161.666666666664)</f>
        <v>37161.66667</v>
      </c>
      <c r="B3995" s="1">
        <f>IFERROR(__xludf.DUMMYFUNCTION("""COMPUTED_VALUE"""),1006.29)</f>
        <v>1006.29</v>
      </c>
      <c r="C3995" s="1">
        <f>IFERROR(__xludf.DUMMYFUNCTION("""COMPUTED_VALUE"""),1018.92)</f>
        <v>1018.92</v>
      </c>
      <c r="D3995" s="1">
        <f>IFERROR(__xludf.DUMMYFUNCTION("""COMPUTED_VALUE"""),998.24)</f>
        <v>998.24</v>
      </c>
      <c r="E3995" s="1">
        <f>IFERROR(__xludf.DUMMYFUNCTION("""COMPUTED_VALUE"""),1018.61)</f>
        <v>1018.61</v>
      </c>
      <c r="F3995" s="1">
        <f>IFERROR(__xludf.DUMMYFUNCTION("""COMPUTED_VALUE"""),2.29218752E8)</f>
        <v>229218752</v>
      </c>
    </row>
    <row r="3996">
      <c r="A3996" s="2">
        <f>IFERROR(__xludf.DUMMYFUNCTION("""COMPUTED_VALUE"""),37162.666666666664)</f>
        <v>37162.66667</v>
      </c>
      <c r="B3996" s="1">
        <f>IFERROR(__xludf.DUMMYFUNCTION("""COMPUTED_VALUE"""),1019.73)</f>
        <v>1019.73</v>
      </c>
      <c r="C3996" s="1">
        <f>IFERROR(__xludf.DUMMYFUNCTION("""COMPUTED_VALUE"""),1040.94)</f>
        <v>1040.94</v>
      </c>
      <c r="D3996" s="1">
        <f>IFERROR(__xludf.DUMMYFUNCTION("""COMPUTED_VALUE"""),1019.73)</f>
        <v>1019.73</v>
      </c>
      <c r="E3996" s="1">
        <f>IFERROR(__xludf.DUMMYFUNCTION("""COMPUTED_VALUE"""),1040.94)</f>
        <v>1040.94</v>
      </c>
      <c r="F3996" s="1">
        <f>IFERROR(__xludf.DUMMYFUNCTION("""COMPUTED_VALUE"""),2.54921872E8)</f>
        <v>254921872</v>
      </c>
    </row>
    <row r="3997">
      <c r="A3997" s="2">
        <f>IFERROR(__xludf.DUMMYFUNCTION("""COMPUTED_VALUE"""),37165.666666666664)</f>
        <v>37165.66667</v>
      </c>
      <c r="B3997" s="1">
        <f>IFERROR(__xludf.DUMMYFUNCTION("""COMPUTED_VALUE"""),1040.2)</f>
        <v>1040.2</v>
      </c>
      <c r="C3997" s="1">
        <f>IFERROR(__xludf.DUMMYFUNCTION("""COMPUTED_VALUE"""),1040.2)</f>
        <v>1040.2</v>
      </c>
      <c r="D3997" s="1">
        <f>IFERROR(__xludf.DUMMYFUNCTION("""COMPUTED_VALUE"""),1026.76)</f>
        <v>1026.76</v>
      </c>
      <c r="E3997" s="1">
        <f>IFERROR(__xludf.DUMMYFUNCTION("""COMPUTED_VALUE"""),1038.55)</f>
        <v>1038.55</v>
      </c>
      <c r="F3997" s="1">
        <f>IFERROR(__xludf.DUMMYFUNCTION("""COMPUTED_VALUE"""),1.83687504E8)</f>
        <v>183687504</v>
      </c>
    </row>
    <row r="3998">
      <c r="A3998" s="2">
        <f>IFERROR(__xludf.DUMMYFUNCTION("""COMPUTED_VALUE"""),37166.666666666664)</f>
        <v>37166.66667</v>
      </c>
      <c r="B3998" s="1">
        <f>IFERROR(__xludf.DUMMYFUNCTION("""COMPUTED_VALUE"""),1038.44)</f>
        <v>1038.44</v>
      </c>
      <c r="C3998" s="1">
        <f>IFERROR(__xludf.DUMMYFUNCTION("""COMPUTED_VALUE"""),1051.33)</f>
        <v>1051.33</v>
      </c>
      <c r="D3998" s="1">
        <f>IFERROR(__xludf.DUMMYFUNCTION("""COMPUTED_VALUE"""),1034.47)</f>
        <v>1034.47</v>
      </c>
      <c r="E3998" s="1">
        <f>IFERROR(__xludf.DUMMYFUNCTION("""COMPUTED_VALUE"""),1051.33)</f>
        <v>1051.33</v>
      </c>
      <c r="F3998" s="1">
        <f>IFERROR(__xludf.DUMMYFUNCTION("""COMPUTED_VALUE"""),2.01531248E8)</f>
        <v>201531248</v>
      </c>
    </row>
    <row r="3999">
      <c r="A3999" s="2">
        <f>IFERROR(__xludf.DUMMYFUNCTION("""COMPUTED_VALUE"""),37167.666666666664)</f>
        <v>37167.66667</v>
      </c>
      <c r="B3999" s="1">
        <f>IFERROR(__xludf.DUMMYFUNCTION("""COMPUTED_VALUE"""),1051.33)</f>
        <v>1051.33</v>
      </c>
      <c r="C3999" s="1">
        <f>IFERROR(__xludf.DUMMYFUNCTION("""COMPUTED_VALUE"""),1075.38)</f>
        <v>1075.38</v>
      </c>
      <c r="D3999" s="1">
        <f>IFERROR(__xludf.DUMMYFUNCTION("""COMPUTED_VALUE"""),1041.48)</f>
        <v>1041.48</v>
      </c>
      <c r="E3999" s="1">
        <f>IFERROR(__xludf.DUMMYFUNCTION("""COMPUTED_VALUE"""),1072.28)</f>
        <v>1072.28</v>
      </c>
      <c r="F3999" s="1">
        <f>IFERROR(__xludf.DUMMYFUNCTION("""COMPUTED_VALUE"""),2.57906256E8)</f>
        <v>257906256</v>
      </c>
    </row>
    <row r="4000">
      <c r="A4000" s="2">
        <f>IFERROR(__xludf.DUMMYFUNCTION("""COMPUTED_VALUE"""),37168.666666666664)</f>
        <v>37168.66667</v>
      </c>
      <c r="B4000" s="1">
        <f>IFERROR(__xludf.DUMMYFUNCTION("""COMPUTED_VALUE"""),1075.29)</f>
        <v>1075.29</v>
      </c>
      <c r="C4000" s="1">
        <f>IFERROR(__xludf.DUMMYFUNCTION("""COMPUTED_VALUE"""),1084.12)</f>
        <v>1084.12</v>
      </c>
      <c r="D4000" s="1">
        <f>IFERROR(__xludf.DUMMYFUNCTION("""COMPUTED_VALUE"""),1067.82)</f>
        <v>1067.82</v>
      </c>
      <c r="E4000" s="1">
        <f>IFERROR(__xludf.DUMMYFUNCTION("""COMPUTED_VALUE"""),1069.62)</f>
        <v>1069.62</v>
      </c>
      <c r="F4000" s="1">
        <f>IFERROR(__xludf.DUMMYFUNCTION("""COMPUTED_VALUE"""),2.51421872E8)</f>
        <v>251421872</v>
      </c>
    </row>
    <row r="4001">
      <c r="A4001" s="2">
        <f>IFERROR(__xludf.DUMMYFUNCTION("""COMPUTED_VALUE"""),37169.666666666664)</f>
        <v>37169.66667</v>
      </c>
      <c r="B4001" s="1">
        <f>IFERROR(__xludf.DUMMYFUNCTION("""COMPUTED_VALUE"""),1069.62)</f>
        <v>1069.62</v>
      </c>
      <c r="C4001" s="1">
        <f>IFERROR(__xludf.DUMMYFUNCTION("""COMPUTED_VALUE"""),1072.35)</f>
        <v>1072.35</v>
      </c>
      <c r="D4001" s="1">
        <f>IFERROR(__xludf.DUMMYFUNCTION("""COMPUTED_VALUE"""),1053.5)</f>
        <v>1053.5</v>
      </c>
      <c r="E4001" s="1">
        <f>IFERROR(__xludf.DUMMYFUNCTION("""COMPUTED_VALUE"""),1071.38)</f>
        <v>1071.38</v>
      </c>
      <c r="F4001" s="1">
        <f>IFERROR(__xludf.DUMMYFUNCTION("""COMPUTED_VALUE"""),2.03390624E8)</f>
        <v>203390624</v>
      </c>
    </row>
    <row r="4002">
      <c r="A4002" s="2">
        <f>IFERROR(__xludf.DUMMYFUNCTION("""COMPUTED_VALUE"""),37172.666666666664)</f>
        <v>37172.66667</v>
      </c>
      <c r="B4002" s="1">
        <f>IFERROR(__xludf.DUMMYFUNCTION("""COMPUTED_VALUE"""),1071.37)</f>
        <v>1071.37</v>
      </c>
      <c r="C4002" s="1">
        <f>IFERROR(__xludf.DUMMYFUNCTION("""COMPUTED_VALUE"""),1071.37)</f>
        <v>1071.37</v>
      </c>
      <c r="D4002" s="1">
        <f>IFERROR(__xludf.DUMMYFUNCTION("""COMPUTED_VALUE"""),1056.88)</f>
        <v>1056.88</v>
      </c>
      <c r="E4002" s="1">
        <f>IFERROR(__xludf.DUMMYFUNCTION("""COMPUTED_VALUE"""),1062.44)</f>
        <v>1062.44</v>
      </c>
      <c r="F4002" s="1">
        <f>IFERROR(__xludf.DUMMYFUNCTION("""COMPUTED_VALUE"""),1.52968752E8)</f>
        <v>152968752</v>
      </c>
    </row>
    <row r="4003">
      <c r="A4003" s="2">
        <f>IFERROR(__xludf.DUMMYFUNCTION("""COMPUTED_VALUE"""),37173.666666666664)</f>
        <v>37173.66667</v>
      </c>
      <c r="B4003" s="1">
        <f>IFERROR(__xludf.DUMMYFUNCTION("""COMPUTED_VALUE"""),1062.1)</f>
        <v>1062.1</v>
      </c>
      <c r="C4003" s="1">
        <f>IFERROR(__xludf.DUMMYFUNCTION("""COMPUTED_VALUE"""),1063.37)</f>
        <v>1063.37</v>
      </c>
      <c r="D4003" s="1">
        <f>IFERROR(__xludf.DUMMYFUNCTION("""COMPUTED_VALUE"""),1053.83)</f>
        <v>1053.83</v>
      </c>
      <c r="E4003" s="1">
        <f>IFERROR(__xludf.DUMMYFUNCTION("""COMPUTED_VALUE"""),1056.75)</f>
        <v>1056.75</v>
      </c>
      <c r="F4003" s="1">
        <f>IFERROR(__xludf.DUMMYFUNCTION("""COMPUTED_VALUE"""),1.91843744E8)</f>
        <v>191843744</v>
      </c>
    </row>
    <row r="4004">
      <c r="A4004" s="2">
        <f>IFERROR(__xludf.DUMMYFUNCTION("""COMPUTED_VALUE"""),37174.666666666664)</f>
        <v>37174.66667</v>
      </c>
      <c r="B4004" s="1">
        <f>IFERROR(__xludf.DUMMYFUNCTION("""COMPUTED_VALUE"""),1056.71)</f>
        <v>1056.71</v>
      </c>
      <c r="C4004" s="1">
        <f>IFERROR(__xludf.DUMMYFUNCTION("""COMPUTED_VALUE"""),1081.62)</f>
        <v>1081.62</v>
      </c>
      <c r="D4004" s="1">
        <f>IFERROR(__xludf.DUMMYFUNCTION("""COMPUTED_VALUE"""),1052.7)</f>
        <v>1052.7</v>
      </c>
      <c r="E4004" s="1">
        <f>IFERROR(__xludf.DUMMYFUNCTION("""COMPUTED_VALUE"""),1080.99)</f>
        <v>1080.99</v>
      </c>
      <c r="F4004" s="1">
        <f>IFERROR(__xludf.DUMMYFUNCTION("""COMPUTED_VALUE"""),2.05062496E8)</f>
        <v>205062496</v>
      </c>
    </row>
    <row r="4005">
      <c r="A4005" s="2">
        <f>IFERROR(__xludf.DUMMYFUNCTION("""COMPUTED_VALUE"""),37175.666666666664)</f>
        <v>37175.66667</v>
      </c>
      <c r="B4005" s="1">
        <f>IFERROR(__xludf.DUMMYFUNCTION("""COMPUTED_VALUE"""),1082.44)</f>
        <v>1082.44</v>
      </c>
      <c r="C4005" s="1">
        <f>IFERROR(__xludf.DUMMYFUNCTION("""COMPUTED_VALUE"""),1099.16)</f>
        <v>1099.16</v>
      </c>
      <c r="D4005" s="1">
        <f>IFERROR(__xludf.DUMMYFUNCTION("""COMPUTED_VALUE"""),1082.44)</f>
        <v>1082.44</v>
      </c>
      <c r="E4005" s="1">
        <f>IFERROR(__xludf.DUMMYFUNCTION("""COMPUTED_VALUE"""),1097.43)</f>
        <v>1097.43</v>
      </c>
      <c r="F4005" s="1">
        <f>IFERROR(__xludf.DUMMYFUNCTION("""COMPUTED_VALUE"""),2.66340624E8)</f>
        <v>266340624</v>
      </c>
    </row>
    <row r="4006">
      <c r="A4006" s="2">
        <f>IFERROR(__xludf.DUMMYFUNCTION("""COMPUTED_VALUE"""),37176.666666666664)</f>
        <v>37176.66667</v>
      </c>
      <c r="B4006" s="1">
        <f>IFERROR(__xludf.DUMMYFUNCTION("""COMPUTED_VALUE"""),1095.96)</f>
        <v>1095.96</v>
      </c>
      <c r="C4006" s="1">
        <f>IFERROR(__xludf.DUMMYFUNCTION("""COMPUTED_VALUE"""),1095.96)</f>
        <v>1095.96</v>
      </c>
      <c r="D4006" s="1">
        <f>IFERROR(__xludf.DUMMYFUNCTION("""COMPUTED_VALUE"""),1072.15)</f>
        <v>1072.15</v>
      </c>
      <c r="E4006" s="1">
        <f>IFERROR(__xludf.DUMMYFUNCTION("""COMPUTED_VALUE"""),1091.65)</f>
        <v>1091.65</v>
      </c>
      <c r="F4006" s="1">
        <f>IFERROR(__xludf.DUMMYFUNCTION("""COMPUTED_VALUE"""),2.08031248E8)</f>
        <v>208031248</v>
      </c>
    </row>
    <row r="4007">
      <c r="A4007" s="2">
        <f>IFERROR(__xludf.DUMMYFUNCTION("""COMPUTED_VALUE"""),37179.666666666664)</f>
        <v>37179.66667</v>
      </c>
      <c r="B4007" s="1">
        <f>IFERROR(__xludf.DUMMYFUNCTION("""COMPUTED_VALUE"""),1088.83)</f>
        <v>1088.83</v>
      </c>
      <c r="C4007" s="1">
        <f>IFERROR(__xludf.DUMMYFUNCTION("""COMPUTED_VALUE"""),1090.54)</f>
        <v>1090.54</v>
      </c>
      <c r="D4007" s="1">
        <f>IFERROR(__xludf.DUMMYFUNCTION("""COMPUTED_VALUE"""),1078.19)</f>
        <v>1078.19</v>
      </c>
      <c r="E4007" s="1">
        <f>IFERROR(__xludf.DUMMYFUNCTION("""COMPUTED_VALUE"""),1089.98)</f>
        <v>1089.98</v>
      </c>
      <c r="F4007" s="1">
        <f>IFERROR(__xludf.DUMMYFUNCTION("""COMPUTED_VALUE"""),1.60109376E8)</f>
        <v>160109376</v>
      </c>
    </row>
    <row r="4008">
      <c r="A4008" s="2">
        <f>IFERROR(__xludf.DUMMYFUNCTION("""COMPUTED_VALUE"""),37180.666666666664)</f>
        <v>37180.66667</v>
      </c>
      <c r="B4008" s="1">
        <f>IFERROR(__xludf.DUMMYFUNCTION("""COMPUTED_VALUE"""),1090.91)</f>
        <v>1090.91</v>
      </c>
      <c r="C4008" s="1">
        <f>IFERROR(__xludf.DUMMYFUNCTION("""COMPUTED_VALUE"""),1101.66)</f>
        <v>1101.66</v>
      </c>
      <c r="D4008" s="1">
        <f>IFERROR(__xludf.DUMMYFUNCTION("""COMPUTED_VALUE"""),1087.13)</f>
        <v>1087.13</v>
      </c>
      <c r="E4008" s="1">
        <f>IFERROR(__xludf.DUMMYFUNCTION("""COMPUTED_VALUE"""),1097.54)</f>
        <v>1097.54</v>
      </c>
      <c r="F4008" s="1">
        <f>IFERROR(__xludf.DUMMYFUNCTION("""COMPUTED_VALUE"""),1.89140624E8)</f>
        <v>189140624</v>
      </c>
    </row>
    <row r="4009">
      <c r="A4009" s="2">
        <f>IFERROR(__xludf.DUMMYFUNCTION("""COMPUTED_VALUE"""),37181.666666666664)</f>
        <v>37181.66667</v>
      </c>
      <c r="B4009" s="1">
        <f>IFERROR(__xludf.DUMMYFUNCTION("""COMPUTED_VALUE"""),1097.54)</f>
        <v>1097.54</v>
      </c>
      <c r="C4009" s="1">
        <f>IFERROR(__xludf.DUMMYFUNCTION("""COMPUTED_VALUE"""),1107.12)</f>
        <v>1107.12</v>
      </c>
      <c r="D4009" s="1">
        <f>IFERROR(__xludf.DUMMYFUNCTION("""COMPUTED_VALUE"""),1076.57)</f>
        <v>1076.57</v>
      </c>
      <c r="E4009" s="1">
        <f>IFERROR(__xludf.DUMMYFUNCTION("""COMPUTED_VALUE"""),1077.09)</f>
        <v>1077.09</v>
      </c>
      <c r="F4009" s="1">
        <f>IFERROR(__xludf.DUMMYFUNCTION("""COMPUTED_VALUE"""),2.26906256E8)</f>
        <v>226906256</v>
      </c>
    </row>
    <row r="4010">
      <c r="A4010" s="2">
        <f>IFERROR(__xludf.DUMMYFUNCTION("""COMPUTED_VALUE"""),37182.666666666664)</f>
        <v>37182.66667</v>
      </c>
      <c r="B4010" s="1">
        <f>IFERROR(__xludf.DUMMYFUNCTION("""COMPUTED_VALUE"""),1077.39)</f>
        <v>1077.39</v>
      </c>
      <c r="C4010" s="1">
        <f>IFERROR(__xludf.DUMMYFUNCTION("""COMPUTED_VALUE"""),1077.94)</f>
        <v>1077.94</v>
      </c>
      <c r="D4010" s="1">
        <f>IFERROR(__xludf.DUMMYFUNCTION("""COMPUTED_VALUE"""),1064.54)</f>
        <v>1064.54</v>
      </c>
      <c r="E4010" s="1">
        <f>IFERROR(__xludf.DUMMYFUNCTION("""COMPUTED_VALUE"""),1068.61)</f>
        <v>1068.61</v>
      </c>
      <c r="F4010" s="1">
        <f>IFERROR(__xludf.DUMMYFUNCTION("""COMPUTED_VALUE"""),1.97328128E8)</f>
        <v>197328128</v>
      </c>
    </row>
    <row r="4011">
      <c r="A4011" s="2">
        <f>IFERROR(__xludf.DUMMYFUNCTION("""COMPUTED_VALUE"""),37183.666666666664)</f>
        <v>37183.66667</v>
      </c>
      <c r="B4011" s="1">
        <f>IFERROR(__xludf.DUMMYFUNCTION("""COMPUTED_VALUE"""),1067.84)</f>
        <v>1067.84</v>
      </c>
      <c r="C4011" s="1">
        <f>IFERROR(__xludf.DUMMYFUNCTION("""COMPUTED_VALUE"""),1075.52)</f>
        <v>1075.52</v>
      </c>
      <c r="D4011" s="1">
        <f>IFERROR(__xludf.DUMMYFUNCTION("""COMPUTED_VALUE"""),1057.24)</f>
        <v>1057.24</v>
      </c>
      <c r="E4011" s="1">
        <f>IFERROR(__xludf.DUMMYFUNCTION("""COMPUTED_VALUE"""),1073.48)</f>
        <v>1073.48</v>
      </c>
      <c r="F4011" s="1">
        <f>IFERROR(__xludf.DUMMYFUNCTION("""COMPUTED_VALUE"""),2.02328128E8)</f>
        <v>202328128</v>
      </c>
    </row>
    <row r="4012">
      <c r="A4012" s="2">
        <f>IFERROR(__xludf.DUMMYFUNCTION("""COMPUTED_VALUE"""),37186.666666666664)</f>
        <v>37186.66667</v>
      </c>
      <c r="B4012" s="1">
        <f>IFERROR(__xludf.DUMMYFUNCTION("""COMPUTED_VALUE"""),1072.35)</f>
        <v>1072.35</v>
      </c>
      <c r="C4012" s="1">
        <f>IFERROR(__xludf.DUMMYFUNCTION("""COMPUTED_VALUE"""),1090.57)</f>
        <v>1090.57</v>
      </c>
      <c r="D4012" s="1">
        <f>IFERROR(__xludf.DUMMYFUNCTION("""COMPUTED_VALUE"""),1070.32)</f>
        <v>1070.32</v>
      </c>
      <c r="E4012" s="1">
        <f>IFERROR(__xludf.DUMMYFUNCTION("""COMPUTED_VALUE"""),1089.9)</f>
        <v>1089.9</v>
      </c>
      <c r="F4012" s="1">
        <f>IFERROR(__xludf.DUMMYFUNCTION("""COMPUTED_VALUE"""),1.72765632E8)</f>
        <v>172765632</v>
      </c>
    </row>
    <row r="4013">
      <c r="A4013" s="2">
        <f>IFERROR(__xludf.DUMMYFUNCTION("""COMPUTED_VALUE"""),37187.666666666664)</f>
        <v>37187.66667</v>
      </c>
      <c r="B4013" s="1">
        <f>IFERROR(__xludf.DUMMYFUNCTION("""COMPUTED_VALUE"""),1089.9)</f>
        <v>1089.9</v>
      </c>
      <c r="C4013" s="1">
        <f>IFERROR(__xludf.DUMMYFUNCTION("""COMPUTED_VALUE"""),1098.99)</f>
        <v>1098.99</v>
      </c>
      <c r="D4013" s="1">
        <f>IFERROR(__xludf.DUMMYFUNCTION("""COMPUTED_VALUE"""),1081.53)</f>
        <v>1081.53</v>
      </c>
      <c r="E4013" s="1">
        <f>IFERROR(__xludf.DUMMYFUNCTION("""COMPUTED_VALUE"""),1084.78)</f>
        <v>1084.78</v>
      </c>
      <c r="F4013" s="1">
        <f>IFERROR(__xludf.DUMMYFUNCTION("""COMPUTED_VALUE"""),2.05828128E8)</f>
        <v>205828128</v>
      </c>
    </row>
    <row r="4014">
      <c r="A4014" s="2">
        <f>IFERROR(__xludf.DUMMYFUNCTION("""COMPUTED_VALUE"""),37188.666666666664)</f>
        <v>37188.66667</v>
      </c>
      <c r="B4014" s="1">
        <f>IFERROR(__xludf.DUMMYFUNCTION("""COMPUTED_VALUE"""),1085.43)</f>
        <v>1085.43</v>
      </c>
      <c r="C4014" s="1">
        <f>IFERROR(__xludf.DUMMYFUNCTION("""COMPUTED_VALUE"""),1090.26)</f>
        <v>1090.26</v>
      </c>
      <c r="D4014" s="1">
        <f>IFERROR(__xludf.DUMMYFUNCTION("""COMPUTED_VALUE"""),1079.98)</f>
        <v>1079.98</v>
      </c>
      <c r="E4014" s="1">
        <f>IFERROR(__xludf.DUMMYFUNCTION("""COMPUTED_VALUE"""),1085.2)</f>
        <v>1085.2</v>
      </c>
      <c r="F4014" s="1">
        <f>IFERROR(__xludf.DUMMYFUNCTION("""COMPUTED_VALUE"""),2.08781248E8)</f>
        <v>208781248</v>
      </c>
    </row>
    <row r="4015">
      <c r="A4015" s="2">
        <f>IFERROR(__xludf.DUMMYFUNCTION("""COMPUTED_VALUE"""),37189.666666666664)</f>
        <v>37189.66667</v>
      </c>
      <c r="B4015" s="1">
        <f>IFERROR(__xludf.DUMMYFUNCTION("""COMPUTED_VALUE"""),1085.2)</f>
        <v>1085.2</v>
      </c>
      <c r="C4015" s="1">
        <f>IFERROR(__xludf.DUMMYFUNCTION("""COMPUTED_VALUE"""),1100.09)</f>
        <v>1100.09</v>
      </c>
      <c r="D4015" s="1">
        <f>IFERROR(__xludf.DUMMYFUNCTION("""COMPUTED_VALUE"""),1065.64)</f>
        <v>1065.64</v>
      </c>
      <c r="E4015" s="1">
        <f>IFERROR(__xludf.DUMMYFUNCTION("""COMPUTED_VALUE"""),1100.09)</f>
        <v>1100.09</v>
      </c>
      <c r="F4015" s="1">
        <f>IFERROR(__xludf.DUMMYFUNCTION("""COMPUTED_VALUE"""),2.13187504E8)</f>
        <v>213187504</v>
      </c>
    </row>
    <row r="4016">
      <c r="A4016" s="2">
        <f>IFERROR(__xludf.DUMMYFUNCTION("""COMPUTED_VALUE"""),37190.666666666664)</f>
        <v>37190.66667</v>
      </c>
      <c r="B4016" s="1">
        <f>IFERROR(__xludf.DUMMYFUNCTION("""COMPUTED_VALUE"""),1099.23)</f>
        <v>1099.23</v>
      </c>
      <c r="C4016" s="1">
        <f>IFERROR(__xludf.DUMMYFUNCTION("""COMPUTED_VALUE"""),1110.61)</f>
        <v>1110.61</v>
      </c>
      <c r="D4016" s="1">
        <f>IFERROR(__xludf.DUMMYFUNCTION("""COMPUTED_VALUE"""),1094.24)</f>
        <v>1094.24</v>
      </c>
      <c r="E4016" s="1">
        <f>IFERROR(__xludf.DUMMYFUNCTION("""COMPUTED_VALUE"""),1104.61)</f>
        <v>1104.61</v>
      </c>
      <c r="F4016" s="1">
        <f>IFERROR(__xludf.DUMMYFUNCTION("""COMPUTED_VALUE"""),1.9445312E8)</f>
        <v>194453120</v>
      </c>
    </row>
    <row r="4017">
      <c r="A4017" s="2">
        <f>IFERROR(__xludf.DUMMYFUNCTION("""COMPUTED_VALUE"""),37193.666666666664)</f>
        <v>37193.66667</v>
      </c>
      <c r="B4017" s="1">
        <f>IFERROR(__xludf.DUMMYFUNCTION("""COMPUTED_VALUE"""),1103.95)</f>
        <v>1103.95</v>
      </c>
      <c r="C4017" s="1">
        <f>IFERROR(__xludf.DUMMYFUNCTION("""COMPUTED_VALUE"""),1103.95)</f>
        <v>1103.95</v>
      </c>
      <c r="D4017" s="1">
        <f>IFERROR(__xludf.DUMMYFUNCTION("""COMPUTED_VALUE"""),1078.3)</f>
        <v>1078.3</v>
      </c>
      <c r="E4017" s="1">
        <f>IFERROR(__xludf.DUMMYFUNCTION("""COMPUTED_VALUE"""),1078.3)</f>
        <v>1078.3</v>
      </c>
      <c r="F4017" s="1">
        <f>IFERROR(__xludf.DUMMYFUNCTION("""COMPUTED_VALUE"""),1.72828128E8)</f>
        <v>172828128</v>
      </c>
    </row>
    <row r="4018">
      <c r="A4018" s="2">
        <f>IFERROR(__xludf.DUMMYFUNCTION("""COMPUTED_VALUE"""),37194.666666666664)</f>
        <v>37194.66667</v>
      </c>
      <c r="B4018" s="1">
        <f>IFERROR(__xludf.DUMMYFUNCTION("""COMPUTED_VALUE"""),1075.56)</f>
        <v>1075.56</v>
      </c>
      <c r="C4018" s="1">
        <f>IFERROR(__xludf.DUMMYFUNCTION("""COMPUTED_VALUE"""),1075.56)</f>
        <v>1075.56</v>
      </c>
      <c r="D4018" s="1">
        <f>IFERROR(__xludf.DUMMYFUNCTION("""COMPUTED_VALUE"""),1053.61)</f>
        <v>1053.61</v>
      </c>
      <c r="E4018" s="1">
        <f>IFERROR(__xludf.DUMMYFUNCTION("""COMPUTED_VALUE"""),1059.79)</f>
        <v>1059.79</v>
      </c>
      <c r="F4018" s="1">
        <f>IFERROR(__xludf.DUMMYFUNCTION("""COMPUTED_VALUE"""),2.02718752E8)</f>
        <v>202718752</v>
      </c>
    </row>
    <row r="4019">
      <c r="A4019" s="2">
        <f>IFERROR(__xludf.DUMMYFUNCTION("""COMPUTED_VALUE"""),37195.666666666664)</f>
        <v>37195.66667</v>
      </c>
      <c r="B4019" s="1">
        <f>IFERROR(__xludf.DUMMYFUNCTION("""COMPUTED_VALUE"""),1062.29)</f>
        <v>1062.29</v>
      </c>
      <c r="C4019" s="1">
        <f>IFERROR(__xludf.DUMMYFUNCTION("""COMPUTED_VALUE"""),1074.79)</f>
        <v>1074.79</v>
      </c>
      <c r="D4019" s="1">
        <f>IFERROR(__xludf.DUMMYFUNCTION("""COMPUTED_VALUE"""),1057.55)</f>
        <v>1057.55</v>
      </c>
      <c r="E4019" s="1">
        <f>IFERROR(__xludf.DUMMYFUNCTION("""COMPUTED_VALUE"""),1059.78)</f>
        <v>1059.78</v>
      </c>
      <c r="F4019" s="1">
        <f>IFERROR(__xludf.DUMMYFUNCTION("""COMPUTED_VALUE"""),2.11328128E8)</f>
        <v>211328128</v>
      </c>
    </row>
    <row r="4020">
      <c r="A4020" s="2">
        <f>IFERROR(__xludf.DUMMYFUNCTION("""COMPUTED_VALUE"""),37196.666666666664)</f>
        <v>37196.66667</v>
      </c>
      <c r="B4020" s="1">
        <f>IFERROR(__xludf.DUMMYFUNCTION("""COMPUTED_VALUE"""),1060.98)</f>
        <v>1060.98</v>
      </c>
      <c r="C4020" s="1">
        <f>IFERROR(__xludf.DUMMYFUNCTION("""COMPUTED_VALUE"""),1085.61)</f>
        <v>1085.61</v>
      </c>
      <c r="D4020" s="1">
        <f>IFERROR(__xludf.DUMMYFUNCTION("""COMPUTED_VALUE"""),1054.31)</f>
        <v>1054.31</v>
      </c>
      <c r="E4020" s="1">
        <f>IFERROR(__xludf.DUMMYFUNCTION("""COMPUTED_VALUE"""),1084.1)</f>
        <v>1084.1</v>
      </c>
      <c r="F4020" s="1">
        <f>IFERROR(__xludf.DUMMYFUNCTION("""COMPUTED_VALUE"""),2.05843744E8)</f>
        <v>205843744</v>
      </c>
    </row>
    <row r="4021">
      <c r="A4021" s="2">
        <f>IFERROR(__xludf.DUMMYFUNCTION("""COMPUTED_VALUE"""),37197.666666666664)</f>
        <v>37197.66667</v>
      </c>
      <c r="B4021" s="1">
        <f>IFERROR(__xludf.DUMMYFUNCTION("""COMPUTED_VALUE"""),1083.55)</f>
        <v>1083.55</v>
      </c>
      <c r="C4021" s="1">
        <f>IFERROR(__xludf.DUMMYFUNCTION("""COMPUTED_VALUE"""),1089.63)</f>
        <v>1089.63</v>
      </c>
      <c r="D4021" s="1">
        <f>IFERROR(__xludf.DUMMYFUNCTION("""COMPUTED_VALUE"""),1075.58)</f>
        <v>1075.58</v>
      </c>
      <c r="E4021" s="1">
        <f>IFERROR(__xludf.DUMMYFUNCTION("""COMPUTED_VALUE"""),1087.22)</f>
        <v>1087.22</v>
      </c>
      <c r="F4021" s="1">
        <f>IFERROR(__xludf.DUMMYFUNCTION("""COMPUTED_VALUE"""),1.7529688E8)</f>
        <v>175296880</v>
      </c>
    </row>
    <row r="4022">
      <c r="A4022" s="2">
        <f>IFERROR(__xludf.DUMMYFUNCTION("""COMPUTED_VALUE"""),37200.666666666664)</f>
        <v>37200.66667</v>
      </c>
      <c r="B4022" s="1">
        <f>IFERROR(__xludf.DUMMYFUNCTION("""COMPUTED_VALUE"""),1087.45)</f>
        <v>1087.45</v>
      </c>
      <c r="C4022" s="1">
        <f>IFERROR(__xludf.DUMMYFUNCTION("""COMPUTED_VALUE"""),1106.72)</f>
        <v>1106.72</v>
      </c>
      <c r="D4022" s="1">
        <f>IFERROR(__xludf.DUMMYFUNCTION("""COMPUTED_VALUE"""),1087.45)</f>
        <v>1087.45</v>
      </c>
      <c r="E4022" s="1">
        <f>IFERROR(__xludf.DUMMYFUNCTION("""COMPUTED_VALUE"""),1102.84)</f>
        <v>1102.84</v>
      </c>
      <c r="F4022" s="1">
        <f>IFERROR(__xludf.DUMMYFUNCTION("""COMPUTED_VALUE"""),1.98078128E8)</f>
        <v>198078128</v>
      </c>
    </row>
    <row r="4023">
      <c r="A4023" s="2">
        <f>IFERROR(__xludf.DUMMYFUNCTION("""COMPUTED_VALUE"""),37201.666666666664)</f>
        <v>37201.66667</v>
      </c>
      <c r="B4023" s="1">
        <f>IFERROR(__xludf.DUMMYFUNCTION("""COMPUTED_VALUE"""),1102.01)</f>
        <v>1102.01</v>
      </c>
      <c r="C4023" s="1">
        <f>IFERROR(__xludf.DUMMYFUNCTION("""COMPUTED_VALUE"""),1119.73)</f>
        <v>1119.73</v>
      </c>
      <c r="D4023" s="1">
        <f>IFERROR(__xludf.DUMMYFUNCTION("""COMPUTED_VALUE"""),1095.36)</f>
        <v>1095.36</v>
      </c>
      <c r="E4023" s="1">
        <f>IFERROR(__xludf.DUMMYFUNCTION("""COMPUTED_VALUE"""),1118.86)</f>
        <v>1118.86</v>
      </c>
      <c r="F4023" s="1">
        <f>IFERROR(__xludf.DUMMYFUNCTION("""COMPUTED_VALUE"""),2.11875008E8)</f>
        <v>211875008</v>
      </c>
    </row>
    <row r="4024">
      <c r="A4024" s="2">
        <f>IFERROR(__xludf.DUMMYFUNCTION("""COMPUTED_VALUE"""),37202.666666666664)</f>
        <v>37202.66667</v>
      </c>
      <c r="B4024" s="1">
        <f>IFERROR(__xludf.DUMMYFUNCTION("""COMPUTED_VALUE"""),1116.29)</f>
        <v>1116.29</v>
      </c>
      <c r="C4024" s="1">
        <f>IFERROR(__xludf.DUMMYFUNCTION("""COMPUTED_VALUE"""),1126.62)</f>
        <v>1126.62</v>
      </c>
      <c r="D4024" s="1">
        <f>IFERROR(__xludf.DUMMYFUNCTION("""COMPUTED_VALUE"""),1112.98)</f>
        <v>1112.98</v>
      </c>
      <c r="E4024" s="1">
        <f>IFERROR(__xludf.DUMMYFUNCTION("""COMPUTED_VALUE"""),1115.8)</f>
        <v>1115.8</v>
      </c>
      <c r="F4024" s="1">
        <f>IFERROR(__xludf.DUMMYFUNCTION("""COMPUTED_VALUE"""),2.20515632E8)</f>
        <v>220515632</v>
      </c>
    </row>
    <row r="4025">
      <c r="A4025" s="2">
        <f>IFERROR(__xludf.DUMMYFUNCTION("""COMPUTED_VALUE"""),37203.666666666664)</f>
        <v>37203.66667</v>
      </c>
      <c r="B4025" s="1">
        <f>IFERROR(__xludf.DUMMYFUNCTION("""COMPUTED_VALUE"""),1115.8)</f>
        <v>1115.8</v>
      </c>
      <c r="C4025" s="1">
        <f>IFERROR(__xludf.DUMMYFUNCTION("""COMPUTED_VALUE"""),1135.75)</f>
        <v>1135.75</v>
      </c>
      <c r="D4025" s="1">
        <f>IFERROR(__xludf.DUMMYFUNCTION("""COMPUTED_VALUE"""),1115.42)</f>
        <v>1115.42</v>
      </c>
      <c r="E4025" s="1">
        <f>IFERROR(__xludf.DUMMYFUNCTION("""COMPUTED_VALUE"""),1118.54)</f>
        <v>1118.54</v>
      </c>
      <c r="F4025" s="1">
        <f>IFERROR(__xludf.DUMMYFUNCTION("""COMPUTED_VALUE"""),2.37109376E8)</f>
        <v>237109376</v>
      </c>
    </row>
    <row r="4026">
      <c r="A4026" s="2">
        <f>IFERROR(__xludf.DUMMYFUNCTION("""COMPUTED_VALUE"""),37204.666666666664)</f>
        <v>37204.66667</v>
      </c>
      <c r="B4026" s="1">
        <f>IFERROR(__xludf.DUMMYFUNCTION("""COMPUTED_VALUE"""),1118.18)</f>
        <v>1118.18</v>
      </c>
      <c r="C4026" s="1">
        <f>IFERROR(__xludf.DUMMYFUNCTION("""COMPUTED_VALUE"""),1123.02)</f>
        <v>1123.02</v>
      </c>
      <c r="D4026" s="1">
        <f>IFERROR(__xludf.DUMMYFUNCTION("""COMPUTED_VALUE"""),1111.13)</f>
        <v>1111.13</v>
      </c>
      <c r="E4026" s="1">
        <f>IFERROR(__xludf.DUMMYFUNCTION("""COMPUTED_VALUE"""),1120.31)</f>
        <v>1120.31</v>
      </c>
      <c r="F4026" s="1">
        <f>IFERROR(__xludf.DUMMYFUNCTION("""COMPUTED_VALUE"""),1.70906256E8)</f>
        <v>170906256</v>
      </c>
    </row>
    <row r="4027">
      <c r="A4027" s="2">
        <f>IFERROR(__xludf.DUMMYFUNCTION("""COMPUTED_VALUE"""),37207.666666666664)</f>
        <v>37207.66667</v>
      </c>
      <c r="B4027" s="1">
        <f>IFERROR(__xludf.DUMMYFUNCTION("""COMPUTED_VALUE"""),1119.71)</f>
        <v>1119.71</v>
      </c>
      <c r="C4027" s="1">
        <f>IFERROR(__xludf.DUMMYFUNCTION("""COMPUTED_VALUE"""),1121.71)</f>
        <v>1121.71</v>
      </c>
      <c r="D4027" s="1">
        <f>IFERROR(__xludf.DUMMYFUNCTION("""COMPUTED_VALUE"""),1098.32)</f>
        <v>1098.32</v>
      </c>
      <c r="E4027" s="1">
        <f>IFERROR(__xludf.DUMMYFUNCTION("""COMPUTED_VALUE"""),1118.33)</f>
        <v>1118.33</v>
      </c>
      <c r="F4027" s="1">
        <f>IFERROR(__xludf.DUMMYFUNCTION("""COMPUTED_VALUE"""),1.54937504E8)</f>
        <v>154937504</v>
      </c>
    </row>
    <row r="4028">
      <c r="A4028" s="2">
        <f>IFERROR(__xludf.DUMMYFUNCTION("""COMPUTED_VALUE"""),37208.666666666664)</f>
        <v>37208.66667</v>
      </c>
      <c r="B4028" s="1">
        <f>IFERROR(__xludf.DUMMYFUNCTION("""COMPUTED_VALUE"""),1122.23)</f>
        <v>1122.23</v>
      </c>
      <c r="C4028" s="1">
        <f>IFERROR(__xludf.DUMMYFUNCTION("""COMPUTED_VALUE"""),1139.14)</f>
        <v>1139.14</v>
      </c>
      <c r="D4028" s="1">
        <f>IFERROR(__xludf.DUMMYFUNCTION("""COMPUTED_VALUE"""),1122.23)</f>
        <v>1122.23</v>
      </c>
      <c r="E4028" s="1">
        <f>IFERROR(__xludf.DUMMYFUNCTION("""COMPUTED_VALUE"""),1139.09)</f>
        <v>1139.09</v>
      </c>
      <c r="F4028" s="1">
        <f>IFERROR(__xludf.DUMMYFUNCTION("""COMPUTED_VALUE"""),2.14078128E8)</f>
        <v>214078128</v>
      </c>
    </row>
    <row r="4029">
      <c r="A4029" s="2">
        <f>IFERROR(__xludf.DUMMYFUNCTION("""COMPUTED_VALUE"""),37209.666666666664)</f>
        <v>37209.66667</v>
      </c>
      <c r="B4029" s="1">
        <f>IFERROR(__xludf.DUMMYFUNCTION("""COMPUTED_VALUE"""),1139.09)</f>
        <v>1139.09</v>
      </c>
      <c r="C4029" s="1">
        <f>IFERROR(__xludf.DUMMYFUNCTION("""COMPUTED_VALUE"""),1148.28)</f>
        <v>1148.28</v>
      </c>
      <c r="D4029" s="1">
        <f>IFERROR(__xludf.DUMMYFUNCTION("""COMPUTED_VALUE"""),1132.87)</f>
        <v>1132.87</v>
      </c>
      <c r="E4029" s="1">
        <f>IFERROR(__xludf.DUMMYFUNCTION("""COMPUTED_VALUE"""),1141.21)</f>
        <v>1141.21</v>
      </c>
      <c r="F4029" s="1">
        <f>IFERROR(__xludf.DUMMYFUNCTION("""COMPUTED_VALUE"""),2.25531248E8)</f>
        <v>225531248</v>
      </c>
    </row>
    <row r="4030">
      <c r="A4030" s="2">
        <f>IFERROR(__xludf.DUMMYFUNCTION("""COMPUTED_VALUE"""),37210.666666666664)</f>
        <v>37210.66667</v>
      </c>
      <c r="B4030" s="1">
        <f>IFERROR(__xludf.DUMMYFUNCTION("""COMPUTED_VALUE"""),1141.21)</f>
        <v>1141.21</v>
      </c>
      <c r="C4030" s="1">
        <f>IFERROR(__xludf.DUMMYFUNCTION("""COMPUTED_VALUE"""),1146.46)</f>
        <v>1146.46</v>
      </c>
      <c r="D4030" s="1">
        <f>IFERROR(__xludf.DUMMYFUNCTION("""COMPUTED_VALUE"""),1135.06)</f>
        <v>1135.06</v>
      </c>
      <c r="E4030" s="1">
        <f>IFERROR(__xludf.DUMMYFUNCTION("""COMPUTED_VALUE"""),1142.24)</f>
        <v>1142.24</v>
      </c>
      <c r="F4030" s="1">
        <f>IFERROR(__xludf.DUMMYFUNCTION("""COMPUTED_VALUE"""),2.27265632E8)</f>
        <v>227265632</v>
      </c>
    </row>
    <row r="4031">
      <c r="A4031" s="2">
        <f>IFERROR(__xludf.DUMMYFUNCTION("""COMPUTED_VALUE"""),37211.666666666664)</f>
        <v>37211.66667</v>
      </c>
      <c r="B4031" s="1">
        <f>IFERROR(__xludf.DUMMYFUNCTION("""COMPUTED_VALUE"""),1142.49)</f>
        <v>1142.49</v>
      </c>
      <c r="C4031" s="1">
        <f>IFERROR(__xludf.DUMMYFUNCTION("""COMPUTED_VALUE"""),1143.52)</f>
        <v>1143.52</v>
      </c>
      <c r="D4031" s="1">
        <f>IFERROR(__xludf.DUMMYFUNCTION("""COMPUTED_VALUE"""),1129.92)</f>
        <v>1129.92</v>
      </c>
      <c r="E4031" s="1">
        <f>IFERROR(__xludf.DUMMYFUNCTION("""COMPUTED_VALUE"""),1138.65)</f>
        <v>1138.65</v>
      </c>
      <c r="F4031" s="1">
        <f>IFERROR(__xludf.DUMMYFUNCTION("""COMPUTED_VALUE"""),2.08968752E8)</f>
        <v>208968752</v>
      </c>
    </row>
    <row r="4032">
      <c r="A4032" s="2">
        <f>IFERROR(__xludf.DUMMYFUNCTION("""COMPUTED_VALUE"""),37214.666666666664)</f>
        <v>37214.66667</v>
      </c>
      <c r="B4032" s="1">
        <f>IFERROR(__xludf.DUMMYFUNCTION("""COMPUTED_VALUE"""),1140.45)</f>
        <v>1140.45</v>
      </c>
      <c r="C4032" s="1">
        <f>IFERROR(__xludf.DUMMYFUNCTION("""COMPUTED_VALUE"""),1151.06)</f>
        <v>1151.06</v>
      </c>
      <c r="D4032" s="1">
        <f>IFERROR(__xludf.DUMMYFUNCTION("""COMPUTED_VALUE"""),1140.08)</f>
        <v>1140.08</v>
      </c>
      <c r="E4032" s="1">
        <f>IFERROR(__xludf.DUMMYFUNCTION("""COMPUTED_VALUE"""),1151.06)</f>
        <v>1151.06</v>
      </c>
      <c r="F4032" s="1">
        <f>IFERROR(__xludf.DUMMYFUNCTION("""COMPUTED_VALUE"""),2.0575E8)</f>
        <v>205750000</v>
      </c>
    </row>
    <row r="4033">
      <c r="A4033" s="2">
        <f>IFERROR(__xludf.DUMMYFUNCTION("""COMPUTED_VALUE"""),37215.666666666664)</f>
        <v>37215.66667</v>
      </c>
      <c r="B4033" s="1">
        <f>IFERROR(__xludf.DUMMYFUNCTION("""COMPUTED_VALUE"""),1149.95)</f>
        <v>1149.95</v>
      </c>
      <c r="C4033" s="1">
        <f>IFERROR(__xludf.DUMMYFUNCTION("""COMPUTED_VALUE"""),1152.45)</f>
        <v>1152.45</v>
      </c>
      <c r="D4033" s="1">
        <f>IFERROR(__xludf.DUMMYFUNCTION("""COMPUTED_VALUE"""),1142.17)</f>
        <v>1142.17</v>
      </c>
      <c r="E4033" s="1">
        <f>IFERROR(__xludf.DUMMYFUNCTION("""COMPUTED_VALUE"""),1142.66)</f>
        <v>1142.66</v>
      </c>
      <c r="F4033" s="1">
        <f>IFERROR(__xludf.DUMMYFUNCTION("""COMPUTED_VALUE"""),2.07843744E8)</f>
        <v>207843744</v>
      </c>
    </row>
    <row r="4034">
      <c r="A4034" s="2">
        <f>IFERROR(__xludf.DUMMYFUNCTION("""COMPUTED_VALUE"""),37216.666666666664)</f>
        <v>37216.66667</v>
      </c>
      <c r="B4034" s="1">
        <f>IFERROR(__xludf.DUMMYFUNCTION("""COMPUTED_VALUE"""),1141.32)</f>
        <v>1141.32</v>
      </c>
      <c r="C4034" s="1">
        <f>IFERROR(__xludf.DUMMYFUNCTION("""COMPUTED_VALUE"""),1141.32)</f>
        <v>1141.32</v>
      </c>
      <c r="D4034" s="1">
        <f>IFERROR(__xludf.DUMMYFUNCTION("""COMPUTED_VALUE"""),1129.78)</f>
        <v>1129.78</v>
      </c>
      <c r="E4034" s="1">
        <f>IFERROR(__xludf.DUMMYFUNCTION("""COMPUTED_VALUE"""),1137.03)</f>
        <v>1137.03</v>
      </c>
      <c r="F4034" s="1">
        <f>IFERROR(__xludf.DUMMYFUNCTION("""COMPUTED_VALUE"""),1.60828128E8)</f>
        <v>160828128</v>
      </c>
    </row>
    <row r="4035">
      <c r="A4035" s="2">
        <f>IFERROR(__xludf.DUMMYFUNCTION("""COMPUTED_VALUE"""),37218.666666666664)</f>
        <v>37218.66667</v>
      </c>
      <c r="B4035" s="1">
        <f>IFERROR(__xludf.DUMMYFUNCTION("""COMPUTED_VALUE"""),1137.62)</f>
        <v>1137.62</v>
      </c>
      <c r="C4035" s="1">
        <f>IFERROR(__xludf.DUMMYFUNCTION("""COMPUTED_VALUE"""),1151.05)</f>
        <v>1151.05</v>
      </c>
      <c r="D4035" s="1">
        <f>IFERROR(__xludf.DUMMYFUNCTION("""COMPUTED_VALUE"""),1135.9)</f>
        <v>1135.9</v>
      </c>
      <c r="E4035" s="1">
        <f>IFERROR(__xludf.DUMMYFUNCTION("""COMPUTED_VALUE"""),1150.34)</f>
        <v>1150.34</v>
      </c>
      <c r="F4035" s="1">
        <f>IFERROR(__xludf.DUMMYFUNCTION("""COMPUTED_VALUE"""),6.4109376E7)</f>
        <v>64109376</v>
      </c>
    </row>
    <row r="4036">
      <c r="A4036" s="2">
        <f>IFERROR(__xludf.DUMMYFUNCTION("""COMPUTED_VALUE"""),37221.666666666664)</f>
        <v>37221.66667</v>
      </c>
      <c r="B4036" s="1">
        <f>IFERROR(__xludf.DUMMYFUNCTION("""COMPUTED_VALUE"""),1150.34)</f>
        <v>1150.34</v>
      </c>
      <c r="C4036" s="1">
        <f>IFERROR(__xludf.DUMMYFUNCTION("""COMPUTED_VALUE"""),1157.88)</f>
        <v>1157.88</v>
      </c>
      <c r="D4036" s="1">
        <f>IFERROR(__xludf.DUMMYFUNCTION("""COMPUTED_VALUE"""),1146.17)</f>
        <v>1146.17</v>
      </c>
      <c r="E4036" s="1">
        <f>IFERROR(__xludf.DUMMYFUNCTION("""COMPUTED_VALUE"""),1157.42)</f>
        <v>1157.42</v>
      </c>
      <c r="F4036" s="1">
        <f>IFERROR(__xludf.DUMMYFUNCTION("""COMPUTED_VALUE"""),1.76531248E8)</f>
        <v>176531248</v>
      </c>
    </row>
    <row r="4037">
      <c r="A4037" s="2">
        <f>IFERROR(__xludf.DUMMYFUNCTION("""COMPUTED_VALUE"""),37222.666666666664)</f>
        <v>37222.66667</v>
      </c>
      <c r="B4037" s="1">
        <f>IFERROR(__xludf.DUMMYFUNCTION("""COMPUTED_VALUE"""),1156.07)</f>
        <v>1156.07</v>
      </c>
      <c r="C4037" s="1">
        <f>IFERROR(__xludf.DUMMYFUNCTION("""COMPUTED_VALUE"""),1163.38)</f>
        <v>1163.38</v>
      </c>
      <c r="D4037" s="1">
        <f>IFERROR(__xludf.DUMMYFUNCTION("""COMPUTED_VALUE"""),1140.81)</f>
        <v>1140.81</v>
      </c>
      <c r="E4037" s="1">
        <f>IFERROR(__xludf.DUMMYFUNCTION("""COMPUTED_VALUE"""),1149.5)</f>
        <v>1149.5</v>
      </c>
      <c r="F4037" s="1">
        <f>IFERROR(__xludf.DUMMYFUNCTION("""COMPUTED_VALUE"""),2.0125E8)</f>
        <v>201250000</v>
      </c>
    </row>
    <row r="4038">
      <c r="A4038" s="2">
        <f>IFERROR(__xludf.DUMMYFUNCTION("""COMPUTED_VALUE"""),37223.666666666664)</f>
        <v>37223.66667</v>
      </c>
      <c r="B4038" s="1">
        <f>IFERROR(__xludf.DUMMYFUNCTION("""COMPUTED_VALUE"""),1148.1)</f>
        <v>1148.1</v>
      </c>
      <c r="C4038" s="1">
        <f>IFERROR(__xludf.DUMMYFUNCTION("""COMPUTED_VALUE"""),1148.1)</f>
        <v>1148.1</v>
      </c>
      <c r="D4038" s="1">
        <f>IFERROR(__xludf.DUMMYFUNCTION("""COMPUTED_VALUE"""),1128.29)</f>
        <v>1128.29</v>
      </c>
      <c r="E4038" s="1">
        <f>IFERROR(__xludf.DUMMYFUNCTION("""COMPUTED_VALUE"""),1128.52)</f>
        <v>1128.52</v>
      </c>
      <c r="F4038" s="1">
        <f>IFERROR(__xludf.DUMMYFUNCTION("""COMPUTED_VALUE"""),2.2245312E8)</f>
        <v>222453120</v>
      </c>
    </row>
    <row r="4039">
      <c r="A4039" s="2">
        <f>IFERROR(__xludf.DUMMYFUNCTION("""COMPUTED_VALUE"""),37224.666666666664)</f>
        <v>37224.66667</v>
      </c>
      <c r="B4039" s="1">
        <f>IFERROR(__xludf.DUMMYFUNCTION("""COMPUTED_VALUE"""),1130.02)</f>
        <v>1130.02</v>
      </c>
      <c r="C4039" s="1">
        <f>IFERROR(__xludf.DUMMYFUNCTION("""COMPUTED_VALUE"""),1140.4)</f>
        <v>1140.4</v>
      </c>
      <c r="D4039" s="1">
        <f>IFERROR(__xludf.DUMMYFUNCTION("""COMPUTED_VALUE"""),1125.51)</f>
        <v>1125.51</v>
      </c>
      <c r="E4039" s="1">
        <f>IFERROR(__xludf.DUMMYFUNCTION("""COMPUTED_VALUE"""),1140.2)</f>
        <v>1140.2</v>
      </c>
      <c r="F4039" s="1">
        <f>IFERROR(__xludf.DUMMYFUNCTION("""COMPUTED_VALUE"""),2.1495312E8)</f>
        <v>214953120</v>
      </c>
    </row>
    <row r="4040">
      <c r="A4040" s="2">
        <f>IFERROR(__xludf.DUMMYFUNCTION("""COMPUTED_VALUE"""),37225.666666666664)</f>
        <v>37225.66667</v>
      </c>
      <c r="B4040" s="1">
        <f>IFERROR(__xludf.DUMMYFUNCTION("""COMPUTED_VALUE"""),1140.19)</f>
        <v>1140.19</v>
      </c>
      <c r="C4040" s="1">
        <f>IFERROR(__xludf.DUMMYFUNCTION("""COMPUTED_VALUE"""),1143.57)</f>
        <v>1143.57</v>
      </c>
      <c r="D4040" s="1">
        <f>IFERROR(__xludf.DUMMYFUNCTION("""COMPUTED_VALUE"""),1135.89)</f>
        <v>1135.89</v>
      </c>
      <c r="E4040" s="1">
        <f>IFERROR(__xludf.DUMMYFUNCTION("""COMPUTED_VALUE"""),1139.45)</f>
        <v>1139.45</v>
      </c>
      <c r="F4040" s="1">
        <f>IFERROR(__xludf.DUMMYFUNCTION("""COMPUTED_VALUE"""),2.09937504E8)</f>
        <v>209937504</v>
      </c>
    </row>
    <row r="4041">
      <c r="A4041" s="2">
        <f>IFERROR(__xludf.DUMMYFUNCTION("""COMPUTED_VALUE"""),37228.666666666664)</f>
        <v>37228.66667</v>
      </c>
      <c r="B4041" s="1">
        <f>IFERROR(__xludf.DUMMYFUNCTION("""COMPUTED_VALUE"""),1137.53)</f>
        <v>1137.53</v>
      </c>
      <c r="C4041" s="1">
        <f>IFERROR(__xludf.DUMMYFUNCTION("""COMPUTED_VALUE"""),1137.53)</f>
        <v>1137.53</v>
      </c>
      <c r="D4041" s="1">
        <f>IFERROR(__xludf.DUMMYFUNCTION("""COMPUTED_VALUE"""),1125.78)</f>
        <v>1125.78</v>
      </c>
      <c r="E4041" s="1">
        <f>IFERROR(__xludf.DUMMYFUNCTION("""COMPUTED_VALUE"""),1129.9)</f>
        <v>1129.9</v>
      </c>
      <c r="F4041" s="1">
        <f>IFERROR(__xludf.DUMMYFUNCTION("""COMPUTED_VALUE"""),1.8795312E8)</f>
        <v>187953120</v>
      </c>
    </row>
    <row r="4042">
      <c r="A4042" s="2">
        <f>IFERROR(__xludf.DUMMYFUNCTION("""COMPUTED_VALUE"""),37229.666666666664)</f>
        <v>37229.66667</v>
      </c>
      <c r="B4042" s="1">
        <f>IFERROR(__xludf.DUMMYFUNCTION("""COMPUTED_VALUE"""),1131.75)</f>
        <v>1131.75</v>
      </c>
      <c r="C4042" s="1">
        <f>IFERROR(__xludf.DUMMYFUNCTION("""COMPUTED_VALUE"""),1144.8)</f>
        <v>1144.8</v>
      </c>
      <c r="D4042" s="1">
        <f>IFERROR(__xludf.DUMMYFUNCTION("""COMPUTED_VALUE"""),1128.86)</f>
        <v>1128.86</v>
      </c>
      <c r="E4042" s="1">
        <f>IFERROR(__xludf.DUMMYFUNCTION("""COMPUTED_VALUE"""),1144.8)</f>
        <v>1144.8</v>
      </c>
      <c r="F4042" s="1">
        <f>IFERROR(__xludf.DUMMYFUNCTION("""COMPUTED_VALUE"""),2.06015632E8)</f>
        <v>206015632</v>
      </c>
    </row>
    <row r="4043">
      <c r="A4043" s="2">
        <f>IFERROR(__xludf.DUMMYFUNCTION("""COMPUTED_VALUE"""),37230.666666666664)</f>
        <v>37230.66667</v>
      </c>
      <c r="B4043" s="1">
        <f>IFERROR(__xludf.DUMMYFUNCTION("""COMPUTED_VALUE"""),1145.05)</f>
        <v>1145.05</v>
      </c>
      <c r="C4043" s="1">
        <f>IFERROR(__xludf.DUMMYFUNCTION("""COMPUTED_VALUE"""),1173.62)</f>
        <v>1173.62</v>
      </c>
      <c r="D4043" s="1">
        <f>IFERROR(__xludf.DUMMYFUNCTION("""COMPUTED_VALUE"""),1145.05)</f>
        <v>1145.05</v>
      </c>
      <c r="E4043" s="1">
        <f>IFERROR(__xludf.DUMMYFUNCTION("""COMPUTED_VALUE"""),1170.35)</f>
        <v>1170.35</v>
      </c>
      <c r="F4043" s="1">
        <f>IFERROR(__xludf.DUMMYFUNCTION("""COMPUTED_VALUE"""),2.75828128E8)</f>
        <v>275828128</v>
      </c>
    </row>
    <row r="4044">
      <c r="A4044" s="2">
        <f>IFERROR(__xludf.DUMMYFUNCTION("""COMPUTED_VALUE"""),37231.666666666664)</f>
        <v>37231.66667</v>
      </c>
      <c r="B4044" s="1">
        <f>IFERROR(__xludf.DUMMYFUNCTION("""COMPUTED_VALUE"""),1170.35)</f>
        <v>1170.35</v>
      </c>
      <c r="C4044" s="1">
        <f>IFERROR(__xludf.DUMMYFUNCTION("""COMPUTED_VALUE"""),1173.35)</f>
        <v>1173.35</v>
      </c>
      <c r="D4044" s="1">
        <f>IFERROR(__xludf.DUMMYFUNCTION("""COMPUTED_VALUE"""),1164.43)</f>
        <v>1164.43</v>
      </c>
      <c r="E4044" s="1">
        <f>IFERROR(__xludf.DUMMYFUNCTION("""COMPUTED_VALUE"""),1167.1)</f>
        <v>1167.1</v>
      </c>
      <c r="F4044" s="1">
        <f>IFERROR(__xludf.DUMMYFUNCTION("""COMPUTED_VALUE"""),2.32484368E8)</f>
        <v>232484368</v>
      </c>
    </row>
    <row r="4045">
      <c r="A4045" s="2">
        <f>IFERROR(__xludf.DUMMYFUNCTION("""COMPUTED_VALUE"""),37232.666666666664)</f>
        <v>37232.66667</v>
      </c>
      <c r="B4045" s="1">
        <f>IFERROR(__xludf.DUMMYFUNCTION("""COMPUTED_VALUE"""),1166.81)</f>
        <v>1166.81</v>
      </c>
      <c r="C4045" s="1">
        <f>IFERROR(__xludf.DUMMYFUNCTION("""COMPUTED_VALUE"""),1166.81)</f>
        <v>1166.81</v>
      </c>
      <c r="D4045" s="1">
        <f>IFERROR(__xludf.DUMMYFUNCTION("""COMPUTED_VALUE"""),1152.66)</f>
        <v>1152.66</v>
      </c>
      <c r="E4045" s="1">
        <f>IFERROR(__xludf.DUMMYFUNCTION("""COMPUTED_VALUE"""),1158.31)</f>
        <v>1158.31</v>
      </c>
      <c r="F4045" s="1">
        <f>IFERROR(__xludf.DUMMYFUNCTION("""COMPUTED_VALUE"""),1.95031248E8)</f>
        <v>195031248</v>
      </c>
    </row>
    <row r="4046">
      <c r="A4046" s="2">
        <f>IFERROR(__xludf.DUMMYFUNCTION("""COMPUTED_VALUE"""),37235.666666666664)</f>
        <v>37235.66667</v>
      </c>
      <c r="B4046" s="1">
        <f>IFERROR(__xludf.DUMMYFUNCTION("""COMPUTED_VALUE"""),1156.54)</f>
        <v>1156.54</v>
      </c>
      <c r="C4046" s="1">
        <f>IFERROR(__xludf.DUMMYFUNCTION("""COMPUTED_VALUE"""),1158.14)</f>
        <v>1158.14</v>
      </c>
      <c r="D4046" s="1">
        <f>IFERROR(__xludf.DUMMYFUNCTION("""COMPUTED_VALUE"""),1139.66)</f>
        <v>1139.66</v>
      </c>
      <c r="E4046" s="1">
        <f>IFERROR(__xludf.DUMMYFUNCTION("""COMPUTED_VALUE"""),1139.93)</f>
        <v>1139.93</v>
      </c>
      <c r="F4046" s="1">
        <f>IFERROR(__xludf.DUMMYFUNCTION("""COMPUTED_VALUE"""),1.90421872E8)</f>
        <v>190421872</v>
      </c>
    </row>
    <row r="4047">
      <c r="A4047" s="2">
        <f>IFERROR(__xludf.DUMMYFUNCTION("""COMPUTED_VALUE"""),37236.666666666664)</f>
        <v>37236.66667</v>
      </c>
      <c r="B4047" s="1">
        <f>IFERROR(__xludf.DUMMYFUNCTION("""COMPUTED_VALUE"""),1141.18)</f>
        <v>1141.18</v>
      </c>
      <c r="C4047" s="1">
        <f>IFERROR(__xludf.DUMMYFUNCTION("""COMPUTED_VALUE"""),1150.89)</f>
        <v>1150.89</v>
      </c>
      <c r="D4047" s="1">
        <f>IFERROR(__xludf.DUMMYFUNCTION("""COMPUTED_VALUE"""),1134.32)</f>
        <v>1134.32</v>
      </c>
      <c r="E4047" s="1">
        <f>IFERROR(__xludf.DUMMYFUNCTION("""COMPUTED_VALUE"""),1136.76)</f>
        <v>1136.76</v>
      </c>
      <c r="F4047" s="1">
        <f>IFERROR(__xludf.DUMMYFUNCTION("""COMPUTED_VALUE"""),2.13624992E8)</f>
        <v>213624992</v>
      </c>
    </row>
    <row r="4048">
      <c r="A4048" s="2">
        <f>IFERROR(__xludf.DUMMYFUNCTION("""COMPUTED_VALUE"""),37237.666666666664)</f>
        <v>37237.66667</v>
      </c>
      <c r="B4048" s="1">
        <f>IFERROR(__xludf.DUMMYFUNCTION("""COMPUTED_VALUE"""),1136.83)</f>
        <v>1136.83</v>
      </c>
      <c r="C4048" s="1">
        <f>IFERROR(__xludf.DUMMYFUNCTION("""COMPUTED_VALUE"""),1141.58)</f>
        <v>1141.58</v>
      </c>
      <c r="D4048" s="1">
        <f>IFERROR(__xludf.DUMMYFUNCTION("""COMPUTED_VALUE"""),1126.01)</f>
        <v>1126.01</v>
      </c>
      <c r="E4048" s="1">
        <f>IFERROR(__xludf.DUMMYFUNCTION("""COMPUTED_VALUE"""),1137.07)</f>
        <v>1137.07</v>
      </c>
      <c r="F4048" s="1">
        <f>IFERROR(__xludf.DUMMYFUNCTION("""COMPUTED_VALUE"""),2.26515632E8)</f>
        <v>226515632</v>
      </c>
    </row>
    <row r="4049">
      <c r="A4049" s="2">
        <f>IFERROR(__xludf.DUMMYFUNCTION("""COMPUTED_VALUE"""),37238.666666666664)</f>
        <v>37238.66667</v>
      </c>
      <c r="B4049" s="1">
        <f>IFERROR(__xludf.DUMMYFUNCTION("""COMPUTED_VALUE"""),1133.2)</f>
        <v>1133.2</v>
      </c>
      <c r="C4049" s="1">
        <f>IFERROR(__xludf.DUMMYFUNCTION("""COMPUTED_VALUE"""),1133.2)</f>
        <v>1133.2</v>
      </c>
      <c r="D4049" s="1">
        <f>IFERROR(__xludf.DUMMYFUNCTION("""COMPUTED_VALUE"""),1117.85)</f>
        <v>1117.85</v>
      </c>
      <c r="E4049" s="1">
        <f>IFERROR(__xludf.DUMMYFUNCTION("""COMPUTED_VALUE"""),1119.38)</f>
        <v>1119.38</v>
      </c>
      <c r="F4049" s="1">
        <f>IFERROR(__xludf.DUMMYFUNCTION("""COMPUTED_VALUE"""),2.36171872E8)</f>
        <v>236171872</v>
      </c>
    </row>
    <row r="4050">
      <c r="A4050" s="2">
        <f>IFERROR(__xludf.DUMMYFUNCTION("""COMPUTED_VALUE"""),37239.666666666664)</f>
        <v>37239.66667</v>
      </c>
      <c r="B4050" s="1">
        <f>IFERROR(__xludf.DUMMYFUNCTION("""COMPUTED_VALUE"""),1119.01)</f>
        <v>1119.01</v>
      </c>
      <c r="C4050" s="1">
        <f>IFERROR(__xludf.DUMMYFUNCTION("""COMPUTED_VALUE"""),1128.28)</f>
        <v>1128.28</v>
      </c>
      <c r="D4050" s="1">
        <f>IFERROR(__xludf.DUMMYFUNCTION("""COMPUTED_VALUE"""),1104.5)</f>
        <v>1104.5</v>
      </c>
      <c r="E4050" s="1">
        <f>IFERROR(__xludf.DUMMYFUNCTION("""COMPUTED_VALUE"""),1123.07)</f>
        <v>1123.07</v>
      </c>
      <c r="F4050" s="1">
        <f>IFERROR(__xludf.DUMMYFUNCTION("""COMPUTED_VALUE"""),2.04187504E8)</f>
        <v>204187504</v>
      </c>
    </row>
    <row r="4051">
      <c r="A4051" s="2">
        <f>IFERROR(__xludf.DUMMYFUNCTION("""COMPUTED_VALUE"""),37242.666666666664)</f>
        <v>37242.66667</v>
      </c>
      <c r="B4051" s="1">
        <f>IFERROR(__xludf.DUMMYFUNCTION("""COMPUTED_VALUE"""),1122.34)</f>
        <v>1122.34</v>
      </c>
      <c r="C4051" s="1">
        <f>IFERROR(__xludf.DUMMYFUNCTION("""COMPUTED_VALUE"""),1137.36)</f>
        <v>1137.36</v>
      </c>
      <c r="D4051" s="1">
        <f>IFERROR(__xludf.DUMMYFUNCTION("""COMPUTED_VALUE"""),1122.34)</f>
        <v>1122.34</v>
      </c>
      <c r="E4051" s="1">
        <f>IFERROR(__xludf.DUMMYFUNCTION("""COMPUTED_VALUE"""),1134.36)</f>
        <v>1134.36</v>
      </c>
      <c r="F4051" s="1">
        <f>IFERROR(__xludf.DUMMYFUNCTION("""COMPUTED_VALUE"""),1.96937504E8)</f>
        <v>196937504</v>
      </c>
    </row>
    <row r="4052">
      <c r="A4052" s="2">
        <f>IFERROR(__xludf.DUMMYFUNCTION("""COMPUTED_VALUE"""),37243.666666666664)</f>
        <v>37243.66667</v>
      </c>
      <c r="B4052" s="1">
        <f>IFERROR(__xludf.DUMMYFUNCTION("""COMPUTED_VALUE"""),1135.41)</f>
        <v>1135.41</v>
      </c>
      <c r="C4052" s="1">
        <f>IFERROR(__xludf.DUMMYFUNCTION("""COMPUTED_VALUE"""),1145.1)</f>
        <v>1145.1</v>
      </c>
      <c r="D4052" s="1">
        <f>IFERROR(__xludf.DUMMYFUNCTION("""COMPUTED_VALUE"""),1135.41)</f>
        <v>1135.41</v>
      </c>
      <c r="E4052" s="1">
        <f>IFERROR(__xludf.DUMMYFUNCTION("""COMPUTED_VALUE"""),1142.92)</f>
        <v>1142.92</v>
      </c>
      <c r="F4052" s="1">
        <f>IFERROR(__xludf.DUMMYFUNCTION("""COMPUTED_VALUE"""),2.11562496E8)</f>
        <v>211562496</v>
      </c>
    </row>
    <row r="4053">
      <c r="A4053" s="2">
        <f>IFERROR(__xludf.DUMMYFUNCTION("""COMPUTED_VALUE"""),37244.666666666664)</f>
        <v>37244.66667</v>
      </c>
      <c r="B4053" s="1">
        <f>IFERROR(__xludf.DUMMYFUNCTION("""COMPUTED_VALUE"""),1140.12)</f>
        <v>1140.12</v>
      </c>
      <c r="C4053" s="1">
        <f>IFERROR(__xludf.DUMMYFUNCTION("""COMPUTED_VALUE"""),1152.44)</f>
        <v>1152.44</v>
      </c>
      <c r="D4053" s="1">
        <f>IFERROR(__xludf.DUMMYFUNCTION("""COMPUTED_VALUE"""),1134.75)</f>
        <v>1134.75</v>
      </c>
      <c r="E4053" s="1">
        <f>IFERROR(__xludf.DUMMYFUNCTION("""COMPUTED_VALUE"""),1149.56)</f>
        <v>1149.56</v>
      </c>
      <c r="F4053" s="1">
        <f>IFERROR(__xludf.DUMMYFUNCTION("""COMPUTED_VALUE"""),2.32015632E8)</f>
        <v>232015632</v>
      </c>
    </row>
    <row r="4054">
      <c r="A4054" s="2">
        <f>IFERROR(__xludf.DUMMYFUNCTION("""COMPUTED_VALUE"""),37245.666666666664)</f>
        <v>37245.66667</v>
      </c>
      <c r="B4054" s="1">
        <f>IFERROR(__xludf.DUMMYFUNCTION("""COMPUTED_VALUE"""),1147.86)</f>
        <v>1147.86</v>
      </c>
      <c r="C4054" s="1">
        <f>IFERROR(__xludf.DUMMYFUNCTION("""COMPUTED_VALUE"""),1151.42)</f>
        <v>1151.42</v>
      </c>
      <c r="D4054" s="1">
        <f>IFERROR(__xludf.DUMMYFUNCTION("""COMPUTED_VALUE"""),1139.93)</f>
        <v>1139.93</v>
      </c>
      <c r="E4054" s="1">
        <f>IFERROR(__xludf.DUMMYFUNCTION("""COMPUTED_VALUE"""),1139.93)</f>
        <v>1139.93</v>
      </c>
      <c r="F4054" s="1">
        <f>IFERROR(__xludf.DUMMYFUNCTION("""COMPUTED_VALUE"""),2.32890624E8)</f>
        <v>232890624</v>
      </c>
    </row>
    <row r="4055">
      <c r="A4055" s="2">
        <f>IFERROR(__xludf.DUMMYFUNCTION("""COMPUTED_VALUE"""),37246.666666666664)</f>
        <v>37246.66667</v>
      </c>
      <c r="B4055" s="1">
        <f>IFERROR(__xludf.DUMMYFUNCTION("""COMPUTED_VALUE"""),1139.93)</f>
        <v>1139.93</v>
      </c>
      <c r="C4055" s="1">
        <f>IFERROR(__xludf.DUMMYFUNCTION("""COMPUTED_VALUE"""),1147.83)</f>
        <v>1147.83</v>
      </c>
      <c r="D4055" s="1">
        <f>IFERROR(__xludf.DUMMYFUNCTION("""COMPUTED_VALUE"""),1139.93)</f>
        <v>1139.93</v>
      </c>
      <c r="E4055" s="1">
        <f>IFERROR(__xludf.DUMMYFUNCTION("""COMPUTED_VALUE"""),1144.89)</f>
        <v>1144.89</v>
      </c>
      <c r="F4055" s="1">
        <f>IFERROR(__xludf.DUMMYFUNCTION("""COMPUTED_VALUE"""),2.64687504E8)</f>
        <v>264687504</v>
      </c>
    </row>
    <row r="4056">
      <c r="A4056" s="2">
        <f>IFERROR(__xludf.DUMMYFUNCTION("""COMPUTED_VALUE"""),37249.666666666664)</f>
        <v>37249.66667</v>
      </c>
      <c r="B4056" s="1">
        <f>IFERROR(__xludf.DUMMYFUNCTION("""COMPUTED_VALUE"""),1145.19)</f>
        <v>1145.19</v>
      </c>
      <c r="C4056" s="1">
        <f>IFERROR(__xludf.DUMMYFUNCTION("""COMPUTED_VALUE"""),1147.83)</f>
        <v>1147.83</v>
      </c>
      <c r="D4056" s="1">
        <f>IFERROR(__xludf.DUMMYFUNCTION("""COMPUTED_VALUE"""),1144.62)</f>
        <v>1144.62</v>
      </c>
      <c r="E4056" s="1">
        <f>IFERROR(__xludf.DUMMYFUNCTION("""COMPUTED_VALUE"""),1144.65)</f>
        <v>1144.65</v>
      </c>
      <c r="F4056" s="1">
        <f>IFERROR(__xludf.DUMMYFUNCTION("""COMPUTED_VALUE"""),6.869844E7)</f>
        <v>68698440</v>
      </c>
    </row>
    <row r="4057">
      <c r="A4057" s="2">
        <f>IFERROR(__xludf.DUMMYFUNCTION("""COMPUTED_VALUE"""),37251.666666666664)</f>
        <v>37251.66667</v>
      </c>
      <c r="B4057" s="1">
        <f>IFERROR(__xludf.DUMMYFUNCTION("""COMPUTED_VALUE"""),1145.06)</f>
        <v>1145.06</v>
      </c>
      <c r="C4057" s="1">
        <f>IFERROR(__xludf.DUMMYFUNCTION("""COMPUTED_VALUE"""),1159.18)</f>
        <v>1159.18</v>
      </c>
      <c r="D4057" s="1">
        <f>IFERROR(__xludf.DUMMYFUNCTION("""COMPUTED_VALUE"""),1145.06)</f>
        <v>1145.06</v>
      </c>
      <c r="E4057" s="1">
        <f>IFERROR(__xludf.DUMMYFUNCTION("""COMPUTED_VALUE"""),1149.37)</f>
        <v>1149.37</v>
      </c>
      <c r="F4057" s="1">
        <f>IFERROR(__xludf.DUMMYFUNCTION("""COMPUTED_VALUE"""),1.23609376E8)</f>
        <v>123609376</v>
      </c>
    </row>
    <row r="4058">
      <c r="A4058" s="2">
        <f>IFERROR(__xludf.DUMMYFUNCTION("""COMPUTED_VALUE"""),37252.666666666664)</f>
        <v>37252.66667</v>
      </c>
      <c r="B4058" s="1">
        <f>IFERROR(__xludf.DUMMYFUNCTION("""COMPUTED_VALUE"""),1145.06)</f>
        <v>1145.06</v>
      </c>
      <c r="C4058" s="1">
        <f>IFERROR(__xludf.DUMMYFUNCTION("""COMPUTED_VALUE"""),1159.18)</f>
        <v>1159.18</v>
      </c>
      <c r="D4058" s="1">
        <f>IFERROR(__xludf.DUMMYFUNCTION("""COMPUTED_VALUE"""),1145.06)</f>
        <v>1145.06</v>
      </c>
      <c r="E4058" s="1">
        <f>IFERROR(__xludf.DUMMYFUNCTION("""COMPUTED_VALUE"""),1157.13)</f>
        <v>1157.13</v>
      </c>
      <c r="F4058" s="1">
        <f>IFERROR(__xludf.DUMMYFUNCTION("""COMPUTED_VALUE"""),1.36921872E8)</f>
        <v>136921872</v>
      </c>
    </row>
    <row r="4059">
      <c r="A4059" s="2">
        <f>IFERROR(__xludf.DUMMYFUNCTION("""COMPUTED_VALUE"""),37253.666666666664)</f>
        <v>37253.66667</v>
      </c>
      <c r="B4059" s="1">
        <f>IFERROR(__xludf.DUMMYFUNCTION("""COMPUTED_VALUE"""),1158.35)</f>
        <v>1158.35</v>
      </c>
      <c r="C4059" s="1">
        <f>IFERROR(__xludf.DUMMYFUNCTION("""COMPUTED_VALUE"""),1164.64)</f>
        <v>1164.64</v>
      </c>
      <c r="D4059" s="1">
        <f>IFERROR(__xludf.DUMMYFUNCTION("""COMPUTED_VALUE"""),1157.8)</f>
        <v>1157.8</v>
      </c>
      <c r="E4059" s="1">
        <f>IFERROR(__xludf.DUMMYFUNCTION("""COMPUTED_VALUE"""),1161.02)</f>
        <v>1161.02</v>
      </c>
      <c r="F4059" s="1">
        <f>IFERROR(__xludf.DUMMYFUNCTION("""COMPUTED_VALUE"""),1.43343744E8)</f>
        <v>143343744</v>
      </c>
    </row>
    <row r="4060">
      <c r="A4060" s="2">
        <f>IFERROR(__xludf.DUMMYFUNCTION("""COMPUTED_VALUE"""),37256.666666666664)</f>
        <v>37256.66667</v>
      </c>
      <c r="B4060" s="1">
        <f>IFERROR(__xludf.DUMMYFUNCTION("""COMPUTED_VALUE"""),1160.19)</f>
        <v>1160.19</v>
      </c>
      <c r="C4060" s="1">
        <f>IFERROR(__xludf.DUMMYFUNCTION("""COMPUTED_VALUE"""),1161.16)</f>
        <v>1161.16</v>
      </c>
      <c r="D4060" s="1">
        <f>IFERROR(__xludf.DUMMYFUNCTION("""COMPUTED_VALUE"""),1148.04)</f>
        <v>1148.04</v>
      </c>
      <c r="E4060" s="1">
        <f>IFERROR(__xludf.DUMMYFUNCTION("""COMPUTED_VALUE"""),1148.08)</f>
        <v>1148.08</v>
      </c>
      <c r="F4060" s="1">
        <f>IFERROR(__xludf.DUMMYFUNCTION("""COMPUTED_VALUE"""),1.47437504E8)</f>
        <v>147437504</v>
      </c>
    </row>
    <row r="4061">
      <c r="A4061" s="2">
        <f>IFERROR(__xludf.DUMMYFUNCTION("""COMPUTED_VALUE"""),37258.666666666664)</f>
        <v>37258.66667</v>
      </c>
      <c r="B4061" s="1">
        <f>IFERROR(__xludf.DUMMYFUNCTION("""COMPUTED_VALUE"""),1149.97)</f>
        <v>1149.97</v>
      </c>
      <c r="C4061" s="1">
        <f>IFERROR(__xludf.DUMMYFUNCTION("""COMPUTED_VALUE"""),1154.67)</f>
        <v>1154.67</v>
      </c>
      <c r="D4061" s="1">
        <f>IFERROR(__xludf.DUMMYFUNCTION("""COMPUTED_VALUE"""),1136.23)</f>
        <v>1136.23</v>
      </c>
      <c r="E4061" s="1">
        <f>IFERROR(__xludf.DUMMYFUNCTION("""COMPUTED_VALUE"""),1154.67)</f>
        <v>1154.67</v>
      </c>
      <c r="F4061" s="1">
        <f>IFERROR(__xludf.DUMMYFUNCTION("""COMPUTED_VALUE"""),1.82968752E8)</f>
        <v>182968752</v>
      </c>
    </row>
    <row r="4062">
      <c r="A4062" s="2">
        <f>IFERROR(__xludf.DUMMYFUNCTION("""COMPUTED_VALUE"""),37259.666666666664)</f>
        <v>37259.66667</v>
      </c>
      <c r="B4062" s="1">
        <f>IFERROR(__xludf.DUMMYFUNCTION("""COMPUTED_VALUE"""),1155.72)</f>
        <v>1155.72</v>
      </c>
      <c r="C4062" s="1">
        <f>IFERROR(__xludf.DUMMYFUNCTION("""COMPUTED_VALUE"""),1165.27)</f>
        <v>1165.27</v>
      </c>
      <c r="D4062" s="1">
        <f>IFERROR(__xludf.DUMMYFUNCTION("""COMPUTED_VALUE"""),1154.01)</f>
        <v>1154.01</v>
      </c>
      <c r="E4062" s="1">
        <f>IFERROR(__xludf.DUMMYFUNCTION("""COMPUTED_VALUE"""),1165.27)</f>
        <v>1165.27</v>
      </c>
      <c r="F4062" s="1">
        <f>IFERROR(__xludf.DUMMYFUNCTION("""COMPUTED_VALUE"""),2.18578128E8)</f>
        <v>218578128</v>
      </c>
    </row>
    <row r="4063">
      <c r="A4063" s="2">
        <f>IFERROR(__xludf.DUMMYFUNCTION("""COMPUTED_VALUE"""),37260.666666666664)</f>
        <v>37260.66667</v>
      </c>
      <c r="B4063" s="1">
        <f>IFERROR(__xludf.DUMMYFUNCTION("""COMPUTED_VALUE"""),1167.1)</f>
        <v>1167.1</v>
      </c>
      <c r="C4063" s="1">
        <f>IFERROR(__xludf.DUMMYFUNCTION("""COMPUTED_VALUE"""),1176.55)</f>
        <v>1176.55</v>
      </c>
      <c r="D4063" s="1">
        <f>IFERROR(__xludf.DUMMYFUNCTION("""COMPUTED_VALUE"""),1163.42)</f>
        <v>1163.42</v>
      </c>
      <c r="E4063" s="1">
        <f>IFERROR(__xludf.DUMMYFUNCTION("""COMPUTED_VALUE"""),1172.51)</f>
        <v>1172.51</v>
      </c>
      <c r="F4063" s="1">
        <f>IFERROR(__xludf.DUMMYFUNCTION("""COMPUTED_VALUE"""),2.36406256E8)</f>
        <v>236406256</v>
      </c>
    </row>
    <row r="4064">
      <c r="A4064" s="2">
        <f>IFERROR(__xludf.DUMMYFUNCTION("""COMPUTED_VALUE"""),37263.666666666664)</f>
        <v>37263.66667</v>
      </c>
      <c r="B4064" s="1">
        <f>IFERROR(__xludf.DUMMYFUNCTION("""COMPUTED_VALUE"""),1173.96)</f>
        <v>1173.96</v>
      </c>
      <c r="C4064" s="1">
        <f>IFERROR(__xludf.DUMMYFUNCTION("""COMPUTED_VALUE"""),1176.97)</f>
        <v>1176.97</v>
      </c>
      <c r="D4064" s="1">
        <f>IFERROR(__xludf.DUMMYFUNCTION("""COMPUTED_VALUE"""),1163.55)</f>
        <v>1163.55</v>
      </c>
      <c r="E4064" s="1">
        <f>IFERROR(__xludf.DUMMYFUNCTION("""COMPUTED_VALUE"""),1164.89)</f>
        <v>1164.89</v>
      </c>
      <c r="F4064" s="1">
        <f>IFERROR(__xludf.DUMMYFUNCTION("""COMPUTED_VALUE"""),2.04421872E8)</f>
        <v>204421872</v>
      </c>
    </row>
    <row r="4065">
      <c r="A4065" s="2">
        <f>IFERROR(__xludf.DUMMYFUNCTION("""COMPUTED_VALUE"""),37264.666666666664)</f>
        <v>37264.66667</v>
      </c>
      <c r="B4065" s="1">
        <f>IFERROR(__xludf.DUMMYFUNCTION("""COMPUTED_VALUE"""),1165.22)</f>
        <v>1165.22</v>
      </c>
      <c r="C4065" s="1">
        <f>IFERROR(__xludf.DUMMYFUNCTION("""COMPUTED_VALUE"""),1167.6)</f>
        <v>1167.6</v>
      </c>
      <c r="D4065" s="1">
        <f>IFERROR(__xludf.DUMMYFUNCTION("""COMPUTED_VALUE"""),1157.46)</f>
        <v>1157.46</v>
      </c>
      <c r="E4065" s="1">
        <f>IFERROR(__xludf.DUMMYFUNCTION("""COMPUTED_VALUE"""),1160.71)</f>
        <v>1160.71</v>
      </c>
      <c r="F4065" s="1">
        <f>IFERROR(__xludf.DUMMYFUNCTION("""COMPUTED_VALUE"""),1.96687504E8)</f>
        <v>196687504</v>
      </c>
    </row>
    <row r="4066">
      <c r="A4066" s="2">
        <f>IFERROR(__xludf.DUMMYFUNCTION("""COMPUTED_VALUE"""),37265.666666666664)</f>
        <v>37265.66667</v>
      </c>
      <c r="B4066" s="1">
        <f>IFERROR(__xludf.DUMMYFUNCTION("""COMPUTED_VALUE"""),1162.29)</f>
        <v>1162.29</v>
      </c>
      <c r="C4066" s="1">
        <f>IFERROR(__xludf.DUMMYFUNCTION("""COMPUTED_VALUE"""),1174.26)</f>
        <v>1174.26</v>
      </c>
      <c r="D4066" s="1">
        <f>IFERROR(__xludf.DUMMYFUNCTION("""COMPUTED_VALUE"""),1151.89)</f>
        <v>1151.89</v>
      </c>
      <c r="E4066" s="1">
        <f>IFERROR(__xludf.DUMMYFUNCTION("""COMPUTED_VALUE"""),1155.14)</f>
        <v>1155.14</v>
      </c>
      <c r="F4066" s="1">
        <f>IFERROR(__xludf.DUMMYFUNCTION("""COMPUTED_VALUE"""),2.26875008E8)</f>
        <v>226875008</v>
      </c>
    </row>
    <row r="4067">
      <c r="A4067" s="2">
        <f>IFERROR(__xludf.DUMMYFUNCTION("""COMPUTED_VALUE"""),37266.666666666664)</f>
        <v>37266.66667</v>
      </c>
      <c r="B4067" s="1">
        <f>IFERROR(__xludf.DUMMYFUNCTION("""COMPUTED_VALUE"""),1155.17)</f>
        <v>1155.17</v>
      </c>
      <c r="C4067" s="1">
        <f>IFERROR(__xludf.DUMMYFUNCTION("""COMPUTED_VALUE"""),1159.93)</f>
        <v>1159.93</v>
      </c>
      <c r="D4067" s="1">
        <f>IFERROR(__xludf.DUMMYFUNCTION("""COMPUTED_VALUE"""),1150.85)</f>
        <v>1150.85</v>
      </c>
      <c r="E4067" s="1">
        <f>IFERROR(__xludf.DUMMYFUNCTION("""COMPUTED_VALUE"""),1156.55)</f>
        <v>1156.55</v>
      </c>
      <c r="F4067" s="1">
        <f>IFERROR(__xludf.DUMMYFUNCTION("""COMPUTED_VALUE"""),2.02968752E8)</f>
        <v>202968752</v>
      </c>
    </row>
    <row r="4068">
      <c r="A4068" s="2">
        <f>IFERROR(__xludf.DUMMYFUNCTION("""COMPUTED_VALUE"""),37267.666666666664)</f>
        <v>37267.66667</v>
      </c>
      <c r="B4068" s="1">
        <f>IFERROR(__xludf.DUMMYFUNCTION("""COMPUTED_VALUE"""),1156.55)</f>
        <v>1156.55</v>
      </c>
      <c r="C4068" s="1">
        <f>IFERROR(__xludf.DUMMYFUNCTION("""COMPUTED_VALUE"""),1159.41)</f>
        <v>1159.41</v>
      </c>
      <c r="D4068" s="1">
        <f>IFERROR(__xludf.DUMMYFUNCTION("""COMPUTED_VALUE"""),1145.45)</f>
        <v>1145.45</v>
      </c>
      <c r="E4068" s="1">
        <f>IFERROR(__xludf.DUMMYFUNCTION("""COMPUTED_VALUE"""),1145.6)</f>
        <v>1145.6</v>
      </c>
      <c r="F4068" s="1">
        <f>IFERROR(__xludf.DUMMYFUNCTION("""COMPUTED_VALUE"""),1.89359376E8)</f>
        <v>189359376</v>
      </c>
    </row>
    <row r="4069">
      <c r="A4069" s="2">
        <f>IFERROR(__xludf.DUMMYFUNCTION("""COMPUTED_VALUE"""),37270.666666666664)</f>
        <v>37270.66667</v>
      </c>
      <c r="B4069" s="1">
        <f>IFERROR(__xludf.DUMMYFUNCTION("""COMPUTED_VALUE"""),1144.4)</f>
        <v>1144.4</v>
      </c>
      <c r="C4069" s="1">
        <f>IFERROR(__xludf.DUMMYFUNCTION("""COMPUTED_VALUE"""),1145.34)</f>
        <v>1145.34</v>
      </c>
      <c r="D4069" s="1">
        <f>IFERROR(__xludf.DUMMYFUNCTION("""COMPUTED_VALUE"""),1138.15)</f>
        <v>1138.15</v>
      </c>
      <c r="E4069" s="1">
        <f>IFERROR(__xludf.DUMMYFUNCTION("""COMPUTED_VALUE"""),1138.41)</f>
        <v>1138.41</v>
      </c>
      <c r="F4069" s="1">
        <f>IFERROR(__xludf.DUMMYFUNCTION("""COMPUTED_VALUE"""),2.01E8)</f>
        <v>201000000</v>
      </c>
    </row>
    <row r="4070">
      <c r="A4070" s="2">
        <f>IFERROR(__xludf.DUMMYFUNCTION("""COMPUTED_VALUE"""),37271.666666666664)</f>
        <v>37271.66667</v>
      </c>
      <c r="B4070" s="1">
        <f>IFERROR(__xludf.DUMMYFUNCTION("""COMPUTED_VALUE"""),1138.74)</f>
        <v>1138.74</v>
      </c>
      <c r="C4070" s="1">
        <f>IFERROR(__xludf.DUMMYFUNCTION("""COMPUTED_VALUE"""),1148.81)</f>
        <v>1148.81</v>
      </c>
      <c r="D4070" s="1">
        <f>IFERROR(__xludf.DUMMYFUNCTION("""COMPUTED_VALUE"""),1136.88)</f>
        <v>1136.88</v>
      </c>
      <c r="E4070" s="1">
        <f>IFERROR(__xludf.DUMMYFUNCTION("""COMPUTED_VALUE"""),1146.19)</f>
        <v>1146.19</v>
      </c>
      <c r="F4070" s="1">
        <f>IFERROR(__xludf.DUMMYFUNCTION("""COMPUTED_VALUE"""),2.1670312E8)</f>
        <v>216703120</v>
      </c>
    </row>
    <row r="4071">
      <c r="A4071" s="2">
        <f>IFERROR(__xludf.DUMMYFUNCTION("""COMPUTED_VALUE"""),37272.666666666664)</f>
        <v>37272.66667</v>
      </c>
      <c r="B4071" s="1">
        <f>IFERROR(__xludf.DUMMYFUNCTION("""COMPUTED_VALUE"""),1143.72)</f>
        <v>1143.72</v>
      </c>
      <c r="C4071" s="1">
        <f>IFERROR(__xludf.DUMMYFUNCTION("""COMPUTED_VALUE"""),1143.72)</f>
        <v>1143.72</v>
      </c>
      <c r="D4071" s="1">
        <f>IFERROR(__xludf.DUMMYFUNCTION("""COMPUTED_VALUE"""),1127.49)</f>
        <v>1127.49</v>
      </c>
      <c r="E4071" s="1">
        <f>IFERROR(__xludf.DUMMYFUNCTION("""COMPUTED_VALUE"""),1127.57)</f>
        <v>1127.57</v>
      </c>
      <c r="F4071" s="1">
        <f>IFERROR(__xludf.DUMMYFUNCTION("""COMPUTED_VALUE"""),2.31640624E8)</f>
        <v>231640624</v>
      </c>
    </row>
    <row r="4072">
      <c r="A4072" s="2">
        <f>IFERROR(__xludf.DUMMYFUNCTION("""COMPUTED_VALUE"""),37273.666666666664)</f>
        <v>37273.66667</v>
      </c>
      <c r="B4072" s="1">
        <f>IFERROR(__xludf.DUMMYFUNCTION("""COMPUTED_VALUE"""),1130.31)</f>
        <v>1130.31</v>
      </c>
      <c r="C4072" s="1">
        <f>IFERROR(__xludf.DUMMYFUNCTION("""COMPUTED_VALUE"""),1139.27)</f>
        <v>1139.27</v>
      </c>
      <c r="D4072" s="1">
        <f>IFERROR(__xludf.DUMMYFUNCTION("""COMPUTED_VALUE"""),1130.31)</f>
        <v>1130.31</v>
      </c>
      <c r="E4072" s="1">
        <f>IFERROR(__xludf.DUMMYFUNCTION("""COMPUTED_VALUE"""),1138.88)</f>
        <v>1138.88</v>
      </c>
      <c r="F4072" s="1">
        <f>IFERROR(__xludf.DUMMYFUNCTION("""COMPUTED_VALUE"""),2.15640624E8)</f>
        <v>215640624</v>
      </c>
    </row>
    <row r="4073">
      <c r="A4073" s="2">
        <f>IFERROR(__xludf.DUMMYFUNCTION("""COMPUTED_VALUE"""),37274.666666666664)</f>
        <v>37274.66667</v>
      </c>
      <c r="B4073" s="1">
        <f>IFERROR(__xludf.DUMMYFUNCTION("""COMPUTED_VALUE"""),1138.88)</f>
        <v>1138.88</v>
      </c>
      <c r="C4073" s="1">
        <f>IFERROR(__xludf.DUMMYFUNCTION("""COMPUTED_VALUE"""),1138.88)</f>
        <v>1138.88</v>
      </c>
      <c r="D4073" s="1">
        <f>IFERROR(__xludf.DUMMYFUNCTION("""COMPUTED_VALUE"""),1124.45)</f>
        <v>1124.45</v>
      </c>
      <c r="E4073" s="1">
        <f>IFERROR(__xludf.DUMMYFUNCTION("""COMPUTED_VALUE"""),1127.58)</f>
        <v>1127.58</v>
      </c>
      <c r="F4073" s="1">
        <f>IFERROR(__xludf.DUMMYFUNCTION("""COMPUTED_VALUE"""),2.08328128E8)</f>
        <v>208328128</v>
      </c>
    </row>
    <row r="4074">
      <c r="A4074" s="2">
        <f>IFERROR(__xludf.DUMMYFUNCTION("""COMPUTED_VALUE"""),37278.666666666664)</f>
        <v>37278.66667</v>
      </c>
      <c r="B4074" s="1">
        <f>IFERROR(__xludf.DUMMYFUNCTION("""COMPUTED_VALUE"""),1132.77)</f>
        <v>1132.77</v>
      </c>
      <c r="C4074" s="1">
        <f>IFERROR(__xludf.DUMMYFUNCTION("""COMPUTED_VALUE"""),1135.26)</f>
        <v>1135.26</v>
      </c>
      <c r="D4074" s="1">
        <f>IFERROR(__xludf.DUMMYFUNCTION("""COMPUTED_VALUE"""),1117.91)</f>
        <v>1117.91</v>
      </c>
      <c r="E4074" s="1">
        <f>IFERROR(__xludf.DUMMYFUNCTION("""COMPUTED_VALUE"""),1119.31)</f>
        <v>1119.31</v>
      </c>
      <c r="F4074" s="1">
        <f>IFERROR(__xludf.DUMMYFUNCTION("""COMPUTED_VALUE"""),2.04937504E8)</f>
        <v>204937504</v>
      </c>
    </row>
    <row r="4075">
      <c r="A4075" s="2">
        <f>IFERROR(__xludf.DUMMYFUNCTION("""COMPUTED_VALUE"""),37279.666666666664)</f>
        <v>37279.66667</v>
      </c>
      <c r="B4075" s="1">
        <f>IFERROR(__xludf.DUMMYFUNCTION("""COMPUTED_VALUE"""),1120.13)</f>
        <v>1120.13</v>
      </c>
      <c r="C4075" s="1">
        <f>IFERROR(__xludf.DUMMYFUNCTION("""COMPUTED_VALUE"""),1131.94)</f>
        <v>1131.94</v>
      </c>
      <c r="D4075" s="1">
        <f>IFERROR(__xludf.DUMMYFUNCTION("""COMPUTED_VALUE"""),1117.43)</f>
        <v>1117.43</v>
      </c>
      <c r="E4075" s="1">
        <f>IFERROR(__xludf.DUMMYFUNCTION("""COMPUTED_VALUE"""),1128.18)</f>
        <v>1128.18</v>
      </c>
      <c r="F4075" s="1">
        <f>IFERROR(__xludf.DUMMYFUNCTION("""COMPUTED_VALUE"""),2.31124992E8)</f>
        <v>231124992</v>
      </c>
    </row>
    <row r="4076">
      <c r="A4076" s="2">
        <f>IFERROR(__xludf.DUMMYFUNCTION("""COMPUTED_VALUE"""),37280.666666666664)</f>
        <v>37280.66667</v>
      </c>
      <c r="B4076" s="1">
        <f>IFERROR(__xludf.DUMMYFUNCTION("""COMPUTED_VALUE"""),1130.42)</f>
        <v>1130.42</v>
      </c>
      <c r="C4076" s="1">
        <f>IFERROR(__xludf.DUMMYFUNCTION("""COMPUTED_VALUE"""),1139.5)</f>
        <v>1139.5</v>
      </c>
      <c r="D4076" s="1">
        <f>IFERROR(__xludf.DUMMYFUNCTION("""COMPUTED_VALUE"""),1130.42)</f>
        <v>1130.42</v>
      </c>
      <c r="E4076" s="1">
        <f>IFERROR(__xludf.DUMMYFUNCTION("""COMPUTED_VALUE"""),1132.15)</f>
        <v>1132.15</v>
      </c>
      <c r="F4076" s="1">
        <f>IFERROR(__xludf.DUMMYFUNCTION("""COMPUTED_VALUE"""),2.42624992E8)</f>
        <v>242624992</v>
      </c>
    </row>
    <row r="4077">
      <c r="A4077" s="2">
        <f>IFERROR(__xludf.DUMMYFUNCTION("""COMPUTED_VALUE"""),37281.666666666664)</f>
        <v>37281.66667</v>
      </c>
      <c r="B4077" s="1">
        <f>IFERROR(__xludf.DUMMYFUNCTION("""COMPUTED_VALUE"""),1131.35)</f>
        <v>1131.35</v>
      </c>
      <c r="C4077" s="1">
        <f>IFERROR(__xludf.DUMMYFUNCTION("""COMPUTED_VALUE"""),1138.31)</f>
        <v>1138.31</v>
      </c>
      <c r="D4077" s="1">
        <f>IFERROR(__xludf.DUMMYFUNCTION("""COMPUTED_VALUE"""),1127.82)</f>
        <v>1127.82</v>
      </c>
      <c r="E4077" s="1">
        <f>IFERROR(__xludf.DUMMYFUNCTION("""COMPUTED_VALUE"""),1133.28)</f>
        <v>1133.28</v>
      </c>
      <c r="F4077" s="1">
        <f>IFERROR(__xludf.DUMMYFUNCTION("""COMPUTED_VALUE"""),2.10171872E8)</f>
        <v>210171872</v>
      </c>
    </row>
    <row r="4078">
      <c r="A4078" s="2">
        <f>IFERROR(__xludf.DUMMYFUNCTION("""COMPUTED_VALUE"""),37284.666666666664)</f>
        <v>37284.66667</v>
      </c>
      <c r="B4078" s="1">
        <f>IFERROR(__xludf.DUMMYFUNCTION("""COMPUTED_VALUE"""),1134.94)</f>
        <v>1134.94</v>
      </c>
      <c r="C4078" s="1">
        <f>IFERROR(__xludf.DUMMYFUNCTION("""COMPUTED_VALUE"""),1138.63)</f>
        <v>1138.63</v>
      </c>
      <c r="D4078" s="1">
        <f>IFERROR(__xludf.DUMMYFUNCTION("""COMPUTED_VALUE"""),1126.66)</f>
        <v>1126.66</v>
      </c>
      <c r="E4078" s="1">
        <f>IFERROR(__xludf.DUMMYFUNCTION("""COMPUTED_VALUE"""),1133.06)</f>
        <v>1133.06</v>
      </c>
      <c r="F4078" s="1">
        <f>IFERROR(__xludf.DUMMYFUNCTION("""COMPUTED_VALUE"""),1.85437504E8)</f>
        <v>185437504</v>
      </c>
    </row>
    <row r="4079">
      <c r="A4079" s="2">
        <f>IFERROR(__xludf.DUMMYFUNCTION("""COMPUTED_VALUE"""),37285.666666666664)</f>
        <v>37285.66667</v>
      </c>
      <c r="B4079" s="1">
        <f>IFERROR(__xludf.DUMMYFUNCTION("""COMPUTED_VALUE"""),1133.23)</f>
        <v>1133.23</v>
      </c>
      <c r="C4079" s="1">
        <f>IFERROR(__xludf.DUMMYFUNCTION("""COMPUTED_VALUE"""),1137.47)</f>
        <v>1137.47</v>
      </c>
      <c r="D4079" s="1">
        <f>IFERROR(__xludf.DUMMYFUNCTION("""COMPUTED_VALUE"""),1098.74)</f>
        <v>1098.74</v>
      </c>
      <c r="E4079" s="1">
        <f>IFERROR(__xludf.DUMMYFUNCTION("""COMPUTED_VALUE"""),1100.64)</f>
        <v>1100.64</v>
      </c>
      <c r="F4079" s="1">
        <f>IFERROR(__xludf.DUMMYFUNCTION("""COMPUTED_VALUE"""),2.83124992E8)</f>
        <v>283124992</v>
      </c>
    </row>
    <row r="4080">
      <c r="A4080" s="2">
        <f>IFERROR(__xludf.DUMMYFUNCTION("""COMPUTED_VALUE"""),37286.666666666664)</f>
        <v>37286.66667</v>
      </c>
      <c r="B4080" s="1">
        <f>IFERROR(__xludf.DUMMYFUNCTION("""COMPUTED_VALUE"""),1100.64)</f>
        <v>1100.64</v>
      </c>
      <c r="C4080" s="1">
        <f>IFERROR(__xludf.DUMMYFUNCTION("""COMPUTED_VALUE"""),1113.79)</f>
        <v>1113.79</v>
      </c>
      <c r="D4080" s="1">
        <f>IFERROR(__xludf.DUMMYFUNCTION("""COMPUTED_VALUE"""),1081.66)</f>
        <v>1081.66</v>
      </c>
      <c r="E4080" s="1">
        <f>IFERROR(__xludf.DUMMYFUNCTION("""COMPUTED_VALUE"""),1113.57)</f>
        <v>1113.57</v>
      </c>
      <c r="F4080" s="1">
        <f>IFERROR(__xludf.DUMMYFUNCTION("""COMPUTED_VALUE"""),3.15562496E8)</f>
        <v>315562496</v>
      </c>
    </row>
    <row r="4081">
      <c r="A4081" s="2">
        <f>IFERROR(__xludf.DUMMYFUNCTION("""COMPUTED_VALUE"""),37287.666666666664)</f>
        <v>37287.66667</v>
      </c>
      <c r="B4081" s="1">
        <f>IFERROR(__xludf.DUMMYFUNCTION("""COMPUTED_VALUE"""),1114.78)</f>
        <v>1114.78</v>
      </c>
      <c r="C4081" s="1">
        <f>IFERROR(__xludf.DUMMYFUNCTION("""COMPUTED_VALUE"""),1130.21)</f>
        <v>1130.21</v>
      </c>
      <c r="D4081" s="1">
        <f>IFERROR(__xludf.DUMMYFUNCTION("""COMPUTED_VALUE"""),1113.3)</f>
        <v>1113.3</v>
      </c>
      <c r="E4081" s="1">
        <f>IFERROR(__xludf.DUMMYFUNCTION("""COMPUTED_VALUE"""),1130.2)</f>
        <v>1130.2</v>
      </c>
      <c r="F4081" s="1">
        <f>IFERROR(__xludf.DUMMYFUNCTION("""COMPUTED_VALUE"""),2.43281248E8)</f>
        <v>243281248</v>
      </c>
    </row>
    <row r="4082">
      <c r="A4082" s="2">
        <f>IFERROR(__xludf.DUMMYFUNCTION("""COMPUTED_VALUE"""),37288.666666666664)</f>
        <v>37288.66667</v>
      </c>
      <c r="B4082" s="1">
        <f>IFERROR(__xludf.DUMMYFUNCTION("""COMPUTED_VALUE"""),1129.4)</f>
        <v>1129.4</v>
      </c>
      <c r="C4082" s="1">
        <f>IFERROR(__xludf.DUMMYFUNCTION("""COMPUTED_VALUE"""),1129.4)</f>
        <v>1129.4</v>
      </c>
      <c r="D4082" s="1">
        <f>IFERROR(__xludf.DUMMYFUNCTION("""COMPUTED_VALUE"""),1118.51)</f>
        <v>1118.51</v>
      </c>
      <c r="E4082" s="1">
        <f>IFERROR(__xludf.DUMMYFUNCTION("""COMPUTED_VALUE"""),1122.2)</f>
        <v>1122.2</v>
      </c>
      <c r="F4082" s="1">
        <f>IFERROR(__xludf.DUMMYFUNCTION("""COMPUTED_VALUE"""),2.13624992E8)</f>
        <v>213624992</v>
      </c>
    </row>
    <row r="4083">
      <c r="A4083" s="2">
        <f>IFERROR(__xludf.DUMMYFUNCTION("""COMPUTED_VALUE"""),37291.666666666664)</f>
        <v>37291.66667</v>
      </c>
      <c r="B4083" s="1">
        <f>IFERROR(__xludf.DUMMYFUNCTION("""COMPUTED_VALUE"""),1122.09)</f>
        <v>1122.09</v>
      </c>
      <c r="C4083" s="1">
        <f>IFERROR(__xludf.DUMMYFUNCTION("""COMPUTED_VALUE"""),1122.09)</f>
        <v>1122.09</v>
      </c>
      <c r="D4083" s="1">
        <f>IFERROR(__xludf.DUMMYFUNCTION("""COMPUTED_VALUE"""),1092.25)</f>
        <v>1092.25</v>
      </c>
      <c r="E4083" s="1">
        <f>IFERROR(__xludf.DUMMYFUNCTION("""COMPUTED_VALUE"""),1094.44)</f>
        <v>1094.44</v>
      </c>
      <c r="F4083" s="1">
        <f>IFERROR(__xludf.DUMMYFUNCTION("""COMPUTED_VALUE"""),2.24624992E8)</f>
        <v>224624992</v>
      </c>
    </row>
    <row r="4084">
      <c r="A4084" s="2">
        <f>IFERROR(__xludf.DUMMYFUNCTION("""COMPUTED_VALUE"""),37292.666666666664)</f>
        <v>37292.66667</v>
      </c>
      <c r="B4084" s="1">
        <f>IFERROR(__xludf.DUMMYFUNCTION("""COMPUTED_VALUE"""),1093.34)</f>
        <v>1093.34</v>
      </c>
      <c r="C4084" s="1">
        <f>IFERROR(__xludf.DUMMYFUNCTION("""COMPUTED_VALUE"""),1100.96)</f>
        <v>1100.96</v>
      </c>
      <c r="D4084" s="1">
        <f>IFERROR(__xludf.DUMMYFUNCTION("""COMPUTED_VALUE"""),1082.58)</f>
        <v>1082.58</v>
      </c>
      <c r="E4084" s="1">
        <f>IFERROR(__xludf.DUMMYFUNCTION("""COMPUTED_VALUE"""),1090.02)</f>
        <v>1090.02</v>
      </c>
      <c r="F4084" s="1">
        <f>IFERROR(__xludf.DUMMYFUNCTION("""COMPUTED_VALUE"""),2.7785936E8)</f>
        <v>277859360</v>
      </c>
    </row>
    <row r="4085">
      <c r="A4085" s="2">
        <f>IFERROR(__xludf.DUMMYFUNCTION("""COMPUTED_VALUE"""),37293.666666666664)</f>
        <v>37293.66667</v>
      </c>
      <c r="B4085" s="1">
        <f>IFERROR(__xludf.DUMMYFUNCTION("""COMPUTED_VALUE"""),1091.95)</f>
        <v>1091.95</v>
      </c>
      <c r="C4085" s="1">
        <f>IFERROR(__xludf.DUMMYFUNCTION("""COMPUTED_VALUE"""),1093.58)</f>
        <v>1093.58</v>
      </c>
      <c r="D4085" s="1">
        <f>IFERROR(__xludf.DUMMYFUNCTION("""COMPUTED_VALUE"""),1077.78)</f>
        <v>1077.78</v>
      </c>
      <c r="E4085" s="1">
        <f>IFERROR(__xludf.DUMMYFUNCTION("""COMPUTED_VALUE"""),1083.51)</f>
        <v>1083.51</v>
      </c>
      <c r="F4085" s="1">
        <f>IFERROR(__xludf.DUMMYFUNCTION("""COMPUTED_VALUE"""),2.60281248E8)</f>
        <v>260281248</v>
      </c>
    </row>
    <row r="4086">
      <c r="A4086" s="2">
        <f>IFERROR(__xludf.DUMMYFUNCTION("""COMPUTED_VALUE"""),37294.666666666664)</f>
        <v>37294.66667</v>
      </c>
      <c r="B4086" s="1">
        <f>IFERROR(__xludf.DUMMYFUNCTION("""COMPUTED_VALUE"""),1083.2)</f>
        <v>1083.2</v>
      </c>
      <c r="C4086" s="1">
        <f>IFERROR(__xludf.DUMMYFUNCTION("""COMPUTED_VALUE"""),1094.03)</f>
        <v>1094.03</v>
      </c>
      <c r="D4086" s="1">
        <f>IFERROR(__xludf.DUMMYFUNCTION("""COMPUTED_VALUE"""),1078.44)</f>
        <v>1078.44</v>
      </c>
      <c r="E4086" s="1">
        <f>IFERROR(__xludf.DUMMYFUNCTION("""COMPUTED_VALUE"""),1080.17)</f>
        <v>1080.17</v>
      </c>
      <c r="F4086" s="1">
        <f>IFERROR(__xludf.DUMMYFUNCTION("""COMPUTED_VALUE"""),2.2525E8)</f>
        <v>225250000</v>
      </c>
    </row>
    <row r="4087">
      <c r="A4087" s="2">
        <f>IFERROR(__xludf.DUMMYFUNCTION("""COMPUTED_VALUE"""),37295.666666666664)</f>
        <v>37295.66667</v>
      </c>
      <c r="B4087" s="1">
        <f>IFERROR(__xludf.DUMMYFUNCTION("""COMPUTED_VALUE"""),1081.63)</f>
        <v>1081.63</v>
      </c>
      <c r="C4087" s="1">
        <f>IFERROR(__xludf.DUMMYFUNCTION("""COMPUTED_VALUE"""),1096.3)</f>
        <v>1096.3</v>
      </c>
      <c r="D4087" s="1">
        <f>IFERROR(__xludf.DUMMYFUNCTION("""COMPUTED_VALUE"""),1079.91)</f>
        <v>1079.91</v>
      </c>
      <c r="E4087" s="1">
        <f>IFERROR(__xludf.DUMMYFUNCTION("""COMPUTED_VALUE"""),1096.22)</f>
        <v>1096.22</v>
      </c>
      <c r="F4087" s="1">
        <f>IFERROR(__xludf.DUMMYFUNCTION("""COMPUTED_VALUE"""),2.14359376E8)</f>
        <v>214359376</v>
      </c>
    </row>
    <row r="4088">
      <c r="A4088" s="2">
        <f>IFERROR(__xludf.DUMMYFUNCTION("""COMPUTED_VALUE"""),37298.666666666664)</f>
        <v>37298.66667</v>
      </c>
      <c r="B4088" s="1">
        <f>IFERROR(__xludf.DUMMYFUNCTION("""COMPUTED_VALUE"""),1095.52)</f>
        <v>1095.52</v>
      </c>
      <c r="C4088" s="1">
        <f>IFERROR(__xludf.DUMMYFUNCTION("""COMPUTED_VALUE"""),1112.01)</f>
        <v>1112.01</v>
      </c>
      <c r="D4088" s="1">
        <f>IFERROR(__xludf.DUMMYFUNCTION("""COMPUTED_VALUE"""),1094.68)</f>
        <v>1094.68</v>
      </c>
      <c r="E4088" s="1">
        <f>IFERROR(__xludf.DUMMYFUNCTION("""COMPUTED_VALUE"""),1111.94)</f>
        <v>1111.94</v>
      </c>
      <c r="F4088" s="1">
        <f>IFERROR(__xludf.DUMMYFUNCTION("""COMPUTED_VALUE"""),1.81156256E8)</f>
        <v>181156256</v>
      </c>
    </row>
    <row r="4089">
      <c r="A4089" s="2">
        <f>IFERROR(__xludf.DUMMYFUNCTION("""COMPUTED_VALUE"""),37299.666666666664)</f>
        <v>37299.66667</v>
      </c>
      <c r="B4089" s="1">
        <f>IFERROR(__xludf.DUMMYFUNCTION("""COMPUTED_VALUE"""),1110.58)</f>
        <v>1110.58</v>
      </c>
      <c r="C4089" s="1">
        <f>IFERROR(__xludf.DUMMYFUNCTION("""COMPUTED_VALUE"""),1112.68)</f>
        <v>1112.68</v>
      </c>
      <c r="D4089" s="1">
        <f>IFERROR(__xludf.DUMMYFUNCTION("""COMPUTED_VALUE"""),1102.98)</f>
        <v>1102.98</v>
      </c>
      <c r="E4089" s="1">
        <f>IFERROR(__xludf.DUMMYFUNCTION("""COMPUTED_VALUE"""),1108.8)</f>
        <v>1108.8</v>
      </c>
      <c r="F4089" s="1">
        <f>IFERROR(__xludf.DUMMYFUNCTION("""COMPUTED_VALUE"""),1.70968752E8)</f>
        <v>170968752</v>
      </c>
    </row>
    <row r="4090">
      <c r="A4090" s="2">
        <f>IFERROR(__xludf.DUMMYFUNCTION("""COMPUTED_VALUE"""),37300.666666666664)</f>
        <v>37300.66667</v>
      </c>
      <c r="B4090" s="1">
        <f>IFERROR(__xludf.DUMMYFUNCTION("""COMPUTED_VALUE"""),1107.5)</f>
        <v>1107.5</v>
      </c>
      <c r="C4090" s="1">
        <f>IFERROR(__xludf.DUMMYFUNCTION("""COMPUTED_VALUE"""),1120.56)</f>
        <v>1120.56</v>
      </c>
      <c r="D4090" s="1">
        <f>IFERROR(__xludf.DUMMYFUNCTION("""COMPUTED_VALUE"""),1107.5)</f>
        <v>1107.5</v>
      </c>
      <c r="E4090" s="1">
        <f>IFERROR(__xludf.DUMMYFUNCTION("""COMPUTED_VALUE"""),1118.51)</f>
        <v>1118.51</v>
      </c>
      <c r="F4090" s="1">
        <f>IFERROR(__xludf.DUMMYFUNCTION("""COMPUTED_VALUE"""),1.89984368E8)</f>
        <v>189984368</v>
      </c>
    </row>
    <row r="4091">
      <c r="A4091" s="2">
        <f>IFERROR(__xludf.DUMMYFUNCTION("""COMPUTED_VALUE"""),37301.666666666664)</f>
        <v>37301.66667</v>
      </c>
      <c r="B4091" s="1">
        <f>IFERROR(__xludf.DUMMYFUNCTION("""COMPUTED_VALUE"""),1118.51)</f>
        <v>1118.51</v>
      </c>
      <c r="C4091" s="1">
        <f>IFERROR(__xludf.DUMMYFUNCTION("""COMPUTED_VALUE"""),1124.72)</f>
        <v>1124.72</v>
      </c>
      <c r="D4091" s="1">
        <f>IFERROR(__xludf.DUMMYFUNCTION("""COMPUTED_VALUE"""),1112.3)</f>
        <v>1112.3</v>
      </c>
      <c r="E4091" s="1">
        <f>IFERROR(__xludf.DUMMYFUNCTION("""COMPUTED_VALUE"""),1116.48)</f>
        <v>1116.48</v>
      </c>
      <c r="F4091" s="1">
        <f>IFERROR(__xludf.DUMMYFUNCTION("""COMPUTED_VALUE"""),1.98828128E8)</f>
        <v>198828128</v>
      </c>
    </row>
    <row r="4092">
      <c r="A4092" s="2">
        <f>IFERROR(__xludf.DUMMYFUNCTION("""COMPUTED_VALUE"""),37302.666666666664)</f>
        <v>37302.66667</v>
      </c>
      <c r="B4092" s="1">
        <f>IFERROR(__xludf.DUMMYFUNCTION("""COMPUTED_VALUE"""),1116.72)</f>
        <v>1116.72</v>
      </c>
      <c r="C4092" s="1">
        <f>IFERROR(__xludf.DUMMYFUNCTION("""COMPUTED_VALUE"""),1117.09)</f>
        <v>1117.09</v>
      </c>
      <c r="D4092" s="1">
        <f>IFERROR(__xludf.DUMMYFUNCTION("""COMPUTED_VALUE"""),1103.23)</f>
        <v>1103.23</v>
      </c>
      <c r="E4092" s="1">
        <f>IFERROR(__xludf.DUMMYFUNCTION("""COMPUTED_VALUE"""),1104.18)</f>
        <v>1104.18</v>
      </c>
      <c r="F4092" s="1">
        <f>IFERROR(__xludf.DUMMYFUNCTION("""COMPUTED_VALUE"""),2.12375008E8)</f>
        <v>212375008</v>
      </c>
    </row>
    <row r="4093">
      <c r="A4093" s="2">
        <f>IFERROR(__xludf.DUMMYFUNCTION("""COMPUTED_VALUE"""),37306.666666666664)</f>
        <v>37306.66667</v>
      </c>
      <c r="B4093" s="1">
        <f>IFERROR(__xludf.DUMMYFUNCTION("""COMPUTED_VALUE"""),1102.16)</f>
        <v>1102.16</v>
      </c>
      <c r="C4093" s="1">
        <f>IFERROR(__xludf.DUMMYFUNCTION("""COMPUTED_VALUE"""),1102.16)</f>
        <v>1102.16</v>
      </c>
      <c r="D4093" s="1">
        <f>IFERROR(__xludf.DUMMYFUNCTION("""COMPUTED_VALUE"""),1082.24)</f>
        <v>1082.24</v>
      </c>
      <c r="E4093" s="1">
        <f>IFERROR(__xludf.DUMMYFUNCTION("""COMPUTED_VALUE"""),1083.34)</f>
        <v>1083.34</v>
      </c>
      <c r="F4093" s="1">
        <f>IFERROR(__xludf.DUMMYFUNCTION("""COMPUTED_VALUE"""),1.85921872E8)</f>
        <v>185921872</v>
      </c>
    </row>
    <row r="4094">
      <c r="A4094" s="2">
        <f>IFERROR(__xludf.DUMMYFUNCTION("""COMPUTED_VALUE"""),37307.666666666664)</f>
        <v>37307.66667</v>
      </c>
      <c r="B4094" s="1">
        <f>IFERROR(__xludf.DUMMYFUNCTION("""COMPUTED_VALUE"""),1084.68)</f>
        <v>1084.68</v>
      </c>
      <c r="C4094" s="1">
        <f>IFERROR(__xludf.DUMMYFUNCTION("""COMPUTED_VALUE"""),1098.32)</f>
        <v>1098.32</v>
      </c>
      <c r="D4094" s="1">
        <f>IFERROR(__xludf.DUMMYFUNCTION("""COMPUTED_VALUE"""),1074.36)</f>
        <v>1074.36</v>
      </c>
      <c r="E4094" s="1">
        <f>IFERROR(__xludf.DUMMYFUNCTION("""COMPUTED_VALUE"""),1097.98)</f>
        <v>1097.98</v>
      </c>
      <c r="F4094" s="1">
        <f>IFERROR(__xludf.DUMMYFUNCTION("""COMPUTED_VALUE"""),2.24828128E8)</f>
        <v>224828128</v>
      </c>
    </row>
    <row r="4095">
      <c r="A4095" s="2">
        <f>IFERROR(__xludf.DUMMYFUNCTION("""COMPUTED_VALUE"""),37308.666666666664)</f>
        <v>37308.66667</v>
      </c>
      <c r="B4095" s="1">
        <f>IFERROR(__xludf.DUMMYFUNCTION("""COMPUTED_VALUE"""),1096.28)</f>
        <v>1096.28</v>
      </c>
      <c r="C4095" s="1">
        <f>IFERROR(__xludf.DUMMYFUNCTION("""COMPUTED_VALUE"""),1101.5)</f>
        <v>1101.5</v>
      </c>
      <c r="D4095" s="1">
        <f>IFERROR(__xludf.DUMMYFUNCTION("""COMPUTED_VALUE"""),1080.24)</f>
        <v>1080.24</v>
      </c>
      <c r="E4095" s="1">
        <f>IFERROR(__xludf.DUMMYFUNCTION("""COMPUTED_VALUE"""),1080.95)</f>
        <v>1080.95</v>
      </c>
      <c r="F4095" s="1">
        <f>IFERROR(__xludf.DUMMYFUNCTION("""COMPUTED_VALUE"""),2.15875008E8)</f>
        <v>215875008</v>
      </c>
    </row>
    <row r="4096">
      <c r="A4096" s="2">
        <f>IFERROR(__xludf.DUMMYFUNCTION("""COMPUTED_VALUE"""),37309.666666666664)</f>
        <v>37309.66667</v>
      </c>
      <c r="B4096" s="1">
        <f>IFERROR(__xludf.DUMMYFUNCTION("""COMPUTED_VALUE"""),1080.95)</f>
        <v>1080.95</v>
      </c>
      <c r="C4096" s="1">
        <f>IFERROR(__xludf.DUMMYFUNCTION("""COMPUTED_VALUE"""),1093.93)</f>
        <v>1093.93</v>
      </c>
      <c r="D4096" s="1">
        <f>IFERROR(__xludf.DUMMYFUNCTION("""COMPUTED_VALUE"""),1074.39)</f>
        <v>1074.39</v>
      </c>
      <c r="E4096" s="1">
        <f>IFERROR(__xludf.DUMMYFUNCTION("""COMPUTED_VALUE"""),1089.84)</f>
        <v>1089.84</v>
      </c>
      <c r="F4096" s="1">
        <f>IFERROR(__xludf.DUMMYFUNCTION("""COMPUTED_VALUE"""),2.20468752E8)</f>
        <v>220468752</v>
      </c>
    </row>
    <row r="4097">
      <c r="A4097" s="2">
        <f>IFERROR(__xludf.DUMMYFUNCTION("""COMPUTED_VALUE"""),37312.666666666664)</f>
        <v>37312.66667</v>
      </c>
      <c r="B4097" s="1">
        <f>IFERROR(__xludf.DUMMYFUNCTION("""COMPUTED_VALUE"""),1090.83)</f>
        <v>1090.83</v>
      </c>
      <c r="C4097" s="1">
        <f>IFERROR(__xludf.DUMMYFUNCTION("""COMPUTED_VALUE"""),1112.71)</f>
        <v>1112.71</v>
      </c>
      <c r="D4097" s="1">
        <f>IFERROR(__xludf.DUMMYFUNCTION("""COMPUTED_VALUE"""),1090.83)</f>
        <v>1090.83</v>
      </c>
      <c r="E4097" s="1">
        <f>IFERROR(__xludf.DUMMYFUNCTION("""COMPUTED_VALUE"""),1109.43)</f>
        <v>1109.43</v>
      </c>
      <c r="F4097" s="1">
        <f>IFERROR(__xludf.DUMMYFUNCTION("""COMPUTED_VALUE"""),2.13656256E8)</f>
        <v>213656256</v>
      </c>
    </row>
    <row r="4098">
      <c r="A4098" s="2">
        <f>IFERROR(__xludf.DUMMYFUNCTION("""COMPUTED_VALUE"""),37313.666666666664)</f>
        <v>37313.66667</v>
      </c>
      <c r="B4098" s="1">
        <f>IFERROR(__xludf.DUMMYFUNCTION("""COMPUTED_VALUE"""),1110.35)</f>
        <v>1110.35</v>
      </c>
      <c r="C4098" s="1">
        <f>IFERROR(__xludf.DUMMYFUNCTION("""COMPUTED_VALUE"""),1115.05)</f>
        <v>1115.05</v>
      </c>
      <c r="D4098" s="1">
        <f>IFERROR(__xludf.DUMMYFUNCTION("""COMPUTED_VALUE"""),1101.72)</f>
        <v>1101.72</v>
      </c>
      <c r="E4098" s="1">
        <f>IFERROR(__xludf.DUMMYFUNCTION("""COMPUTED_VALUE"""),1109.38)</f>
        <v>1109.38</v>
      </c>
      <c r="F4098" s="1">
        <f>IFERROR(__xludf.DUMMYFUNCTION("""COMPUTED_VALUE"""),2.04562496E8)</f>
        <v>204562496</v>
      </c>
    </row>
    <row r="4099">
      <c r="A4099" s="2">
        <f>IFERROR(__xludf.DUMMYFUNCTION("""COMPUTED_VALUE"""),37314.666666666664)</f>
        <v>37314.66667</v>
      </c>
      <c r="B4099" s="1">
        <f>IFERROR(__xludf.DUMMYFUNCTION("""COMPUTED_VALUE"""),1111.23)</f>
        <v>1111.23</v>
      </c>
      <c r="C4099" s="1">
        <f>IFERROR(__xludf.DUMMYFUNCTION("""COMPUTED_VALUE"""),1123.06)</f>
        <v>1123.06</v>
      </c>
      <c r="D4099" s="1">
        <f>IFERROR(__xludf.DUMMYFUNCTION("""COMPUTED_VALUE"""),1102.26)</f>
        <v>1102.26</v>
      </c>
      <c r="E4099" s="1">
        <f>IFERROR(__xludf.DUMMYFUNCTION("""COMPUTED_VALUE"""),1109.89)</f>
        <v>1109.89</v>
      </c>
      <c r="F4099" s="1">
        <f>IFERROR(__xludf.DUMMYFUNCTION("""COMPUTED_VALUE"""),2.17781248E8)</f>
        <v>217781248</v>
      </c>
    </row>
    <row r="4100">
      <c r="A4100" s="2">
        <f>IFERROR(__xludf.DUMMYFUNCTION("""COMPUTED_VALUE"""),37315.666666666664)</f>
        <v>37315.66667</v>
      </c>
      <c r="B4100" s="1">
        <f>IFERROR(__xludf.DUMMYFUNCTION("""COMPUTED_VALUE"""),1110.8)</f>
        <v>1110.8</v>
      </c>
      <c r="C4100" s="1">
        <f>IFERROR(__xludf.DUMMYFUNCTION("""COMPUTED_VALUE"""),1121.57)</f>
        <v>1121.57</v>
      </c>
      <c r="D4100" s="1">
        <f>IFERROR(__xludf.DUMMYFUNCTION("""COMPUTED_VALUE"""),1106.73)</f>
        <v>1106.73</v>
      </c>
      <c r="E4100" s="1">
        <f>IFERROR(__xludf.DUMMYFUNCTION("""COMPUTED_VALUE"""),1106.73)</f>
        <v>1106.73</v>
      </c>
      <c r="F4100" s="1">
        <f>IFERROR(__xludf.DUMMYFUNCTION("""COMPUTED_VALUE"""),2.17531248E8)</f>
        <v>217531248</v>
      </c>
    </row>
    <row r="4101">
      <c r="A4101" s="2">
        <f>IFERROR(__xludf.DUMMYFUNCTION("""COMPUTED_VALUE"""),37316.666666666664)</f>
        <v>37316.66667</v>
      </c>
      <c r="B4101" s="1">
        <f>IFERROR(__xludf.DUMMYFUNCTION("""COMPUTED_VALUE"""),1108.74)</f>
        <v>1108.74</v>
      </c>
      <c r="C4101" s="1">
        <f>IFERROR(__xludf.DUMMYFUNCTION("""COMPUTED_VALUE"""),1131.79)</f>
        <v>1131.79</v>
      </c>
      <c r="D4101" s="1">
        <f>IFERROR(__xludf.DUMMYFUNCTION("""COMPUTED_VALUE"""),1108.74)</f>
        <v>1108.74</v>
      </c>
      <c r="E4101" s="1">
        <f>IFERROR(__xludf.DUMMYFUNCTION("""COMPUTED_VALUE"""),1131.78)</f>
        <v>1131.78</v>
      </c>
      <c r="F4101" s="1">
        <f>IFERROR(__xludf.DUMMYFUNCTION("""COMPUTED_VALUE"""),2.27578128E8)</f>
        <v>227578128</v>
      </c>
    </row>
    <row r="4102">
      <c r="A4102" s="2">
        <f>IFERROR(__xludf.DUMMYFUNCTION("""COMPUTED_VALUE"""),37319.666666666664)</f>
        <v>37319.66667</v>
      </c>
      <c r="B4102" s="1">
        <f>IFERROR(__xludf.DUMMYFUNCTION("""COMPUTED_VALUE"""),1130.93)</f>
        <v>1130.93</v>
      </c>
      <c r="C4102" s="1">
        <f>IFERROR(__xludf.DUMMYFUNCTION("""COMPUTED_VALUE"""),1153.84)</f>
        <v>1153.84</v>
      </c>
      <c r="D4102" s="1">
        <f>IFERROR(__xludf.DUMMYFUNCTION("""COMPUTED_VALUE"""),1130.93)</f>
        <v>1130.93</v>
      </c>
      <c r="E4102" s="1">
        <f>IFERROR(__xludf.DUMMYFUNCTION("""COMPUTED_VALUE"""),1153.84)</f>
        <v>1153.84</v>
      </c>
      <c r="F4102" s="1">
        <f>IFERROR(__xludf.DUMMYFUNCTION("""COMPUTED_VALUE"""),2.49109376E8)</f>
        <v>249109376</v>
      </c>
    </row>
    <row r="4103">
      <c r="A4103" s="2">
        <f>IFERROR(__xludf.DUMMYFUNCTION("""COMPUTED_VALUE"""),37320.666666666664)</f>
        <v>37320.66667</v>
      </c>
      <c r="B4103" s="1">
        <f>IFERROR(__xludf.DUMMYFUNCTION("""COMPUTED_VALUE"""),1153.02)</f>
        <v>1153.02</v>
      </c>
      <c r="C4103" s="1">
        <f>IFERROR(__xludf.DUMMYFUNCTION("""COMPUTED_VALUE"""),1157.74)</f>
        <v>1157.74</v>
      </c>
      <c r="D4103" s="1">
        <f>IFERROR(__xludf.DUMMYFUNCTION("""COMPUTED_VALUE"""),1144.78)</f>
        <v>1144.78</v>
      </c>
      <c r="E4103" s="1">
        <f>IFERROR(__xludf.DUMMYFUNCTION("""COMPUTED_VALUE"""),1146.14)</f>
        <v>1146.14</v>
      </c>
      <c r="F4103" s="1">
        <f>IFERROR(__xludf.DUMMYFUNCTION("""COMPUTED_VALUE"""),2.42078128E8)</f>
        <v>242078128</v>
      </c>
    </row>
    <row r="4104">
      <c r="A4104" s="2">
        <f>IFERROR(__xludf.DUMMYFUNCTION("""COMPUTED_VALUE"""),37321.666666666664)</f>
        <v>37321.66667</v>
      </c>
      <c r="B4104" s="1">
        <f>IFERROR(__xludf.DUMMYFUNCTION("""COMPUTED_VALUE"""),1145.86)</f>
        <v>1145.86</v>
      </c>
      <c r="C4104" s="1">
        <f>IFERROR(__xludf.DUMMYFUNCTION("""COMPUTED_VALUE"""),1165.29)</f>
        <v>1165.29</v>
      </c>
      <c r="D4104" s="1">
        <f>IFERROR(__xludf.DUMMYFUNCTION("""COMPUTED_VALUE"""),1145.11)</f>
        <v>1145.11</v>
      </c>
      <c r="E4104" s="1">
        <f>IFERROR(__xludf.DUMMYFUNCTION("""COMPUTED_VALUE"""),1162.77)</f>
        <v>1162.77</v>
      </c>
      <c r="F4104" s="1">
        <f>IFERROR(__xludf.DUMMYFUNCTION("""COMPUTED_VALUE"""),2.40828128E8)</f>
        <v>240828128</v>
      </c>
    </row>
    <row r="4105">
      <c r="A4105" s="2">
        <f>IFERROR(__xludf.DUMMYFUNCTION("""COMPUTED_VALUE"""),37322.666666666664)</f>
        <v>37322.66667</v>
      </c>
      <c r="B4105" s="1">
        <f>IFERROR(__xludf.DUMMYFUNCTION("""COMPUTED_VALUE"""),1164.65)</f>
        <v>1164.65</v>
      </c>
      <c r="C4105" s="1">
        <f>IFERROR(__xludf.DUMMYFUNCTION("""COMPUTED_VALUE"""),1167.94)</f>
        <v>1167.94</v>
      </c>
      <c r="D4105" s="1">
        <f>IFERROR(__xludf.DUMMYFUNCTION("""COMPUTED_VALUE"""),1150.69)</f>
        <v>1150.69</v>
      </c>
      <c r="E4105" s="1">
        <f>IFERROR(__xludf.DUMMYFUNCTION("""COMPUTED_VALUE"""),1157.54)</f>
        <v>1157.54</v>
      </c>
      <c r="F4105" s="1">
        <f>IFERROR(__xludf.DUMMYFUNCTION("""COMPUTED_VALUE"""),2.37093744E8)</f>
        <v>237093744</v>
      </c>
    </row>
    <row r="4106">
      <c r="A4106" s="2">
        <f>IFERROR(__xludf.DUMMYFUNCTION("""COMPUTED_VALUE"""),37323.666666666664)</f>
        <v>37323.66667</v>
      </c>
      <c r="B4106" s="1">
        <f>IFERROR(__xludf.DUMMYFUNCTION("""COMPUTED_VALUE"""),1161.14)</f>
        <v>1161.14</v>
      </c>
      <c r="C4106" s="1">
        <f>IFERROR(__xludf.DUMMYFUNCTION("""COMPUTED_VALUE"""),1172.76)</f>
        <v>1172.76</v>
      </c>
      <c r="D4106" s="1">
        <f>IFERROR(__xludf.DUMMYFUNCTION("""COMPUTED_VALUE"""),1159.77)</f>
        <v>1159.77</v>
      </c>
      <c r="E4106" s="1">
        <f>IFERROR(__xludf.DUMMYFUNCTION("""COMPUTED_VALUE"""),1164.31)</f>
        <v>1164.31</v>
      </c>
      <c r="F4106" s="1">
        <f>IFERROR(__xludf.DUMMYFUNCTION("""COMPUTED_VALUE"""),2.20624992E8)</f>
        <v>220624992</v>
      </c>
    </row>
    <row r="4107">
      <c r="A4107" s="2">
        <f>IFERROR(__xludf.DUMMYFUNCTION("""COMPUTED_VALUE"""),37326.666666666664)</f>
        <v>37326.66667</v>
      </c>
      <c r="B4107" s="1">
        <f>IFERROR(__xludf.DUMMYFUNCTION("""COMPUTED_VALUE"""),1164.0)</f>
        <v>1164</v>
      </c>
      <c r="C4107" s="1">
        <f>IFERROR(__xludf.DUMMYFUNCTION("""COMPUTED_VALUE"""),1173.03)</f>
        <v>1173.03</v>
      </c>
      <c r="D4107" s="1">
        <f>IFERROR(__xludf.DUMMYFUNCTION("""COMPUTED_VALUE"""),1159.58)</f>
        <v>1159.58</v>
      </c>
      <c r="E4107" s="1">
        <f>IFERROR(__xludf.DUMMYFUNCTION("""COMPUTED_VALUE"""),1168.26)</f>
        <v>1168.26</v>
      </c>
      <c r="F4107" s="1">
        <f>IFERROR(__xludf.DUMMYFUNCTION("""COMPUTED_VALUE"""),1.89093744E8)</f>
        <v>189093744</v>
      </c>
    </row>
    <row r="4108">
      <c r="A4108" s="2">
        <f>IFERROR(__xludf.DUMMYFUNCTION("""COMPUTED_VALUE"""),37327.666666666664)</f>
        <v>37327.66667</v>
      </c>
      <c r="B4108" s="1">
        <f>IFERROR(__xludf.DUMMYFUNCTION("""COMPUTED_VALUE"""),1168.26)</f>
        <v>1168.26</v>
      </c>
      <c r="C4108" s="1">
        <f>IFERROR(__xludf.DUMMYFUNCTION("""COMPUTED_VALUE"""),1168.26)</f>
        <v>1168.26</v>
      </c>
      <c r="D4108" s="1">
        <f>IFERROR(__xludf.DUMMYFUNCTION("""COMPUTED_VALUE"""),1154.34)</f>
        <v>1154.34</v>
      </c>
      <c r="E4108" s="1">
        <f>IFERROR(__xludf.DUMMYFUNCTION("""COMPUTED_VALUE"""),1165.58)</f>
        <v>1165.58</v>
      </c>
      <c r="F4108" s="1">
        <f>IFERROR(__xludf.DUMMYFUNCTION("""COMPUTED_VALUE"""),2.03812496E8)</f>
        <v>203812496</v>
      </c>
    </row>
    <row r="4109">
      <c r="A4109" s="2">
        <f>IFERROR(__xludf.DUMMYFUNCTION("""COMPUTED_VALUE"""),37328.666666666664)</f>
        <v>37328.66667</v>
      </c>
      <c r="B4109" s="1">
        <f>IFERROR(__xludf.DUMMYFUNCTION("""COMPUTED_VALUE"""),1162.98)</f>
        <v>1162.98</v>
      </c>
      <c r="C4109" s="1">
        <f>IFERROR(__xludf.DUMMYFUNCTION("""COMPUTED_VALUE"""),1164.31)</f>
        <v>1164.31</v>
      </c>
      <c r="D4109" s="1">
        <f>IFERROR(__xludf.DUMMYFUNCTION("""COMPUTED_VALUE"""),1151.01)</f>
        <v>1151.01</v>
      </c>
      <c r="E4109" s="1">
        <f>IFERROR(__xludf.DUMMYFUNCTION("""COMPUTED_VALUE"""),1164.31)</f>
        <v>1164.31</v>
      </c>
      <c r="F4109" s="1">
        <f>IFERROR(__xludf.DUMMYFUNCTION("""COMPUTED_VALUE"""),2.11562496E8)</f>
        <v>211562496</v>
      </c>
    </row>
    <row r="4110">
      <c r="A4110" s="2">
        <f>IFERROR(__xludf.DUMMYFUNCTION("""COMPUTED_VALUE"""),37329.666666666664)</f>
        <v>37329.66667</v>
      </c>
      <c r="B4110" s="1">
        <f>IFERROR(__xludf.DUMMYFUNCTION("""COMPUTED_VALUE"""),1154.18)</f>
        <v>1154.18</v>
      </c>
      <c r="C4110" s="1">
        <f>IFERROR(__xludf.DUMMYFUNCTION("""COMPUTED_VALUE"""),1157.83)</f>
        <v>1157.83</v>
      </c>
      <c r="D4110" s="1">
        <f>IFERROR(__xludf.DUMMYFUNCTION("""COMPUTED_VALUE"""),1151.08)</f>
        <v>1151.08</v>
      </c>
      <c r="E4110" s="1">
        <f>IFERROR(__xludf.DUMMYFUNCTION("""COMPUTED_VALUE"""),1153.04)</f>
        <v>1153.04</v>
      </c>
      <c r="F4110" s="1">
        <f>IFERROR(__xludf.DUMMYFUNCTION("""COMPUTED_VALUE"""),1.88875008E8)</f>
        <v>188875008</v>
      </c>
    </row>
    <row r="4111">
      <c r="A4111" s="2">
        <f>IFERROR(__xludf.DUMMYFUNCTION("""COMPUTED_VALUE"""),37330.666666666664)</f>
        <v>37330.66667</v>
      </c>
      <c r="B4111" s="1">
        <f>IFERROR(__xludf.DUMMYFUNCTION("""COMPUTED_VALUE"""),1153.45)</f>
        <v>1153.45</v>
      </c>
      <c r="C4111" s="1">
        <f>IFERROR(__xludf.DUMMYFUNCTION("""COMPUTED_VALUE"""),1166.48)</f>
        <v>1166.48</v>
      </c>
      <c r="D4111" s="1">
        <f>IFERROR(__xludf.DUMMYFUNCTION("""COMPUTED_VALUE"""),1153.45)</f>
        <v>1153.45</v>
      </c>
      <c r="E4111" s="1">
        <f>IFERROR(__xludf.DUMMYFUNCTION("""COMPUTED_VALUE"""),1166.16)</f>
        <v>1166.16</v>
      </c>
      <c r="F4111" s="1">
        <f>IFERROR(__xludf.DUMMYFUNCTION("""COMPUTED_VALUE"""),2.33421872E8)</f>
        <v>233421872</v>
      </c>
    </row>
    <row r="4112">
      <c r="A4112" s="2">
        <f>IFERROR(__xludf.DUMMYFUNCTION("""COMPUTED_VALUE"""),37333.666666666664)</f>
        <v>37333.66667</v>
      </c>
      <c r="B4112" s="1">
        <f>IFERROR(__xludf.DUMMYFUNCTION("""COMPUTED_VALUE"""),1166.16)</f>
        <v>1166.16</v>
      </c>
      <c r="C4112" s="1">
        <f>IFERROR(__xludf.DUMMYFUNCTION("""COMPUTED_VALUE"""),1172.73)</f>
        <v>1172.73</v>
      </c>
      <c r="D4112" s="1">
        <f>IFERROR(__xludf.DUMMYFUNCTION("""COMPUTED_VALUE"""),1159.14)</f>
        <v>1159.14</v>
      </c>
      <c r="E4112" s="1">
        <f>IFERROR(__xludf.DUMMYFUNCTION("""COMPUTED_VALUE"""),1165.55)</f>
        <v>1165.55</v>
      </c>
      <c r="F4112" s="1">
        <f>IFERROR(__xludf.DUMMYFUNCTION("""COMPUTED_VALUE"""),1.82734368E8)</f>
        <v>182734368</v>
      </c>
    </row>
    <row r="4113">
      <c r="A4113" s="2">
        <f>IFERROR(__xludf.DUMMYFUNCTION("""COMPUTED_VALUE"""),37334.666666666664)</f>
        <v>37334.66667</v>
      </c>
      <c r="B4113" s="1">
        <f>IFERROR(__xludf.DUMMYFUNCTION("""COMPUTED_VALUE"""),1165.55)</f>
        <v>1165.55</v>
      </c>
      <c r="C4113" s="1">
        <f>IFERROR(__xludf.DUMMYFUNCTION("""COMPUTED_VALUE"""),1173.94)</f>
        <v>1173.94</v>
      </c>
      <c r="D4113" s="1">
        <f>IFERROR(__xludf.DUMMYFUNCTION("""COMPUTED_VALUE"""),1165.55)</f>
        <v>1165.55</v>
      </c>
      <c r="E4113" s="1">
        <f>IFERROR(__xludf.DUMMYFUNCTION("""COMPUTED_VALUE"""),1170.29)</f>
        <v>1170.29</v>
      </c>
      <c r="F4113" s="1">
        <f>IFERROR(__xludf.DUMMYFUNCTION("""COMPUTED_VALUE"""),1.96093744E8)</f>
        <v>196093744</v>
      </c>
    </row>
    <row r="4114">
      <c r="A4114" s="2">
        <f>IFERROR(__xludf.DUMMYFUNCTION("""COMPUTED_VALUE"""),37335.666666666664)</f>
        <v>37335.66667</v>
      </c>
      <c r="B4114" s="1">
        <f>IFERROR(__xludf.DUMMYFUNCTION("""COMPUTED_VALUE"""),1170.19)</f>
        <v>1170.19</v>
      </c>
      <c r="C4114" s="1">
        <f>IFERROR(__xludf.DUMMYFUNCTION("""COMPUTED_VALUE"""),1170.19)</f>
        <v>1170.19</v>
      </c>
      <c r="D4114" s="1">
        <f>IFERROR(__xludf.DUMMYFUNCTION("""COMPUTED_VALUE"""),1151.61)</f>
        <v>1151.61</v>
      </c>
      <c r="E4114" s="1">
        <f>IFERROR(__xludf.DUMMYFUNCTION("""COMPUTED_VALUE"""),1151.85)</f>
        <v>1151.85</v>
      </c>
      <c r="F4114" s="1">
        <f>IFERROR(__xludf.DUMMYFUNCTION("""COMPUTED_VALUE"""),2.03890624E8)</f>
        <v>203890624</v>
      </c>
    </row>
    <row r="4115">
      <c r="A4115" s="2">
        <f>IFERROR(__xludf.DUMMYFUNCTION("""COMPUTED_VALUE"""),37336.666666666664)</f>
        <v>37336.66667</v>
      </c>
      <c r="B4115" s="1">
        <f>IFERROR(__xludf.DUMMYFUNCTION("""COMPUTED_VALUE"""),1151.55)</f>
        <v>1151.55</v>
      </c>
      <c r="C4115" s="1">
        <f>IFERROR(__xludf.DUMMYFUNCTION("""COMPUTED_VALUE"""),1155.1)</f>
        <v>1155.1</v>
      </c>
      <c r="D4115" s="1">
        <f>IFERROR(__xludf.DUMMYFUNCTION("""COMPUTED_VALUE"""),1139.48)</f>
        <v>1139.48</v>
      </c>
      <c r="E4115" s="1">
        <f>IFERROR(__xludf.DUMMYFUNCTION("""COMPUTED_VALUE"""),1153.59)</f>
        <v>1153.59</v>
      </c>
      <c r="F4115" s="1">
        <f>IFERROR(__xludf.DUMMYFUNCTION("""COMPUTED_VALUE"""),2.0925E8)</f>
        <v>209250000</v>
      </c>
    </row>
    <row r="4116">
      <c r="A4116" s="2">
        <f>IFERROR(__xludf.DUMMYFUNCTION("""COMPUTED_VALUE"""),37337.666666666664)</f>
        <v>37337.66667</v>
      </c>
      <c r="B4116" s="1">
        <f>IFERROR(__xludf.DUMMYFUNCTION("""COMPUTED_VALUE"""),1153.33)</f>
        <v>1153.33</v>
      </c>
      <c r="C4116" s="1">
        <f>IFERROR(__xludf.DUMMYFUNCTION("""COMPUTED_VALUE"""),1156.49)</f>
        <v>1156.49</v>
      </c>
      <c r="D4116" s="1">
        <f>IFERROR(__xludf.DUMMYFUNCTION("""COMPUTED_VALUE"""),1144.6)</f>
        <v>1144.6</v>
      </c>
      <c r="E4116" s="1">
        <f>IFERROR(__xludf.DUMMYFUNCTION("""COMPUTED_VALUE"""),1148.7)</f>
        <v>1148.7</v>
      </c>
      <c r="F4116" s="1">
        <f>IFERROR(__xludf.DUMMYFUNCTION("""COMPUTED_VALUE"""),1.94265632E8)</f>
        <v>194265632</v>
      </c>
    </row>
    <row r="4117">
      <c r="A4117" s="2">
        <f>IFERROR(__xludf.DUMMYFUNCTION("""COMPUTED_VALUE"""),37340.666666666664)</f>
        <v>37340.66667</v>
      </c>
      <c r="B4117" s="1">
        <f>IFERROR(__xludf.DUMMYFUNCTION("""COMPUTED_VALUE"""),1149.28)</f>
        <v>1149.28</v>
      </c>
      <c r="C4117" s="1">
        <f>IFERROR(__xludf.DUMMYFUNCTION("""COMPUTED_VALUE"""),1151.04)</f>
        <v>1151.04</v>
      </c>
      <c r="D4117" s="1">
        <f>IFERROR(__xludf.DUMMYFUNCTION("""COMPUTED_VALUE"""),1131.87)</f>
        <v>1131.87</v>
      </c>
      <c r="E4117" s="1">
        <f>IFERROR(__xludf.DUMMYFUNCTION("""COMPUTED_VALUE"""),1131.87)</f>
        <v>1131.87</v>
      </c>
      <c r="F4117" s="1">
        <f>IFERROR(__xludf.DUMMYFUNCTION("""COMPUTED_VALUE"""),1.6529688E8)</f>
        <v>165296880</v>
      </c>
    </row>
    <row r="4118">
      <c r="A4118" s="2">
        <f>IFERROR(__xludf.DUMMYFUNCTION("""COMPUTED_VALUE"""),37341.666666666664)</f>
        <v>37341.66667</v>
      </c>
      <c r="B4118" s="1">
        <f>IFERROR(__xludf.DUMMYFUNCTION("""COMPUTED_VALUE"""),1131.61)</f>
        <v>1131.61</v>
      </c>
      <c r="C4118" s="1">
        <f>IFERROR(__xludf.DUMMYFUNCTION("""COMPUTED_VALUE"""),1147.0)</f>
        <v>1147</v>
      </c>
      <c r="D4118" s="1">
        <f>IFERROR(__xludf.DUMMYFUNCTION("""COMPUTED_VALUE"""),1131.61)</f>
        <v>1131.61</v>
      </c>
      <c r="E4118" s="1">
        <f>IFERROR(__xludf.DUMMYFUNCTION("""COMPUTED_VALUE"""),1138.49)</f>
        <v>1138.49</v>
      </c>
      <c r="F4118" s="1">
        <f>IFERROR(__xludf.DUMMYFUNCTION("""COMPUTED_VALUE"""),1.91187504E8)</f>
        <v>191187504</v>
      </c>
    </row>
    <row r="4119">
      <c r="A4119" s="2">
        <f>IFERROR(__xludf.DUMMYFUNCTION("""COMPUTED_VALUE"""),37342.666666666664)</f>
        <v>37342.66667</v>
      </c>
      <c r="B4119" s="1">
        <f>IFERROR(__xludf.DUMMYFUNCTION("""COMPUTED_VALUE"""),1137.45)</f>
        <v>1137.45</v>
      </c>
      <c r="C4119" s="1">
        <f>IFERROR(__xludf.DUMMYFUNCTION("""COMPUTED_VALUE"""),1146.95)</f>
        <v>1146.95</v>
      </c>
      <c r="D4119" s="1">
        <f>IFERROR(__xludf.DUMMYFUNCTION("""COMPUTED_VALUE"""),1135.33)</f>
        <v>1135.33</v>
      </c>
      <c r="E4119" s="1">
        <f>IFERROR(__xludf.DUMMYFUNCTION("""COMPUTED_VALUE"""),1144.58)</f>
        <v>1144.58</v>
      </c>
      <c r="F4119" s="1">
        <f>IFERROR(__xludf.DUMMYFUNCTION("""COMPUTED_VALUE"""),1.84390624E8)</f>
        <v>184390624</v>
      </c>
    </row>
    <row r="4120">
      <c r="A4120" s="2">
        <f>IFERROR(__xludf.DUMMYFUNCTION("""COMPUTED_VALUE"""),37343.666666666664)</f>
        <v>37343.66667</v>
      </c>
      <c r="B4120" s="1">
        <f>IFERROR(__xludf.DUMMYFUNCTION("""COMPUTED_VALUE"""),1146.29)</f>
        <v>1146.29</v>
      </c>
      <c r="C4120" s="1">
        <f>IFERROR(__xludf.DUMMYFUNCTION("""COMPUTED_VALUE"""),1154.45)</f>
        <v>1154.45</v>
      </c>
      <c r="D4120" s="1">
        <f>IFERROR(__xludf.DUMMYFUNCTION("""COMPUTED_VALUE"""),1144.98)</f>
        <v>1144.98</v>
      </c>
      <c r="E4120" s="1">
        <f>IFERROR(__xludf.DUMMYFUNCTION("""COMPUTED_VALUE"""),1147.39)</f>
        <v>1147.39</v>
      </c>
      <c r="F4120" s="1">
        <f>IFERROR(__xludf.DUMMYFUNCTION("""COMPUTED_VALUE"""),1.79312496E8)</f>
        <v>179312496</v>
      </c>
    </row>
    <row r="4121">
      <c r="A4121" s="2">
        <f>IFERROR(__xludf.DUMMYFUNCTION("""COMPUTED_VALUE"""),37347.666666666664)</f>
        <v>37347.66667</v>
      </c>
      <c r="B4121" s="1">
        <f>IFERROR(__xludf.DUMMYFUNCTION("""COMPUTED_VALUE"""),1145.96)</f>
        <v>1145.96</v>
      </c>
      <c r="C4121" s="1">
        <f>IFERROR(__xludf.DUMMYFUNCTION("""COMPUTED_VALUE"""),1147.84)</f>
        <v>1147.84</v>
      </c>
      <c r="D4121" s="1">
        <f>IFERROR(__xludf.DUMMYFUNCTION("""COMPUTED_VALUE"""),1132.87)</f>
        <v>1132.87</v>
      </c>
      <c r="E4121" s="1">
        <f>IFERROR(__xludf.DUMMYFUNCTION("""COMPUTED_VALUE"""),1146.54)</f>
        <v>1146.54</v>
      </c>
      <c r="F4121" s="1">
        <f>IFERROR(__xludf.DUMMYFUNCTION("""COMPUTED_VALUE"""),1.6420312E8)</f>
        <v>164203120</v>
      </c>
    </row>
    <row r="4122">
      <c r="A4122" s="2">
        <f>IFERROR(__xludf.DUMMYFUNCTION("""COMPUTED_VALUE"""),37348.666666666664)</f>
        <v>37348.66667</v>
      </c>
      <c r="B4122" s="1">
        <f>IFERROR(__xludf.DUMMYFUNCTION("""COMPUTED_VALUE"""),1143.01)</f>
        <v>1143.01</v>
      </c>
      <c r="C4122" s="1">
        <f>IFERROR(__xludf.DUMMYFUNCTION("""COMPUTED_VALUE"""),1143.01)</f>
        <v>1143.01</v>
      </c>
      <c r="D4122" s="1">
        <f>IFERROR(__xludf.DUMMYFUNCTION("""COMPUTED_VALUE"""),1135.71)</f>
        <v>1135.71</v>
      </c>
      <c r="E4122" s="1">
        <f>IFERROR(__xludf.DUMMYFUNCTION("""COMPUTED_VALUE"""),1136.76)</f>
        <v>1136.76</v>
      </c>
      <c r="F4122" s="1">
        <f>IFERROR(__xludf.DUMMYFUNCTION("""COMPUTED_VALUE"""),1.83859376E8)</f>
        <v>183859376</v>
      </c>
    </row>
    <row r="4123">
      <c r="A4123" s="2">
        <f>IFERROR(__xludf.DUMMYFUNCTION("""COMPUTED_VALUE"""),37349.666666666664)</f>
        <v>37349.66667</v>
      </c>
      <c r="B4123" s="1">
        <f>IFERROR(__xludf.DUMMYFUNCTION("""COMPUTED_VALUE"""),1137.55)</f>
        <v>1137.55</v>
      </c>
      <c r="C4123" s="1">
        <f>IFERROR(__xludf.DUMMYFUNCTION("""COMPUTED_VALUE"""),1138.85)</f>
        <v>1138.85</v>
      </c>
      <c r="D4123" s="1">
        <f>IFERROR(__xludf.DUMMYFUNCTION("""COMPUTED_VALUE"""),1119.68)</f>
        <v>1119.68</v>
      </c>
      <c r="E4123" s="1">
        <f>IFERROR(__xludf.DUMMYFUNCTION("""COMPUTED_VALUE"""),1125.4)</f>
        <v>1125.4</v>
      </c>
      <c r="F4123" s="1">
        <f>IFERROR(__xludf.DUMMYFUNCTION("""COMPUTED_VALUE"""),1.90578128E8)</f>
        <v>190578128</v>
      </c>
    </row>
    <row r="4124">
      <c r="A4124" s="2">
        <f>IFERROR(__xludf.DUMMYFUNCTION("""COMPUTED_VALUE"""),37350.666666666664)</f>
        <v>37350.66667</v>
      </c>
      <c r="B4124" s="1">
        <f>IFERROR(__xludf.DUMMYFUNCTION("""COMPUTED_VALUE"""),1124.96)</f>
        <v>1124.96</v>
      </c>
      <c r="C4124" s="1">
        <f>IFERROR(__xludf.DUMMYFUNCTION("""COMPUTED_VALUE"""),1130.45)</f>
        <v>1130.45</v>
      </c>
      <c r="D4124" s="1">
        <f>IFERROR(__xludf.DUMMYFUNCTION("""COMPUTED_VALUE"""),1120.06)</f>
        <v>1120.06</v>
      </c>
      <c r="E4124" s="1">
        <f>IFERROR(__xludf.DUMMYFUNCTION("""COMPUTED_VALUE"""),1126.34)</f>
        <v>1126.34</v>
      </c>
      <c r="F4124" s="1">
        <f>IFERROR(__xludf.DUMMYFUNCTION("""COMPUTED_VALUE"""),2.00593744E8)</f>
        <v>200593744</v>
      </c>
    </row>
    <row r="4125">
      <c r="A4125" s="2">
        <f>IFERROR(__xludf.DUMMYFUNCTION("""COMPUTED_VALUE"""),37351.666666666664)</f>
        <v>37351.66667</v>
      </c>
      <c r="B4125" s="1">
        <f>IFERROR(__xludf.DUMMYFUNCTION("""COMPUTED_VALUE"""),1127.67)</f>
        <v>1127.67</v>
      </c>
      <c r="C4125" s="1">
        <f>IFERROR(__xludf.DUMMYFUNCTION("""COMPUTED_VALUE"""),1133.31)</f>
        <v>1133.31</v>
      </c>
      <c r="D4125" s="1">
        <f>IFERROR(__xludf.DUMMYFUNCTION("""COMPUTED_VALUE"""),1119.49)</f>
        <v>1119.49</v>
      </c>
      <c r="E4125" s="1">
        <f>IFERROR(__xludf.DUMMYFUNCTION("""COMPUTED_VALUE"""),1122.73)</f>
        <v>1122.73</v>
      </c>
      <c r="F4125" s="1">
        <f>IFERROR(__xludf.DUMMYFUNCTION("""COMPUTED_VALUE"""),1.73468752E8)</f>
        <v>173468752</v>
      </c>
    </row>
    <row r="4126">
      <c r="A4126" s="2">
        <f>IFERROR(__xludf.DUMMYFUNCTION("""COMPUTED_VALUE"""),37354.666666666664)</f>
        <v>37354.66667</v>
      </c>
      <c r="B4126" s="1">
        <f>IFERROR(__xludf.DUMMYFUNCTION("""COMPUTED_VALUE"""),1122.73)</f>
        <v>1122.73</v>
      </c>
      <c r="C4126" s="1">
        <f>IFERROR(__xludf.DUMMYFUNCTION("""COMPUTED_VALUE"""),1125.41)</f>
        <v>1125.41</v>
      </c>
      <c r="D4126" s="1">
        <f>IFERROR(__xludf.DUMMYFUNCTION("""COMPUTED_VALUE"""),1111.79)</f>
        <v>1111.79</v>
      </c>
      <c r="E4126" s="1">
        <f>IFERROR(__xludf.DUMMYFUNCTION("""COMPUTED_VALUE"""),1125.29)</f>
        <v>1125.29</v>
      </c>
      <c r="F4126" s="1">
        <f>IFERROR(__xludf.DUMMYFUNCTION("""COMPUTED_VALUE"""),1.71140624E8)</f>
        <v>171140624</v>
      </c>
    </row>
    <row r="4127">
      <c r="A4127" s="2">
        <f>IFERROR(__xludf.DUMMYFUNCTION("""COMPUTED_VALUE"""),37355.666666666664)</f>
        <v>37355.66667</v>
      </c>
      <c r="B4127" s="1">
        <f>IFERROR(__xludf.DUMMYFUNCTION("""COMPUTED_VALUE"""),1125.53)</f>
        <v>1125.53</v>
      </c>
      <c r="C4127" s="1">
        <f>IFERROR(__xludf.DUMMYFUNCTION("""COMPUTED_VALUE"""),1128.29)</f>
        <v>1128.29</v>
      </c>
      <c r="D4127" s="1">
        <f>IFERROR(__xludf.DUMMYFUNCTION("""COMPUTED_VALUE"""),1116.73)</f>
        <v>1116.73</v>
      </c>
      <c r="E4127" s="1">
        <f>IFERROR(__xludf.DUMMYFUNCTION("""COMPUTED_VALUE"""),1117.8)</f>
        <v>1117.8</v>
      </c>
      <c r="F4127" s="1">
        <f>IFERROR(__xludf.DUMMYFUNCTION("""COMPUTED_VALUE"""),1.93031248E8)</f>
        <v>193031248</v>
      </c>
    </row>
    <row r="4128">
      <c r="A4128" s="2">
        <f>IFERROR(__xludf.DUMMYFUNCTION("""COMPUTED_VALUE"""),37356.666666666664)</f>
        <v>37356.66667</v>
      </c>
      <c r="B4128" s="1">
        <f>IFERROR(__xludf.DUMMYFUNCTION("""COMPUTED_VALUE"""),1119.14)</f>
        <v>1119.14</v>
      </c>
      <c r="C4128" s="1">
        <f>IFERROR(__xludf.DUMMYFUNCTION("""COMPUTED_VALUE"""),1131.76)</f>
        <v>1131.76</v>
      </c>
      <c r="D4128" s="1">
        <f>IFERROR(__xludf.DUMMYFUNCTION("""COMPUTED_VALUE"""),1118.41)</f>
        <v>1118.41</v>
      </c>
      <c r="E4128" s="1">
        <f>IFERROR(__xludf.DUMMYFUNCTION("""COMPUTED_VALUE"""),1130.47)</f>
        <v>1130.47</v>
      </c>
      <c r="F4128" s="1">
        <f>IFERROR(__xludf.DUMMYFUNCTION("""COMPUTED_VALUE"""),2.26234368E8)</f>
        <v>226234368</v>
      </c>
    </row>
    <row r="4129">
      <c r="A4129" s="2">
        <f>IFERROR(__xludf.DUMMYFUNCTION("""COMPUTED_VALUE"""),37357.666666666664)</f>
        <v>37357.66667</v>
      </c>
      <c r="B4129" s="1">
        <f>IFERROR(__xludf.DUMMYFUNCTION("""COMPUTED_VALUE"""),1130.35)</f>
        <v>1130.35</v>
      </c>
      <c r="C4129" s="1">
        <f>IFERROR(__xludf.DUMMYFUNCTION("""COMPUTED_VALUE"""),1130.35)</f>
        <v>1130.35</v>
      </c>
      <c r="D4129" s="1">
        <f>IFERROR(__xludf.DUMMYFUNCTION("""COMPUTED_VALUE"""),1102.42)</f>
        <v>1102.42</v>
      </c>
      <c r="E4129" s="1">
        <f>IFERROR(__xludf.DUMMYFUNCTION("""COMPUTED_VALUE"""),1103.69)</f>
        <v>1103.69</v>
      </c>
      <c r="F4129" s="1">
        <f>IFERROR(__xludf.DUMMYFUNCTION("""COMPUTED_VALUE"""),2.3525E8)</f>
        <v>235250000</v>
      </c>
    </row>
    <row r="4130">
      <c r="A4130" s="2">
        <f>IFERROR(__xludf.DUMMYFUNCTION("""COMPUTED_VALUE"""),37358.666666666664)</f>
        <v>37358.66667</v>
      </c>
      <c r="B4130" s="1">
        <f>IFERROR(__xludf.DUMMYFUNCTION("""COMPUTED_VALUE"""),1105.38)</f>
        <v>1105.38</v>
      </c>
      <c r="C4130" s="1">
        <f>IFERROR(__xludf.DUMMYFUNCTION("""COMPUTED_VALUE"""),1112.77)</f>
        <v>1112.77</v>
      </c>
      <c r="D4130" s="1">
        <f>IFERROR(__xludf.DUMMYFUNCTION("""COMPUTED_VALUE"""),1102.74)</f>
        <v>1102.74</v>
      </c>
      <c r="E4130" s="1">
        <f>IFERROR(__xludf.DUMMYFUNCTION("""COMPUTED_VALUE"""),1111.01)</f>
        <v>1111.01</v>
      </c>
      <c r="F4130" s="1">
        <f>IFERROR(__xludf.DUMMYFUNCTION("""COMPUTED_VALUE"""),2.00328128E8)</f>
        <v>200328128</v>
      </c>
    </row>
    <row r="4131">
      <c r="A4131" s="2">
        <f>IFERROR(__xludf.DUMMYFUNCTION("""COMPUTED_VALUE"""),37361.666666666664)</f>
        <v>37361.66667</v>
      </c>
      <c r="B4131" s="1">
        <f>IFERROR(__xludf.DUMMYFUNCTION("""COMPUTED_VALUE"""),1111.68)</f>
        <v>1111.68</v>
      </c>
      <c r="C4131" s="1">
        <f>IFERROR(__xludf.DUMMYFUNCTION("""COMPUTED_VALUE"""),1114.77)</f>
        <v>1114.77</v>
      </c>
      <c r="D4131" s="1">
        <f>IFERROR(__xludf.DUMMYFUNCTION("""COMPUTED_VALUE"""),1099.41)</f>
        <v>1099.41</v>
      </c>
      <c r="E4131" s="1">
        <f>IFERROR(__xludf.DUMMYFUNCTION("""COMPUTED_VALUE"""),1102.55)</f>
        <v>1102.55</v>
      </c>
      <c r="F4131" s="1">
        <f>IFERROR(__xludf.DUMMYFUNCTION("""COMPUTED_VALUE"""),1.75062496E8)</f>
        <v>175062496</v>
      </c>
    </row>
    <row r="4132">
      <c r="A4132" s="2">
        <f>IFERROR(__xludf.DUMMYFUNCTION("""COMPUTED_VALUE"""),37362.666666666664)</f>
        <v>37362.66667</v>
      </c>
      <c r="B4132" s="1">
        <f>IFERROR(__xludf.DUMMYFUNCTION("""COMPUTED_VALUE"""),1102.55)</f>
        <v>1102.55</v>
      </c>
      <c r="C4132" s="1">
        <f>IFERROR(__xludf.DUMMYFUNCTION("""COMPUTED_VALUE"""),1129.4)</f>
        <v>1129.4</v>
      </c>
      <c r="D4132" s="1">
        <f>IFERROR(__xludf.DUMMYFUNCTION("""COMPUTED_VALUE"""),1102.55)</f>
        <v>1102.55</v>
      </c>
      <c r="E4132" s="1">
        <f>IFERROR(__xludf.DUMMYFUNCTION("""COMPUTED_VALUE"""),1128.37)</f>
        <v>1128.37</v>
      </c>
      <c r="F4132" s="1">
        <f>IFERROR(__xludf.DUMMYFUNCTION("""COMPUTED_VALUE"""),2.09578128E8)</f>
        <v>209578128</v>
      </c>
    </row>
    <row r="4133">
      <c r="A4133" s="2">
        <f>IFERROR(__xludf.DUMMYFUNCTION("""COMPUTED_VALUE"""),37363.666666666664)</f>
        <v>37363.66667</v>
      </c>
      <c r="B4133" s="1">
        <f>IFERROR(__xludf.DUMMYFUNCTION("""COMPUTED_VALUE"""),1130.17)</f>
        <v>1130.17</v>
      </c>
      <c r="C4133" s="1">
        <f>IFERROR(__xludf.DUMMYFUNCTION("""COMPUTED_VALUE"""),1133.0)</f>
        <v>1133</v>
      </c>
      <c r="D4133" s="1">
        <f>IFERROR(__xludf.DUMMYFUNCTION("""COMPUTED_VALUE"""),1123.37)</f>
        <v>1123.37</v>
      </c>
      <c r="E4133" s="1">
        <f>IFERROR(__xludf.DUMMYFUNCTION("""COMPUTED_VALUE"""),1126.07)</f>
        <v>1126.07</v>
      </c>
      <c r="F4133" s="1">
        <f>IFERROR(__xludf.DUMMYFUNCTION("""COMPUTED_VALUE"""),2.15140624E8)</f>
        <v>215140624</v>
      </c>
    </row>
    <row r="4134">
      <c r="A4134" s="2">
        <f>IFERROR(__xludf.DUMMYFUNCTION("""COMPUTED_VALUE"""),37364.666666666664)</f>
        <v>37364.66667</v>
      </c>
      <c r="B4134" s="1">
        <f>IFERROR(__xludf.DUMMYFUNCTION("""COMPUTED_VALUE"""),1125.87)</f>
        <v>1125.87</v>
      </c>
      <c r="C4134" s="1">
        <f>IFERROR(__xludf.DUMMYFUNCTION("""COMPUTED_VALUE"""),1130.49)</f>
        <v>1130.49</v>
      </c>
      <c r="D4134" s="1">
        <f>IFERROR(__xludf.DUMMYFUNCTION("""COMPUTED_VALUE"""),1109.29)</f>
        <v>1109.29</v>
      </c>
      <c r="E4134" s="1">
        <f>IFERROR(__xludf.DUMMYFUNCTION("""COMPUTED_VALUE"""),1124.47)</f>
        <v>1124.47</v>
      </c>
      <c r="F4134" s="1">
        <f>IFERROR(__xludf.DUMMYFUNCTION("""COMPUTED_VALUE"""),2.12390624E8)</f>
        <v>212390624</v>
      </c>
    </row>
    <row r="4135">
      <c r="A4135" s="2">
        <f>IFERROR(__xludf.DUMMYFUNCTION("""COMPUTED_VALUE"""),37365.666666666664)</f>
        <v>37365.66667</v>
      </c>
      <c r="B4135" s="1">
        <f>IFERROR(__xludf.DUMMYFUNCTION("""COMPUTED_VALUE"""),1127.44)</f>
        <v>1127.44</v>
      </c>
      <c r="C4135" s="1">
        <f>IFERROR(__xludf.DUMMYFUNCTION("""COMPUTED_VALUE"""),1128.82)</f>
        <v>1128.82</v>
      </c>
      <c r="D4135" s="1">
        <f>IFERROR(__xludf.DUMMYFUNCTION("""COMPUTED_VALUE"""),1122.59)</f>
        <v>1122.59</v>
      </c>
      <c r="E4135" s="1">
        <f>IFERROR(__xludf.DUMMYFUNCTION("""COMPUTED_VALUE"""),1125.17)</f>
        <v>1125.17</v>
      </c>
      <c r="F4135" s="1">
        <f>IFERROR(__xludf.DUMMYFUNCTION("""COMPUTED_VALUE"""),1.85156256E8)</f>
        <v>185156256</v>
      </c>
    </row>
    <row r="4136">
      <c r="A4136" s="2">
        <f>IFERROR(__xludf.DUMMYFUNCTION("""COMPUTED_VALUE"""),37368.666666666664)</f>
        <v>37368.66667</v>
      </c>
      <c r="B4136" s="1">
        <f>IFERROR(__xludf.DUMMYFUNCTION("""COMPUTED_VALUE"""),1122.68)</f>
        <v>1122.68</v>
      </c>
      <c r="C4136" s="1">
        <f>IFERROR(__xludf.DUMMYFUNCTION("""COMPUTED_VALUE"""),1122.68)</f>
        <v>1122.68</v>
      </c>
      <c r="D4136" s="1">
        <f>IFERROR(__xludf.DUMMYFUNCTION("""COMPUTED_VALUE"""),1105.62)</f>
        <v>1105.62</v>
      </c>
      <c r="E4136" s="1">
        <f>IFERROR(__xludf.DUMMYFUNCTION("""COMPUTED_VALUE"""),1107.83)</f>
        <v>1107.83</v>
      </c>
      <c r="F4136" s="1">
        <f>IFERROR(__xludf.DUMMYFUNCTION("""COMPUTED_VALUE"""),1.84656256E8)</f>
        <v>184656256</v>
      </c>
    </row>
    <row r="4137">
      <c r="A4137" s="2">
        <f>IFERROR(__xludf.DUMMYFUNCTION("""COMPUTED_VALUE"""),37369.666666666664)</f>
        <v>37369.66667</v>
      </c>
      <c r="B4137" s="1">
        <f>IFERROR(__xludf.DUMMYFUNCTION("""COMPUTED_VALUE"""),1107.89)</f>
        <v>1107.89</v>
      </c>
      <c r="C4137" s="1">
        <f>IFERROR(__xludf.DUMMYFUNCTION("""COMPUTED_VALUE"""),1111.17)</f>
        <v>1111.17</v>
      </c>
      <c r="D4137" s="1">
        <f>IFERROR(__xludf.DUMMYFUNCTION("""COMPUTED_VALUE"""),1098.94)</f>
        <v>1098.94</v>
      </c>
      <c r="E4137" s="1">
        <f>IFERROR(__xludf.DUMMYFUNCTION("""COMPUTED_VALUE"""),1100.96)</f>
        <v>1100.96</v>
      </c>
      <c r="F4137" s="1">
        <f>IFERROR(__xludf.DUMMYFUNCTION("""COMPUTED_VALUE"""),2.1695312E8)</f>
        <v>216953120</v>
      </c>
    </row>
    <row r="4138">
      <c r="A4138" s="2">
        <f>IFERROR(__xludf.DUMMYFUNCTION("""COMPUTED_VALUE"""),37370.666666666664)</f>
        <v>37370.66667</v>
      </c>
      <c r="B4138" s="1">
        <f>IFERROR(__xludf.DUMMYFUNCTION("""COMPUTED_VALUE"""),1101.93)</f>
        <v>1101.93</v>
      </c>
      <c r="C4138" s="1">
        <f>IFERROR(__xludf.DUMMYFUNCTION("""COMPUTED_VALUE"""),1108.46)</f>
        <v>1108.46</v>
      </c>
      <c r="D4138" s="1">
        <f>IFERROR(__xludf.DUMMYFUNCTION("""COMPUTED_VALUE"""),1092.51)</f>
        <v>1092.51</v>
      </c>
      <c r="E4138" s="1">
        <f>IFERROR(__xludf.DUMMYFUNCTION("""COMPUTED_VALUE"""),1093.14)</f>
        <v>1093.14</v>
      </c>
      <c r="F4138" s="1">
        <f>IFERROR(__xludf.DUMMYFUNCTION("""COMPUTED_VALUE"""),2.14562496E8)</f>
        <v>214562496</v>
      </c>
    </row>
    <row r="4139">
      <c r="A4139" s="2">
        <f>IFERROR(__xludf.DUMMYFUNCTION("""COMPUTED_VALUE"""),37371.666666666664)</f>
        <v>37371.66667</v>
      </c>
      <c r="B4139" s="1">
        <f>IFERROR(__xludf.DUMMYFUNCTION("""COMPUTED_VALUE"""),1091.94)</f>
        <v>1091.94</v>
      </c>
      <c r="C4139" s="1">
        <f>IFERROR(__xludf.DUMMYFUNCTION("""COMPUTED_VALUE"""),1094.36)</f>
        <v>1094.36</v>
      </c>
      <c r="D4139" s="1">
        <f>IFERROR(__xludf.DUMMYFUNCTION("""COMPUTED_VALUE"""),1084.81)</f>
        <v>1084.81</v>
      </c>
      <c r="E4139" s="1">
        <f>IFERROR(__xludf.DUMMYFUNCTION("""COMPUTED_VALUE"""),1091.48)</f>
        <v>1091.48</v>
      </c>
      <c r="F4139" s="1">
        <f>IFERROR(__xludf.DUMMYFUNCTION("""COMPUTED_VALUE"""),2.37093744E8)</f>
        <v>237093744</v>
      </c>
    </row>
    <row r="4140">
      <c r="A4140" s="2">
        <f>IFERROR(__xludf.DUMMYFUNCTION("""COMPUTED_VALUE"""),37372.666666666664)</f>
        <v>37372.66667</v>
      </c>
      <c r="B4140" s="1">
        <f>IFERROR(__xludf.DUMMYFUNCTION("""COMPUTED_VALUE"""),1092.79)</f>
        <v>1092.79</v>
      </c>
      <c r="C4140" s="1">
        <f>IFERROR(__xludf.DUMMYFUNCTION("""COMPUTED_VALUE"""),1096.77)</f>
        <v>1096.77</v>
      </c>
      <c r="D4140" s="1">
        <f>IFERROR(__xludf.DUMMYFUNCTION("""COMPUTED_VALUE"""),1076.31)</f>
        <v>1076.31</v>
      </c>
      <c r="E4140" s="1">
        <f>IFERROR(__xludf.DUMMYFUNCTION("""COMPUTED_VALUE"""),1076.32)</f>
        <v>1076.32</v>
      </c>
      <c r="F4140" s="1">
        <f>IFERROR(__xludf.DUMMYFUNCTION("""COMPUTED_VALUE"""),2.14718752E8)</f>
        <v>214718752</v>
      </c>
    </row>
    <row r="4141">
      <c r="A4141" s="2">
        <f>IFERROR(__xludf.DUMMYFUNCTION("""COMPUTED_VALUE"""),37375.666666666664)</f>
        <v>37375.66667</v>
      </c>
      <c r="B4141" s="1">
        <f>IFERROR(__xludf.DUMMYFUNCTION("""COMPUTED_VALUE"""),1076.89)</f>
        <v>1076.89</v>
      </c>
      <c r="C4141" s="1">
        <f>IFERROR(__xludf.DUMMYFUNCTION("""COMPUTED_VALUE"""),1078.95)</f>
        <v>1078.95</v>
      </c>
      <c r="D4141" s="1">
        <f>IFERROR(__xludf.DUMMYFUNCTION("""COMPUTED_VALUE"""),1063.62)</f>
        <v>1063.62</v>
      </c>
      <c r="E4141" s="1">
        <f>IFERROR(__xludf.DUMMYFUNCTION("""COMPUTED_VALUE"""),1065.45)</f>
        <v>1065.45</v>
      </c>
      <c r="F4141" s="1">
        <f>IFERROR(__xludf.DUMMYFUNCTION("""COMPUTED_VALUE"""),2.05421872E8)</f>
        <v>205421872</v>
      </c>
    </row>
    <row r="4142">
      <c r="A4142" s="2">
        <f>IFERROR(__xludf.DUMMYFUNCTION("""COMPUTED_VALUE"""),37376.666666666664)</f>
        <v>37376.66667</v>
      </c>
      <c r="B4142" s="1">
        <f>IFERROR(__xludf.DUMMYFUNCTION("""COMPUTED_VALUE"""),1065.45)</f>
        <v>1065.45</v>
      </c>
      <c r="C4142" s="1">
        <f>IFERROR(__xludf.DUMMYFUNCTION("""COMPUTED_VALUE"""),1082.62)</f>
        <v>1082.62</v>
      </c>
      <c r="D4142" s="1">
        <f>IFERROR(__xludf.DUMMYFUNCTION("""COMPUTED_VALUE"""),1063.46)</f>
        <v>1063.46</v>
      </c>
      <c r="E4142" s="1">
        <f>IFERROR(__xludf.DUMMYFUNCTION("""COMPUTED_VALUE"""),1076.92)</f>
        <v>1076.92</v>
      </c>
      <c r="F4142" s="1">
        <f>IFERROR(__xludf.DUMMYFUNCTION("""COMPUTED_VALUE"""),2.54468752E8)</f>
        <v>254468752</v>
      </c>
    </row>
    <row r="4143">
      <c r="A4143" s="2">
        <f>IFERROR(__xludf.DUMMYFUNCTION("""COMPUTED_VALUE"""),37377.666666666664)</f>
        <v>37377.66667</v>
      </c>
      <c r="B4143" s="1">
        <f>IFERROR(__xludf.DUMMYFUNCTION("""COMPUTED_VALUE"""),1076.4)</f>
        <v>1076.4</v>
      </c>
      <c r="C4143" s="1">
        <f>IFERROR(__xludf.DUMMYFUNCTION("""COMPUTED_VALUE"""),1088.32)</f>
        <v>1088.32</v>
      </c>
      <c r="D4143" s="1">
        <f>IFERROR(__xludf.DUMMYFUNCTION("""COMPUTED_VALUE"""),1065.29)</f>
        <v>1065.29</v>
      </c>
      <c r="E4143" s="1">
        <f>IFERROR(__xludf.DUMMYFUNCTION("""COMPUTED_VALUE"""),1086.46)</f>
        <v>1086.46</v>
      </c>
      <c r="F4143" s="1">
        <f>IFERROR(__xludf.DUMMYFUNCTION("""COMPUTED_VALUE"""),2.26781248E8)</f>
        <v>226781248</v>
      </c>
    </row>
    <row r="4144">
      <c r="A4144" s="2">
        <f>IFERROR(__xludf.DUMMYFUNCTION("""COMPUTED_VALUE"""),37378.666666666664)</f>
        <v>37378.66667</v>
      </c>
      <c r="B4144" s="1">
        <f>IFERROR(__xludf.DUMMYFUNCTION("""COMPUTED_VALUE"""),1086.12)</f>
        <v>1086.12</v>
      </c>
      <c r="C4144" s="1">
        <f>IFERROR(__xludf.DUMMYFUNCTION("""COMPUTED_VALUE"""),1091.42)</f>
        <v>1091.42</v>
      </c>
      <c r="D4144" s="1">
        <f>IFERROR(__xludf.DUMMYFUNCTION("""COMPUTED_VALUE"""),1079.46)</f>
        <v>1079.46</v>
      </c>
      <c r="E4144" s="1">
        <f>IFERROR(__xludf.DUMMYFUNCTION("""COMPUTED_VALUE"""),1084.56)</f>
        <v>1084.56</v>
      </c>
      <c r="F4144" s="1">
        <f>IFERROR(__xludf.DUMMYFUNCTION("""COMPUTED_VALUE"""),2.13124992E8)</f>
        <v>213124992</v>
      </c>
    </row>
    <row r="4145">
      <c r="A4145" s="2">
        <f>IFERROR(__xludf.DUMMYFUNCTION("""COMPUTED_VALUE"""),37379.666666666664)</f>
        <v>37379.66667</v>
      </c>
      <c r="B4145" s="1">
        <f>IFERROR(__xludf.DUMMYFUNCTION("""COMPUTED_VALUE"""),1084.2)</f>
        <v>1084.2</v>
      </c>
      <c r="C4145" s="1">
        <f>IFERROR(__xludf.DUMMYFUNCTION("""COMPUTED_VALUE"""),1084.2)</f>
        <v>1084.2</v>
      </c>
      <c r="D4145" s="1">
        <f>IFERROR(__xludf.DUMMYFUNCTION("""COMPUTED_VALUE"""),1068.89)</f>
        <v>1068.89</v>
      </c>
      <c r="E4145" s="1">
        <f>IFERROR(__xludf.DUMMYFUNCTION("""COMPUTED_VALUE"""),1073.43)</f>
        <v>1073.43</v>
      </c>
      <c r="F4145" s="1">
        <f>IFERROR(__xludf.DUMMYFUNCTION("""COMPUTED_VALUE"""),2.0070312E8)</f>
        <v>200703120</v>
      </c>
    </row>
    <row r="4146">
      <c r="A4146" s="2">
        <f>IFERROR(__xludf.DUMMYFUNCTION("""COMPUTED_VALUE"""),37382.666666666664)</f>
        <v>37382.66667</v>
      </c>
      <c r="B4146" s="1">
        <f>IFERROR(__xludf.DUMMYFUNCTION("""COMPUTED_VALUE"""),1073.01)</f>
        <v>1073.01</v>
      </c>
      <c r="C4146" s="1">
        <f>IFERROR(__xludf.DUMMYFUNCTION("""COMPUTED_VALUE"""),1075.96)</f>
        <v>1075.96</v>
      </c>
      <c r="D4146" s="1">
        <f>IFERROR(__xludf.DUMMYFUNCTION("""COMPUTED_VALUE"""),1052.65)</f>
        <v>1052.65</v>
      </c>
      <c r="E4146" s="1">
        <f>IFERROR(__xludf.DUMMYFUNCTION("""COMPUTED_VALUE"""),1052.67)</f>
        <v>1052.67</v>
      </c>
      <c r="F4146" s="1">
        <f>IFERROR(__xludf.DUMMYFUNCTION("""COMPUTED_VALUE"""),1.75406256E8)</f>
        <v>175406256</v>
      </c>
    </row>
    <row r="4147">
      <c r="A4147" s="2">
        <f>IFERROR(__xludf.DUMMYFUNCTION("""COMPUTED_VALUE"""),37383.666666666664)</f>
        <v>37383.66667</v>
      </c>
      <c r="B4147" s="1">
        <f>IFERROR(__xludf.DUMMYFUNCTION("""COMPUTED_VALUE"""),1052.67)</f>
        <v>1052.67</v>
      </c>
      <c r="C4147" s="1">
        <f>IFERROR(__xludf.DUMMYFUNCTION("""COMPUTED_VALUE"""),1058.67)</f>
        <v>1058.67</v>
      </c>
      <c r="D4147" s="1">
        <f>IFERROR(__xludf.DUMMYFUNCTION("""COMPUTED_VALUE"""),1048.96)</f>
        <v>1048.96</v>
      </c>
      <c r="E4147" s="1">
        <f>IFERROR(__xludf.DUMMYFUNCTION("""COMPUTED_VALUE"""),1049.49)</f>
        <v>1049.49</v>
      </c>
      <c r="F4147" s="1">
        <f>IFERROR(__xludf.DUMMYFUNCTION("""COMPUTED_VALUE"""),2.11671872E8)</f>
        <v>211671872</v>
      </c>
    </row>
    <row r="4148">
      <c r="A4148" s="2">
        <f>IFERROR(__xludf.DUMMYFUNCTION("""COMPUTED_VALUE"""),37384.666666666664)</f>
        <v>37384.66667</v>
      </c>
      <c r="B4148" s="1">
        <f>IFERROR(__xludf.DUMMYFUNCTION("""COMPUTED_VALUE"""),1055.97)</f>
        <v>1055.97</v>
      </c>
      <c r="C4148" s="1">
        <f>IFERROR(__xludf.DUMMYFUNCTION("""COMPUTED_VALUE"""),1088.92)</f>
        <v>1088.92</v>
      </c>
      <c r="D4148" s="1">
        <f>IFERROR(__xludf.DUMMYFUNCTION("""COMPUTED_VALUE"""),1055.97)</f>
        <v>1055.97</v>
      </c>
      <c r="E4148" s="1">
        <f>IFERROR(__xludf.DUMMYFUNCTION("""COMPUTED_VALUE"""),1088.85)</f>
        <v>1088.85</v>
      </c>
      <c r="F4148" s="1">
        <f>IFERROR(__xludf.DUMMYFUNCTION("""COMPUTED_VALUE"""),2.34687504E8)</f>
        <v>234687504</v>
      </c>
    </row>
    <row r="4149">
      <c r="A4149" s="2">
        <f>IFERROR(__xludf.DUMMYFUNCTION("""COMPUTED_VALUE"""),37385.666666666664)</f>
        <v>37385.66667</v>
      </c>
      <c r="B4149" s="1">
        <f>IFERROR(__xludf.DUMMYFUNCTION("""COMPUTED_VALUE"""),1088.85)</f>
        <v>1088.85</v>
      </c>
      <c r="C4149" s="1">
        <f>IFERROR(__xludf.DUMMYFUNCTION("""COMPUTED_VALUE"""),1088.85)</f>
        <v>1088.85</v>
      </c>
      <c r="D4149" s="1">
        <f>IFERROR(__xludf.DUMMYFUNCTION("""COMPUTED_VALUE"""),1072.23)</f>
        <v>1072.23</v>
      </c>
      <c r="E4149" s="1">
        <f>IFERROR(__xludf.DUMMYFUNCTION("""COMPUTED_VALUE"""),1073.01)</f>
        <v>1073.01</v>
      </c>
      <c r="F4149" s="1">
        <f>IFERROR(__xludf.DUMMYFUNCTION("""COMPUTED_VALUE"""),1.80156256E8)</f>
        <v>180156256</v>
      </c>
    </row>
    <row r="4150">
      <c r="A4150" s="2">
        <f>IFERROR(__xludf.DUMMYFUNCTION("""COMPUTED_VALUE"""),37386.666666666664)</f>
        <v>37386.66667</v>
      </c>
      <c r="B4150" s="1">
        <f>IFERROR(__xludf.DUMMYFUNCTION("""COMPUTED_VALUE"""),1074.25)</f>
        <v>1074.25</v>
      </c>
      <c r="C4150" s="1">
        <f>IFERROR(__xludf.DUMMYFUNCTION("""COMPUTED_VALUE"""),1075.43)</f>
        <v>1075.43</v>
      </c>
      <c r="D4150" s="1">
        <f>IFERROR(__xludf.DUMMYFUNCTION("""COMPUTED_VALUE"""),1053.93)</f>
        <v>1053.93</v>
      </c>
      <c r="E4150" s="1">
        <f>IFERROR(__xludf.DUMMYFUNCTION("""COMPUTED_VALUE"""),1054.99)</f>
        <v>1054.99</v>
      </c>
      <c r="F4150" s="1">
        <f>IFERROR(__xludf.DUMMYFUNCTION("""COMPUTED_VALUE"""),1.83109376E8)</f>
        <v>183109376</v>
      </c>
    </row>
    <row r="4151">
      <c r="A4151" s="2">
        <f>IFERROR(__xludf.DUMMYFUNCTION("""COMPUTED_VALUE"""),37389.666666666664)</f>
        <v>37389.66667</v>
      </c>
      <c r="B4151" s="1">
        <f>IFERROR(__xludf.DUMMYFUNCTION("""COMPUTED_VALUE"""),1056.26)</f>
        <v>1056.26</v>
      </c>
      <c r="C4151" s="1">
        <f>IFERROR(__xludf.DUMMYFUNCTION("""COMPUTED_VALUE"""),1074.84)</f>
        <v>1074.84</v>
      </c>
      <c r="D4151" s="1">
        <f>IFERROR(__xludf.DUMMYFUNCTION("""COMPUTED_VALUE"""),1053.9)</f>
        <v>1053.9</v>
      </c>
      <c r="E4151" s="1">
        <f>IFERROR(__xludf.DUMMYFUNCTION("""COMPUTED_VALUE"""),1074.56)</f>
        <v>1074.56</v>
      </c>
      <c r="F4151" s="1">
        <f>IFERROR(__xludf.DUMMYFUNCTION("""COMPUTED_VALUE"""),1.70093744E8)</f>
        <v>170093744</v>
      </c>
    </row>
    <row r="4152">
      <c r="A4152" s="2">
        <f>IFERROR(__xludf.DUMMYFUNCTION("""COMPUTED_VALUE"""),37390.666666666664)</f>
        <v>37390.66667</v>
      </c>
      <c r="B4152" s="1">
        <f>IFERROR(__xludf.DUMMYFUNCTION("""COMPUTED_VALUE"""),1076.15)</f>
        <v>1076.15</v>
      </c>
      <c r="C4152" s="1">
        <f>IFERROR(__xludf.DUMMYFUNCTION("""COMPUTED_VALUE"""),1097.71)</f>
        <v>1097.71</v>
      </c>
      <c r="D4152" s="1">
        <f>IFERROR(__xludf.DUMMYFUNCTION("""COMPUTED_VALUE"""),1076.15)</f>
        <v>1076.15</v>
      </c>
      <c r="E4152" s="1">
        <f>IFERROR(__xludf.DUMMYFUNCTION("""COMPUTED_VALUE"""),1097.28)</f>
        <v>1097.28</v>
      </c>
      <c r="F4152" s="1">
        <f>IFERROR(__xludf.DUMMYFUNCTION("""COMPUTED_VALUE"""),2.21015632E8)</f>
        <v>221015632</v>
      </c>
    </row>
    <row r="4153">
      <c r="A4153" s="2">
        <f>IFERROR(__xludf.DUMMYFUNCTION("""COMPUTED_VALUE"""),37391.666666666664)</f>
        <v>37391.66667</v>
      </c>
      <c r="B4153" s="1">
        <f>IFERROR(__xludf.DUMMYFUNCTION("""COMPUTED_VALUE"""),1096.83)</f>
        <v>1096.83</v>
      </c>
      <c r="C4153" s="1">
        <f>IFERROR(__xludf.DUMMYFUNCTION("""COMPUTED_VALUE"""),1104.23)</f>
        <v>1104.23</v>
      </c>
      <c r="D4153" s="1">
        <f>IFERROR(__xludf.DUMMYFUNCTION("""COMPUTED_VALUE"""),1088.94)</f>
        <v>1088.94</v>
      </c>
      <c r="E4153" s="1">
        <f>IFERROR(__xludf.DUMMYFUNCTION("""COMPUTED_VALUE"""),1091.07)</f>
        <v>1091.07</v>
      </c>
      <c r="F4153" s="1">
        <f>IFERROR(__xludf.DUMMYFUNCTION("""COMPUTED_VALUE"""),2.21906256E8)</f>
        <v>221906256</v>
      </c>
    </row>
    <row r="4154">
      <c r="A4154" s="2">
        <f>IFERROR(__xludf.DUMMYFUNCTION("""COMPUTED_VALUE"""),37392.666666666664)</f>
        <v>37392.66667</v>
      </c>
      <c r="B4154" s="1">
        <f>IFERROR(__xludf.DUMMYFUNCTION("""COMPUTED_VALUE"""),1091.0)</f>
        <v>1091</v>
      </c>
      <c r="C4154" s="1">
        <f>IFERROR(__xludf.DUMMYFUNCTION("""COMPUTED_VALUE"""),1099.29)</f>
        <v>1099.29</v>
      </c>
      <c r="D4154" s="1">
        <f>IFERROR(__xludf.DUMMYFUNCTION("""COMPUTED_VALUE"""),1089.17)</f>
        <v>1089.17</v>
      </c>
      <c r="E4154" s="1">
        <f>IFERROR(__xludf.DUMMYFUNCTION("""COMPUTED_VALUE"""),1098.23)</f>
        <v>1098.23</v>
      </c>
      <c r="F4154" s="1">
        <f>IFERROR(__xludf.DUMMYFUNCTION("""COMPUTED_VALUE"""),1.96343744E8)</f>
        <v>196343744</v>
      </c>
    </row>
    <row r="4155">
      <c r="A4155" s="2">
        <f>IFERROR(__xludf.DUMMYFUNCTION("""COMPUTED_VALUE"""),37393.666666666664)</f>
        <v>37393.66667</v>
      </c>
      <c r="B4155" s="1">
        <f>IFERROR(__xludf.DUMMYFUNCTION("""COMPUTED_VALUE"""),1099.78)</f>
        <v>1099.78</v>
      </c>
      <c r="C4155" s="1">
        <f>IFERROR(__xludf.DUMMYFUNCTION("""COMPUTED_VALUE"""),1106.59)</f>
        <v>1106.59</v>
      </c>
      <c r="D4155" s="1">
        <f>IFERROR(__xludf.DUMMYFUNCTION("""COMPUTED_VALUE"""),1096.77)</f>
        <v>1096.77</v>
      </c>
      <c r="E4155" s="1">
        <f>IFERROR(__xludf.DUMMYFUNCTION("""COMPUTED_VALUE"""),1106.59)</f>
        <v>1106.59</v>
      </c>
      <c r="F4155" s="1">
        <f>IFERROR(__xludf.DUMMYFUNCTION("""COMPUTED_VALUE"""),1.99124992E8)</f>
        <v>199124992</v>
      </c>
    </row>
    <row r="4156">
      <c r="A4156" s="2">
        <f>IFERROR(__xludf.DUMMYFUNCTION("""COMPUTED_VALUE"""),37396.666666666664)</f>
        <v>37396.66667</v>
      </c>
      <c r="B4156" s="1">
        <f>IFERROR(__xludf.DUMMYFUNCTION("""COMPUTED_VALUE"""),1104.1)</f>
        <v>1104.1</v>
      </c>
      <c r="C4156" s="1">
        <f>IFERROR(__xludf.DUMMYFUNCTION("""COMPUTED_VALUE"""),1104.1)</f>
        <v>1104.1</v>
      </c>
      <c r="D4156" s="1">
        <f>IFERROR(__xludf.DUMMYFUNCTION("""COMPUTED_VALUE"""),1090.61)</f>
        <v>1090.61</v>
      </c>
      <c r="E4156" s="1">
        <f>IFERROR(__xludf.DUMMYFUNCTION("""COMPUTED_VALUE"""),1091.88)</f>
        <v>1091.88</v>
      </c>
      <c r="F4156" s="1">
        <f>IFERROR(__xludf.DUMMYFUNCTION("""COMPUTED_VALUE"""),1.54656256E8)</f>
        <v>154656256</v>
      </c>
    </row>
    <row r="4157">
      <c r="A4157" s="2">
        <f>IFERROR(__xludf.DUMMYFUNCTION("""COMPUTED_VALUE"""),37397.666666666664)</f>
        <v>37397.66667</v>
      </c>
      <c r="B4157" s="1">
        <f>IFERROR(__xludf.DUMMYFUNCTION("""COMPUTED_VALUE"""),1092.46)</f>
        <v>1092.46</v>
      </c>
      <c r="C4157" s="1">
        <f>IFERROR(__xludf.DUMMYFUNCTION("""COMPUTED_VALUE"""),1099.55)</f>
        <v>1099.55</v>
      </c>
      <c r="D4157" s="1">
        <f>IFERROR(__xludf.DUMMYFUNCTION("""COMPUTED_VALUE"""),1079.08)</f>
        <v>1079.08</v>
      </c>
      <c r="E4157" s="1">
        <f>IFERROR(__xludf.DUMMYFUNCTION("""COMPUTED_VALUE"""),1079.88)</f>
        <v>1079.88</v>
      </c>
      <c r="F4157" s="1">
        <f>IFERROR(__xludf.DUMMYFUNCTION("""COMPUTED_VALUE"""),1.87578128E8)</f>
        <v>187578128</v>
      </c>
    </row>
    <row r="4158">
      <c r="A4158" s="2">
        <f>IFERROR(__xludf.DUMMYFUNCTION("""COMPUTED_VALUE"""),37398.666666666664)</f>
        <v>37398.66667</v>
      </c>
      <c r="B4158" s="1">
        <f>IFERROR(__xludf.DUMMYFUNCTION("""COMPUTED_VALUE"""),1078.83)</f>
        <v>1078.83</v>
      </c>
      <c r="C4158" s="1">
        <f>IFERROR(__xludf.DUMMYFUNCTION("""COMPUTED_VALUE"""),1086.02)</f>
        <v>1086.02</v>
      </c>
      <c r="D4158" s="1">
        <f>IFERROR(__xludf.DUMMYFUNCTION("""COMPUTED_VALUE"""),1075.64)</f>
        <v>1075.64</v>
      </c>
      <c r="E4158" s="1">
        <f>IFERROR(__xludf.DUMMYFUNCTION("""COMPUTED_VALUE"""),1086.02)</f>
        <v>1086.02</v>
      </c>
      <c r="F4158" s="1">
        <f>IFERROR(__xludf.DUMMYFUNCTION("""COMPUTED_VALUE"""),1.7754688E8)</f>
        <v>177546880</v>
      </c>
    </row>
    <row r="4159">
      <c r="A4159" s="2">
        <f>IFERROR(__xludf.DUMMYFUNCTION("""COMPUTED_VALUE"""),37399.666666666664)</f>
        <v>37399.66667</v>
      </c>
      <c r="B4159" s="1">
        <f>IFERROR(__xludf.DUMMYFUNCTION("""COMPUTED_VALUE"""),1086.62)</f>
        <v>1086.62</v>
      </c>
      <c r="C4159" s="1">
        <f>IFERROR(__xludf.DUMMYFUNCTION("""COMPUTED_VALUE"""),1097.1)</f>
        <v>1097.1</v>
      </c>
      <c r="D4159" s="1">
        <f>IFERROR(__xludf.DUMMYFUNCTION("""COMPUTED_VALUE"""),1080.55)</f>
        <v>1080.55</v>
      </c>
      <c r="E4159" s="1">
        <f>IFERROR(__xludf.DUMMYFUNCTION("""COMPUTED_VALUE"""),1097.08)</f>
        <v>1097.08</v>
      </c>
      <c r="F4159" s="1">
        <f>IFERROR(__xludf.DUMMYFUNCTION("""COMPUTED_VALUE"""),1.86390624E8)</f>
        <v>186390624</v>
      </c>
    </row>
    <row r="4160">
      <c r="A4160" s="2">
        <f>IFERROR(__xludf.DUMMYFUNCTION("""COMPUTED_VALUE"""),37400.666666666664)</f>
        <v>37400.66667</v>
      </c>
      <c r="B4160" s="1">
        <f>IFERROR(__xludf.DUMMYFUNCTION("""COMPUTED_VALUE"""),1094.66)</f>
        <v>1094.66</v>
      </c>
      <c r="C4160" s="1">
        <f>IFERROR(__xludf.DUMMYFUNCTION("""COMPUTED_VALUE"""),1095.99)</f>
        <v>1095.99</v>
      </c>
      <c r="D4160" s="1">
        <f>IFERROR(__xludf.DUMMYFUNCTION("""COMPUTED_VALUE"""),1082.19)</f>
        <v>1082.19</v>
      </c>
      <c r="E4160" s="1">
        <f>IFERROR(__xludf.DUMMYFUNCTION("""COMPUTED_VALUE"""),1083.82)</f>
        <v>1083.82</v>
      </c>
      <c r="F4160" s="1">
        <f>IFERROR(__xludf.DUMMYFUNCTION("""COMPUTED_VALUE"""),1.38343744E8)</f>
        <v>138343744</v>
      </c>
    </row>
    <row r="4161">
      <c r="A4161" s="2">
        <f>IFERROR(__xludf.DUMMYFUNCTION("""COMPUTED_VALUE"""),37404.666666666664)</f>
        <v>37404.66667</v>
      </c>
      <c r="B4161" s="1">
        <f>IFERROR(__xludf.DUMMYFUNCTION("""COMPUTED_VALUE"""),1084.58)</f>
        <v>1084.58</v>
      </c>
      <c r="C4161" s="1">
        <f>IFERROR(__xludf.DUMMYFUNCTION("""COMPUTED_VALUE"""),1085.98)</f>
        <v>1085.98</v>
      </c>
      <c r="D4161" s="1">
        <f>IFERROR(__xludf.DUMMYFUNCTION("""COMPUTED_VALUE"""),1070.31)</f>
        <v>1070.31</v>
      </c>
      <c r="E4161" s="1">
        <f>IFERROR(__xludf.DUMMYFUNCTION("""COMPUTED_VALUE"""),1074.55)</f>
        <v>1074.55</v>
      </c>
      <c r="F4161" s="1">
        <f>IFERROR(__xludf.DUMMYFUNCTION("""COMPUTED_VALUE"""),1.5570312E8)</f>
        <v>155703120</v>
      </c>
    </row>
    <row r="4162">
      <c r="A4162" s="2">
        <f>IFERROR(__xludf.DUMMYFUNCTION("""COMPUTED_VALUE"""),37405.666666666664)</f>
        <v>37405.66667</v>
      </c>
      <c r="B4162" s="1">
        <f>IFERROR(__xludf.DUMMYFUNCTION("""COMPUTED_VALUE"""),1074.55)</f>
        <v>1074.55</v>
      </c>
      <c r="C4162" s="1">
        <f>IFERROR(__xludf.DUMMYFUNCTION("""COMPUTED_VALUE"""),1074.83)</f>
        <v>1074.83</v>
      </c>
      <c r="D4162" s="1">
        <f>IFERROR(__xludf.DUMMYFUNCTION("""COMPUTED_VALUE"""),1067.66)</f>
        <v>1067.66</v>
      </c>
      <c r="E4162" s="1">
        <f>IFERROR(__xludf.DUMMYFUNCTION("""COMPUTED_VALUE"""),1067.66)</f>
        <v>1067.66</v>
      </c>
      <c r="F4162" s="1">
        <f>IFERROR(__xludf.DUMMYFUNCTION("""COMPUTED_VALUE"""),1.69031248E8)</f>
        <v>169031248</v>
      </c>
    </row>
    <row r="4163">
      <c r="A4163" s="2">
        <f>IFERROR(__xludf.DUMMYFUNCTION("""COMPUTED_VALUE"""),37406.666666666664)</f>
        <v>37406.66667</v>
      </c>
      <c r="B4163" s="1">
        <f>IFERROR(__xludf.DUMMYFUNCTION("""COMPUTED_VALUE"""),1067.66)</f>
        <v>1067.66</v>
      </c>
      <c r="C4163" s="1">
        <f>IFERROR(__xludf.DUMMYFUNCTION("""COMPUTED_VALUE"""),1069.5)</f>
        <v>1069.5</v>
      </c>
      <c r="D4163" s="1">
        <f>IFERROR(__xludf.DUMMYFUNCTION("""COMPUTED_VALUE"""),1054.26)</f>
        <v>1054.26</v>
      </c>
      <c r="E4163" s="1">
        <f>IFERROR(__xludf.DUMMYFUNCTION("""COMPUTED_VALUE"""),1064.66)</f>
        <v>1064.66</v>
      </c>
      <c r="F4163" s="1">
        <f>IFERROR(__xludf.DUMMYFUNCTION("""COMPUTED_VALUE"""),2.01031248E8)</f>
        <v>201031248</v>
      </c>
    </row>
    <row r="4164">
      <c r="A4164" s="2">
        <f>IFERROR(__xludf.DUMMYFUNCTION("""COMPUTED_VALUE"""),37407.666666666664)</f>
        <v>37407.66667</v>
      </c>
      <c r="B4164" s="1">
        <f>IFERROR(__xludf.DUMMYFUNCTION("""COMPUTED_VALUE"""),1065.82)</f>
        <v>1065.82</v>
      </c>
      <c r="C4164" s="1">
        <f>IFERROR(__xludf.DUMMYFUNCTION("""COMPUTED_VALUE"""),1079.93)</f>
        <v>1079.93</v>
      </c>
      <c r="D4164" s="1">
        <f>IFERROR(__xludf.DUMMYFUNCTION("""COMPUTED_VALUE"""),1065.82)</f>
        <v>1065.82</v>
      </c>
      <c r="E4164" s="1">
        <f>IFERROR(__xludf.DUMMYFUNCTION("""COMPUTED_VALUE"""),1067.14)</f>
        <v>1067.14</v>
      </c>
      <c r="F4164" s="1">
        <f>IFERROR(__xludf.DUMMYFUNCTION("""COMPUTED_VALUE"""),1.99578128E8)</f>
        <v>199578128</v>
      </c>
    </row>
    <row r="4165">
      <c r="A4165" s="2">
        <f>IFERROR(__xludf.DUMMYFUNCTION("""COMPUTED_VALUE"""),37410.666666666664)</f>
        <v>37410.66667</v>
      </c>
      <c r="B4165" s="1">
        <f>IFERROR(__xludf.DUMMYFUNCTION("""COMPUTED_VALUE"""),1066.77)</f>
        <v>1066.77</v>
      </c>
      <c r="C4165" s="1">
        <f>IFERROR(__xludf.DUMMYFUNCTION("""COMPUTED_VALUE"""),1070.74)</f>
        <v>1070.74</v>
      </c>
      <c r="D4165" s="1">
        <f>IFERROR(__xludf.DUMMYFUNCTION("""COMPUTED_VALUE"""),1039.9)</f>
        <v>1039.9</v>
      </c>
      <c r="E4165" s="1">
        <f>IFERROR(__xludf.DUMMYFUNCTION("""COMPUTED_VALUE"""),1040.68)</f>
        <v>1040.68</v>
      </c>
      <c r="F4165" s="1">
        <f>IFERROR(__xludf.DUMMYFUNCTION("""COMPUTED_VALUE"""),2.06921872E8)</f>
        <v>206921872</v>
      </c>
    </row>
    <row r="4166">
      <c r="A4166" s="2">
        <f>IFERROR(__xludf.DUMMYFUNCTION("""COMPUTED_VALUE"""),37411.666666666664)</f>
        <v>37411.66667</v>
      </c>
      <c r="B4166" s="1">
        <f>IFERROR(__xludf.DUMMYFUNCTION("""COMPUTED_VALUE"""),1040.43)</f>
        <v>1040.43</v>
      </c>
      <c r="C4166" s="1">
        <f>IFERROR(__xludf.DUMMYFUNCTION("""COMPUTED_VALUE"""),1046.06)</f>
        <v>1046.06</v>
      </c>
      <c r="D4166" s="1">
        <f>IFERROR(__xludf.DUMMYFUNCTION("""COMPUTED_VALUE"""),1030.52)</f>
        <v>1030.52</v>
      </c>
      <c r="E4166" s="1">
        <f>IFERROR(__xludf.DUMMYFUNCTION("""COMPUTED_VALUE"""),1040.69)</f>
        <v>1040.69</v>
      </c>
      <c r="F4166" s="1">
        <f>IFERROR(__xludf.DUMMYFUNCTION("""COMPUTED_VALUE"""),2.29156256E8)</f>
        <v>229156256</v>
      </c>
    </row>
    <row r="4167">
      <c r="A4167" s="2">
        <f>IFERROR(__xludf.DUMMYFUNCTION("""COMPUTED_VALUE"""),37412.666666666664)</f>
        <v>37412.66667</v>
      </c>
      <c r="B4167" s="1">
        <f>IFERROR(__xludf.DUMMYFUNCTION("""COMPUTED_VALUE"""),1041.12)</f>
        <v>1041.12</v>
      </c>
      <c r="C4167" s="1">
        <f>IFERROR(__xludf.DUMMYFUNCTION("""COMPUTED_VALUE"""),1050.11)</f>
        <v>1050.11</v>
      </c>
      <c r="D4167" s="1">
        <f>IFERROR(__xludf.DUMMYFUNCTION("""COMPUTED_VALUE"""),1038.84)</f>
        <v>1038.84</v>
      </c>
      <c r="E4167" s="1">
        <f>IFERROR(__xludf.DUMMYFUNCTION("""COMPUTED_VALUE"""),1049.9)</f>
        <v>1049.9</v>
      </c>
      <c r="F4167" s="1">
        <f>IFERROR(__xludf.DUMMYFUNCTION("""COMPUTED_VALUE"""),2.03140624E8)</f>
        <v>203140624</v>
      </c>
    </row>
    <row r="4168">
      <c r="A4168" s="2">
        <f>IFERROR(__xludf.DUMMYFUNCTION("""COMPUTED_VALUE"""),37413.666666666664)</f>
        <v>37413.66667</v>
      </c>
      <c r="B4168" s="1">
        <f>IFERROR(__xludf.DUMMYFUNCTION("""COMPUTED_VALUE"""),1049.33)</f>
        <v>1049.33</v>
      </c>
      <c r="C4168" s="1">
        <f>IFERROR(__xludf.DUMMYFUNCTION("""COMPUTED_VALUE"""),1049.33)</f>
        <v>1049.33</v>
      </c>
      <c r="D4168" s="1">
        <f>IFERROR(__xludf.DUMMYFUNCTION("""COMPUTED_VALUE"""),1026.91)</f>
        <v>1026.91</v>
      </c>
      <c r="E4168" s="1">
        <f>IFERROR(__xludf.DUMMYFUNCTION("""COMPUTED_VALUE"""),1029.15)</f>
        <v>1029.15</v>
      </c>
      <c r="F4168" s="1">
        <f>IFERROR(__xludf.DUMMYFUNCTION("""COMPUTED_VALUE"""),2.50234368E8)</f>
        <v>250234368</v>
      </c>
    </row>
    <row r="4169">
      <c r="A4169" s="2">
        <f>IFERROR(__xludf.DUMMYFUNCTION("""COMPUTED_VALUE"""),37414.666666666664)</f>
        <v>37414.66667</v>
      </c>
      <c r="B4169" s="1">
        <f>IFERROR(__xludf.DUMMYFUNCTION("""COMPUTED_VALUE"""),1025.06)</f>
        <v>1025.06</v>
      </c>
      <c r="C4169" s="1">
        <f>IFERROR(__xludf.DUMMYFUNCTION("""COMPUTED_VALUE"""),1033.02)</f>
        <v>1033.02</v>
      </c>
      <c r="D4169" s="1">
        <f>IFERROR(__xludf.DUMMYFUNCTION("""COMPUTED_VALUE"""),1012.49)</f>
        <v>1012.49</v>
      </c>
      <c r="E4169" s="1">
        <f>IFERROR(__xludf.DUMMYFUNCTION("""COMPUTED_VALUE"""),1027.53)</f>
        <v>1027.53</v>
      </c>
      <c r="F4169" s="1">
        <f>IFERROR(__xludf.DUMMYFUNCTION("""COMPUTED_VALUE"""),2.09578128E8)</f>
        <v>209578128</v>
      </c>
    </row>
    <row r="4170">
      <c r="A4170" s="2">
        <f>IFERROR(__xludf.DUMMYFUNCTION("""COMPUTED_VALUE"""),37417.666666666664)</f>
        <v>37417.66667</v>
      </c>
      <c r="B4170" s="1">
        <f>IFERROR(__xludf.DUMMYFUNCTION("""COMPUTED_VALUE"""),1027.16)</f>
        <v>1027.16</v>
      </c>
      <c r="C4170" s="1">
        <f>IFERROR(__xludf.DUMMYFUNCTION("""COMPUTED_VALUE"""),1038.18)</f>
        <v>1038.18</v>
      </c>
      <c r="D4170" s="1">
        <f>IFERROR(__xludf.DUMMYFUNCTION("""COMPUTED_VALUE"""),1025.45)</f>
        <v>1025.45</v>
      </c>
      <c r="E4170" s="1">
        <f>IFERROR(__xludf.DUMMYFUNCTION("""COMPUTED_VALUE"""),1030.74)</f>
        <v>1030.74</v>
      </c>
      <c r="F4170" s="1">
        <f>IFERROR(__xludf.DUMMYFUNCTION("""COMPUTED_VALUE"""),1.91593744E8)</f>
        <v>191593744</v>
      </c>
    </row>
    <row r="4171">
      <c r="A4171" s="2">
        <f>IFERROR(__xludf.DUMMYFUNCTION("""COMPUTED_VALUE"""),37418.666666666664)</f>
        <v>37418.66667</v>
      </c>
      <c r="B4171" s="1">
        <f>IFERROR(__xludf.DUMMYFUNCTION("""COMPUTED_VALUE"""),1031.54)</f>
        <v>1031.54</v>
      </c>
      <c r="C4171" s="1">
        <f>IFERROR(__xludf.DUMMYFUNCTION("""COMPUTED_VALUE"""),1039.04)</f>
        <v>1039.04</v>
      </c>
      <c r="D4171" s="1">
        <f>IFERROR(__xludf.DUMMYFUNCTION("""COMPUTED_VALUE"""),1012.94)</f>
        <v>1012.94</v>
      </c>
      <c r="E4171" s="1">
        <f>IFERROR(__xludf.DUMMYFUNCTION("""COMPUTED_VALUE"""),1013.6)</f>
        <v>1013.6</v>
      </c>
      <c r="F4171" s="1">
        <f>IFERROR(__xludf.DUMMYFUNCTION("""COMPUTED_VALUE"""),1.89437504E8)</f>
        <v>189437504</v>
      </c>
    </row>
    <row r="4172">
      <c r="A4172" s="2">
        <f>IFERROR(__xludf.DUMMYFUNCTION("""COMPUTED_VALUE"""),37419.666666666664)</f>
        <v>37419.66667</v>
      </c>
      <c r="B4172" s="1">
        <f>IFERROR(__xludf.DUMMYFUNCTION("""COMPUTED_VALUE"""),1012.91)</f>
        <v>1012.91</v>
      </c>
      <c r="C4172" s="1">
        <f>IFERROR(__xludf.DUMMYFUNCTION("""COMPUTED_VALUE"""),1021.85)</f>
        <v>1021.85</v>
      </c>
      <c r="D4172" s="1">
        <f>IFERROR(__xludf.DUMMYFUNCTION("""COMPUTED_VALUE"""),1002.58)</f>
        <v>1002.58</v>
      </c>
      <c r="E4172" s="1">
        <f>IFERROR(__xludf.DUMMYFUNCTION("""COMPUTED_VALUE"""),1020.26)</f>
        <v>1020.26</v>
      </c>
      <c r="F4172" s="1">
        <f>IFERROR(__xludf.DUMMYFUNCTION("""COMPUTED_VALUE"""),2.80581248E8)</f>
        <v>280581248</v>
      </c>
    </row>
    <row r="4173">
      <c r="A4173" s="2">
        <f>IFERROR(__xludf.DUMMYFUNCTION("""COMPUTED_VALUE"""),37420.666666666664)</f>
        <v>37420.66667</v>
      </c>
      <c r="B4173" s="1">
        <f>IFERROR(__xludf.DUMMYFUNCTION("""COMPUTED_VALUE"""),1019.45)</f>
        <v>1019.45</v>
      </c>
      <c r="C4173" s="1">
        <f>IFERROR(__xludf.DUMMYFUNCTION("""COMPUTED_VALUE"""),1023.47)</f>
        <v>1023.47</v>
      </c>
      <c r="D4173" s="1">
        <f>IFERROR(__xludf.DUMMYFUNCTION("""COMPUTED_VALUE"""),1008.12)</f>
        <v>1008.12</v>
      </c>
      <c r="E4173" s="1">
        <f>IFERROR(__xludf.DUMMYFUNCTION("""COMPUTED_VALUE"""),1009.56)</f>
        <v>1009.56</v>
      </c>
      <c r="F4173" s="1">
        <f>IFERROR(__xludf.DUMMYFUNCTION("""COMPUTED_VALUE"""),2.19609376E8)</f>
        <v>219609376</v>
      </c>
    </row>
    <row r="4174">
      <c r="A4174" s="2">
        <f>IFERROR(__xludf.DUMMYFUNCTION("""COMPUTED_VALUE"""),37421.666666666664)</f>
        <v>37421.66667</v>
      </c>
      <c r="B4174" s="1">
        <f>IFERROR(__xludf.DUMMYFUNCTION("""COMPUTED_VALUE"""),1007.48)</f>
        <v>1007.48</v>
      </c>
      <c r="C4174" s="1">
        <f>IFERROR(__xludf.DUMMYFUNCTION("""COMPUTED_VALUE"""),1009.13)</f>
        <v>1009.13</v>
      </c>
      <c r="D4174" s="1">
        <f>IFERROR(__xludf.DUMMYFUNCTION("""COMPUTED_VALUE"""),981.63)</f>
        <v>981.63</v>
      </c>
      <c r="E4174" s="1">
        <f>IFERROR(__xludf.DUMMYFUNCTION("""COMPUTED_VALUE"""),1007.27)</f>
        <v>1007.27</v>
      </c>
      <c r="F4174" s="1">
        <f>IFERROR(__xludf.DUMMYFUNCTION("""COMPUTED_VALUE"""),2.42031248E8)</f>
        <v>242031248</v>
      </c>
    </row>
    <row r="4175">
      <c r="A4175" s="2">
        <f>IFERROR(__xludf.DUMMYFUNCTION("""COMPUTED_VALUE"""),37424.666666666664)</f>
        <v>37424.66667</v>
      </c>
      <c r="B4175" s="1">
        <f>IFERROR(__xludf.DUMMYFUNCTION("""COMPUTED_VALUE"""),1007.27)</f>
        <v>1007.27</v>
      </c>
      <c r="C4175" s="1">
        <f>IFERROR(__xludf.DUMMYFUNCTION("""COMPUTED_VALUE"""),1036.17)</f>
        <v>1036.17</v>
      </c>
      <c r="D4175" s="1">
        <f>IFERROR(__xludf.DUMMYFUNCTION("""COMPUTED_VALUE"""),1007.27)</f>
        <v>1007.27</v>
      </c>
      <c r="E4175" s="1">
        <f>IFERROR(__xludf.DUMMYFUNCTION("""COMPUTED_VALUE"""),1036.17)</f>
        <v>1036.17</v>
      </c>
      <c r="F4175" s="1">
        <f>IFERROR(__xludf.DUMMYFUNCTION("""COMPUTED_VALUE"""),1.93218752E8)</f>
        <v>193218752</v>
      </c>
    </row>
    <row r="4176">
      <c r="A4176" s="2">
        <f>IFERROR(__xludf.DUMMYFUNCTION("""COMPUTED_VALUE"""),37425.666666666664)</f>
        <v>37425.66667</v>
      </c>
      <c r="B4176" s="1">
        <f>IFERROR(__xludf.DUMMYFUNCTION("""COMPUTED_VALUE"""),1035.11)</f>
        <v>1035.11</v>
      </c>
      <c r="C4176" s="1">
        <f>IFERROR(__xludf.DUMMYFUNCTION("""COMPUTED_VALUE"""),1040.83)</f>
        <v>1040.83</v>
      </c>
      <c r="D4176" s="1">
        <f>IFERROR(__xludf.DUMMYFUNCTION("""COMPUTED_VALUE"""),1030.92)</f>
        <v>1030.92</v>
      </c>
      <c r="E4176" s="1">
        <f>IFERROR(__xludf.DUMMYFUNCTION("""COMPUTED_VALUE"""),1037.14)</f>
        <v>1037.14</v>
      </c>
      <c r="F4176" s="1">
        <f>IFERROR(__xludf.DUMMYFUNCTION("""COMPUTED_VALUE"""),1.86421872E8)</f>
        <v>186421872</v>
      </c>
    </row>
    <row r="4177">
      <c r="A4177" s="2">
        <f>IFERROR(__xludf.DUMMYFUNCTION("""COMPUTED_VALUE"""),37426.666666666664)</f>
        <v>37426.66667</v>
      </c>
      <c r="B4177" s="1">
        <f>IFERROR(__xludf.DUMMYFUNCTION("""COMPUTED_VALUE"""),1035.76)</f>
        <v>1035.76</v>
      </c>
      <c r="C4177" s="1">
        <f>IFERROR(__xludf.DUMMYFUNCTION("""COMPUTED_VALUE"""),1037.61)</f>
        <v>1037.61</v>
      </c>
      <c r="D4177" s="1">
        <f>IFERROR(__xludf.DUMMYFUNCTION("""COMPUTED_VALUE"""),1017.88)</f>
        <v>1017.88</v>
      </c>
      <c r="E4177" s="1">
        <f>IFERROR(__xludf.DUMMYFUNCTION("""COMPUTED_VALUE"""),1019.99)</f>
        <v>1019.99</v>
      </c>
      <c r="F4177" s="1">
        <f>IFERROR(__xludf.DUMMYFUNCTION("""COMPUTED_VALUE"""),2.08765632E8)</f>
        <v>208765632</v>
      </c>
    </row>
    <row r="4178">
      <c r="A4178" s="2">
        <f>IFERROR(__xludf.DUMMYFUNCTION("""COMPUTED_VALUE"""),37427.666666666664)</f>
        <v>37427.66667</v>
      </c>
      <c r="B4178" s="1">
        <f>IFERROR(__xludf.DUMMYFUNCTION("""COMPUTED_VALUE"""),1019.76)</f>
        <v>1019.76</v>
      </c>
      <c r="C4178" s="1">
        <f>IFERROR(__xludf.DUMMYFUNCTION("""COMPUTED_VALUE"""),1023.33)</f>
        <v>1023.33</v>
      </c>
      <c r="D4178" s="1">
        <f>IFERROR(__xludf.DUMMYFUNCTION("""COMPUTED_VALUE"""),1004.59)</f>
        <v>1004.59</v>
      </c>
      <c r="E4178" s="1">
        <f>IFERROR(__xludf.DUMMYFUNCTION("""COMPUTED_VALUE"""),1006.29)</f>
        <v>1006.29</v>
      </c>
      <c r="F4178" s="1">
        <f>IFERROR(__xludf.DUMMYFUNCTION("""COMPUTED_VALUE"""),2.17140624E8)</f>
        <v>217140624</v>
      </c>
    </row>
    <row r="4179">
      <c r="A4179" s="2">
        <f>IFERROR(__xludf.DUMMYFUNCTION("""COMPUTED_VALUE"""),37428.666666666664)</f>
        <v>37428.66667</v>
      </c>
      <c r="B4179" s="1">
        <f>IFERROR(__xludf.DUMMYFUNCTION("""COMPUTED_VALUE"""),1004.48)</f>
        <v>1004.48</v>
      </c>
      <c r="C4179" s="1">
        <f>IFERROR(__xludf.DUMMYFUNCTION("""COMPUTED_VALUE"""),1005.89)</f>
        <v>1005.89</v>
      </c>
      <c r="D4179" s="1">
        <f>IFERROR(__xludf.DUMMYFUNCTION("""COMPUTED_VALUE"""),985.65)</f>
        <v>985.65</v>
      </c>
      <c r="E4179" s="1">
        <f>IFERROR(__xludf.DUMMYFUNCTION("""COMPUTED_VALUE"""),989.14)</f>
        <v>989.14</v>
      </c>
      <c r="F4179" s="1">
        <f>IFERROR(__xludf.DUMMYFUNCTION("""COMPUTED_VALUE"""),2.33937504E8)</f>
        <v>233937504</v>
      </c>
    </row>
    <row r="4180">
      <c r="A4180" s="2">
        <f>IFERROR(__xludf.DUMMYFUNCTION("""COMPUTED_VALUE"""),37431.666666666664)</f>
        <v>37431.66667</v>
      </c>
      <c r="B4180" s="1">
        <f>IFERROR(__xludf.DUMMYFUNCTION("""COMPUTED_VALUE"""),988.82)</f>
        <v>988.82</v>
      </c>
      <c r="C4180" s="1">
        <f>IFERROR(__xludf.DUMMYFUNCTION("""COMPUTED_VALUE"""),1002.11)</f>
        <v>1002.11</v>
      </c>
      <c r="D4180" s="1">
        <f>IFERROR(__xludf.DUMMYFUNCTION("""COMPUTED_VALUE"""),970.85)</f>
        <v>970.85</v>
      </c>
      <c r="E4180" s="1">
        <f>IFERROR(__xludf.DUMMYFUNCTION("""COMPUTED_VALUE"""),992.72)</f>
        <v>992.72</v>
      </c>
      <c r="F4180" s="1">
        <f>IFERROR(__xludf.DUMMYFUNCTION("""COMPUTED_VALUE"""),2.42593744E8)</f>
        <v>242593744</v>
      </c>
    </row>
    <row r="4181">
      <c r="A4181" s="2">
        <f>IFERROR(__xludf.DUMMYFUNCTION("""COMPUTED_VALUE"""),37432.666666666664)</f>
        <v>37432.66667</v>
      </c>
      <c r="B4181" s="1">
        <f>IFERROR(__xludf.DUMMYFUNCTION("""COMPUTED_VALUE"""),994.31)</f>
        <v>994.31</v>
      </c>
      <c r="C4181" s="1">
        <f>IFERROR(__xludf.DUMMYFUNCTION("""COMPUTED_VALUE"""),1005.88)</f>
        <v>1005.88</v>
      </c>
      <c r="D4181" s="1">
        <f>IFERROR(__xludf.DUMMYFUNCTION("""COMPUTED_VALUE"""),974.21)</f>
        <v>974.21</v>
      </c>
      <c r="E4181" s="1">
        <f>IFERROR(__xludf.DUMMYFUNCTION("""COMPUTED_VALUE"""),976.14)</f>
        <v>976.14</v>
      </c>
      <c r="F4181" s="1">
        <f>IFERROR(__xludf.DUMMYFUNCTION("""COMPUTED_VALUE"""),2.36515632E8)</f>
        <v>236515632</v>
      </c>
    </row>
    <row r="4182">
      <c r="A4182" s="2">
        <f>IFERROR(__xludf.DUMMYFUNCTION("""COMPUTED_VALUE"""),37433.666666666664)</f>
        <v>37433.66667</v>
      </c>
      <c r="B4182" s="1">
        <f>IFERROR(__xludf.DUMMYFUNCTION("""COMPUTED_VALUE"""),970.61)</f>
        <v>970.61</v>
      </c>
      <c r="C4182" s="1">
        <f>IFERROR(__xludf.DUMMYFUNCTION("""COMPUTED_VALUE"""),977.43)</f>
        <v>977.43</v>
      </c>
      <c r="D4182" s="1">
        <f>IFERROR(__xludf.DUMMYFUNCTION("""COMPUTED_VALUE"""),952.92)</f>
        <v>952.92</v>
      </c>
      <c r="E4182" s="1">
        <f>IFERROR(__xludf.DUMMYFUNCTION("""COMPUTED_VALUE"""),973.53)</f>
        <v>973.53</v>
      </c>
      <c r="F4182" s="1">
        <f>IFERROR(__xludf.DUMMYFUNCTION("""COMPUTED_VALUE"""),3.147328E8)</f>
        <v>314732800</v>
      </c>
    </row>
    <row r="4183">
      <c r="A4183" s="2">
        <f>IFERROR(__xludf.DUMMYFUNCTION("""COMPUTED_VALUE"""),37434.666666666664)</f>
        <v>37434.66667</v>
      </c>
      <c r="B4183" s="1">
        <f>IFERROR(__xludf.DUMMYFUNCTION("""COMPUTED_VALUE"""),974.56)</f>
        <v>974.56</v>
      </c>
      <c r="C4183" s="1">
        <f>IFERROR(__xludf.DUMMYFUNCTION("""COMPUTED_VALUE"""),990.67)</f>
        <v>990.67</v>
      </c>
      <c r="D4183" s="1">
        <f>IFERROR(__xludf.DUMMYFUNCTION("""COMPUTED_VALUE"""),963.74)</f>
        <v>963.74</v>
      </c>
      <c r="E4183" s="1">
        <f>IFERROR(__xludf.DUMMYFUNCTION("""COMPUTED_VALUE"""),990.64)</f>
        <v>990.64</v>
      </c>
      <c r="F4183" s="1">
        <f>IFERROR(__xludf.DUMMYFUNCTION("""COMPUTED_VALUE"""),2.98218752E8)</f>
        <v>298218752</v>
      </c>
    </row>
    <row r="4184">
      <c r="A4184" s="2">
        <f>IFERROR(__xludf.DUMMYFUNCTION("""COMPUTED_VALUE"""),37435.666666666664)</f>
        <v>37435.66667</v>
      </c>
      <c r="B4184" s="1">
        <f>IFERROR(__xludf.DUMMYFUNCTION("""COMPUTED_VALUE"""),990.19)</f>
        <v>990.19</v>
      </c>
      <c r="C4184" s="1">
        <f>IFERROR(__xludf.DUMMYFUNCTION("""COMPUTED_VALUE"""),1001.79)</f>
        <v>1001.79</v>
      </c>
      <c r="D4184" s="1">
        <f>IFERROR(__xludf.DUMMYFUNCTION("""COMPUTED_VALUE"""),988.31)</f>
        <v>988.31</v>
      </c>
      <c r="E4184" s="1">
        <f>IFERROR(__xludf.DUMMYFUNCTION("""COMPUTED_VALUE"""),989.82)</f>
        <v>989.82</v>
      </c>
      <c r="F4184" s="1">
        <f>IFERROR(__xludf.DUMMYFUNCTION("""COMPUTED_VALUE"""),3.30781248E8)</f>
        <v>330781248</v>
      </c>
    </row>
    <row r="4185">
      <c r="A4185" s="2">
        <f>IFERROR(__xludf.DUMMYFUNCTION("""COMPUTED_VALUE"""),37438.666666666664)</f>
        <v>37438.66667</v>
      </c>
      <c r="B4185" s="1">
        <f>IFERROR(__xludf.DUMMYFUNCTION("""COMPUTED_VALUE"""),989.15)</f>
        <v>989.15</v>
      </c>
      <c r="C4185" s="1">
        <f>IFERROR(__xludf.DUMMYFUNCTION("""COMPUTED_VALUE"""),994.46)</f>
        <v>994.46</v>
      </c>
      <c r="D4185" s="1">
        <f>IFERROR(__xludf.DUMMYFUNCTION("""COMPUTED_VALUE"""),967.43)</f>
        <v>967.43</v>
      </c>
      <c r="E4185" s="1">
        <f>IFERROR(__xludf.DUMMYFUNCTION("""COMPUTED_VALUE"""),968.65)</f>
        <v>968.65</v>
      </c>
      <c r="F4185" s="1">
        <f>IFERROR(__xludf.DUMMYFUNCTION("""COMPUTED_VALUE"""),2.22734368E8)</f>
        <v>222734368</v>
      </c>
    </row>
    <row r="4186">
      <c r="A4186" s="2">
        <f>IFERROR(__xludf.DUMMYFUNCTION("""COMPUTED_VALUE"""),37439.666666666664)</f>
        <v>37439.66667</v>
      </c>
      <c r="B4186" s="1">
        <f>IFERROR(__xludf.DUMMYFUNCTION("""COMPUTED_VALUE"""),967.97)</f>
        <v>967.97</v>
      </c>
      <c r="C4186" s="1">
        <f>IFERROR(__xludf.DUMMYFUNCTION("""COMPUTED_VALUE"""),968.59)</f>
        <v>968.59</v>
      </c>
      <c r="D4186" s="1">
        <f>IFERROR(__xludf.DUMMYFUNCTION("""COMPUTED_VALUE"""),945.54)</f>
        <v>945.54</v>
      </c>
      <c r="E4186" s="1">
        <f>IFERROR(__xludf.DUMMYFUNCTION("""COMPUTED_VALUE"""),948.09)</f>
        <v>948.09</v>
      </c>
      <c r="F4186" s="1">
        <f>IFERROR(__xludf.DUMMYFUNCTION("""COMPUTED_VALUE"""),2.84843744E8)</f>
        <v>284843744</v>
      </c>
    </row>
    <row r="4187">
      <c r="A4187" s="2">
        <f>IFERROR(__xludf.DUMMYFUNCTION("""COMPUTED_VALUE"""),37440.666666666664)</f>
        <v>37440.66667</v>
      </c>
      <c r="B4187" s="1">
        <f>IFERROR(__xludf.DUMMYFUNCTION("""COMPUTED_VALUE"""),946.03)</f>
        <v>946.03</v>
      </c>
      <c r="C4187" s="1">
        <f>IFERROR(__xludf.DUMMYFUNCTION("""COMPUTED_VALUE"""),954.3)</f>
        <v>954.3</v>
      </c>
      <c r="D4187" s="1">
        <f>IFERROR(__xludf.DUMMYFUNCTION("""COMPUTED_VALUE"""),934.87)</f>
        <v>934.87</v>
      </c>
      <c r="E4187" s="1">
        <f>IFERROR(__xludf.DUMMYFUNCTION("""COMPUTED_VALUE"""),953.99)</f>
        <v>953.99</v>
      </c>
      <c r="F4187" s="1">
        <f>IFERROR(__xludf.DUMMYFUNCTION("""COMPUTED_VALUE"""),2.38718752E8)</f>
        <v>238718752</v>
      </c>
    </row>
    <row r="4188">
      <c r="A4188" s="2">
        <f>IFERROR(__xludf.DUMMYFUNCTION("""COMPUTED_VALUE"""),37442.666666666664)</f>
        <v>37442.66667</v>
      </c>
      <c r="B4188" s="1">
        <f>IFERROR(__xludf.DUMMYFUNCTION("""COMPUTED_VALUE"""),956.03)</f>
        <v>956.03</v>
      </c>
      <c r="C4188" s="1">
        <f>IFERROR(__xludf.DUMMYFUNCTION("""COMPUTED_VALUE"""),989.07)</f>
        <v>989.07</v>
      </c>
      <c r="D4188" s="1">
        <f>IFERROR(__xludf.DUMMYFUNCTION("""COMPUTED_VALUE"""),956.03)</f>
        <v>956.03</v>
      </c>
      <c r="E4188" s="1">
        <f>IFERROR(__xludf.DUMMYFUNCTION("""COMPUTED_VALUE"""),989.03)</f>
        <v>989.03</v>
      </c>
      <c r="F4188" s="1">
        <f>IFERROR(__xludf.DUMMYFUNCTION("""COMPUTED_VALUE"""),1.09281248E8)</f>
        <v>109281248</v>
      </c>
    </row>
    <row r="4189">
      <c r="A4189" s="2">
        <f>IFERROR(__xludf.DUMMYFUNCTION("""COMPUTED_VALUE"""),37445.666666666664)</f>
        <v>37445.66667</v>
      </c>
      <c r="B4189" s="1">
        <f>IFERROR(__xludf.DUMMYFUNCTION("""COMPUTED_VALUE"""),987.88)</f>
        <v>987.88</v>
      </c>
      <c r="C4189" s="1">
        <f>IFERROR(__xludf.DUMMYFUNCTION("""COMPUTED_VALUE"""),993.56)</f>
        <v>993.56</v>
      </c>
      <c r="D4189" s="1">
        <f>IFERROR(__xludf.DUMMYFUNCTION("""COMPUTED_VALUE"""),972.91)</f>
        <v>972.91</v>
      </c>
      <c r="E4189" s="1">
        <f>IFERROR(__xludf.DUMMYFUNCTION("""COMPUTED_VALUE"""),976.98)</f>
        <v>976.98</v>
      </c>
      <c r="F4189" s="1">
        <f>IFERROR(__xludf.DUMMYFUNCTION("""COMPUTED_VALUE"""),1.85062496E8)</f>
        <v>185062496</v>
      </c>
    </row>
    <row r="4190">
      <c r="A4190" s="2">
        <f>IFERROR(__xludf.DUMMYFUNCTION("""COMPUTED_VALUE"""),37446.666666666664)</f>
        <v>37446.66667</v>
      </c>
      <c r="B4190" s="1">
        <f>IFERROR(__xludf.DUMMYFUNCTION("""COMPUTED_VALUE"""),976.91)</f>
        <v>976.91</v>
      </c>
      <c r="C4190" s="1">
        <f>IFERROR(__xludf.DUMMYFUNCTION("""COMPUTED_VALUE"""),979.63)</f>
        <v>979.63</v>
      </c>
      <c r="D4190" s="1">
        <f>IFERROR(__xludf.DUMMYFUNCTION("""COMPUTED_VALUE"""),951.71)</f>
        <v>951.71</v>
      </c>
      <c r="E4190" s="1">
        <f>IFERROR(__xludf.DUMMYFUNCTION("""COMPUTED_VALUE"""),952.83)</f>
        <v>952.83</v>
      </c>
      <c r="F4190" s="1">
        <f>IFERROR(__xludf.DUMMYFUNCTION("""COMPUTED_VALUE"""),2.10765632E8)</f>
        <v>210765632</v>
      </c>
    </row>
    <row r="4191">
      <c r="A4191" s="2">
        <f>IFERROR(__xludf.DUMMYFUNCTION("""COMPUTED_VALUE"""),37447.666666666664)</f>
        <v>37447.66667</v>
      </c>
      <c r="B4191" s="1">
        <f>IFERROR(__xludf.DUMMYFUNCTION("""COMPUTED_VALUE"""),954.63)</f>
        <v>954.63</v>
      </c>
      <c r="C4191" s="1">
        <f>IFERROR(__xludf.DUMMYFUNCTION("""COMPUTED_VALUE"""),956.34)</f>
        <v>956.34</v>
      </c>
      <c r="D4191" s="1">
        <f>IFERROR(__xludf.DUMMYFUNCTION("""COMPUTED_VALUE"""),920.29)</f>
        <v>920.29</v>
      </c>
      <c r="E4191" s="1">
        <f>IFERROR(__xludf.DUMMYFUNCTION("""COMPUTED_VALUE"""),920.47)</f>
        <v>920.47</v>
      </c>
      <c r="F4191" s="1">
        <f>IFERROR(__xludf.DUMMYFUNCTION("""COMPUTED_VALUE"""),2.83890624E8)</f>
        <v>283890624</v>
      </c>
    </row>
    <row r="4192">
      <c r="A4192" s="2">
        <f>IFERROR(__xludf.DUMMYFUNCTION("""COMPUTED_VALUE"""),37448.666666666664)</f>
        <v>37448.66667</v>
      </c>
      <c r="B4192" s="1">
        <f>IFERROR(__xludf.DUMMYFUNCTION("""COMPUTED_VALUE"""),919.86)</f>
        <v>919.86</v>
      </c>
      <c r="C4192" s="1">
        <f>IFERROR(__xludf.DUMMYFUNCTION("""COMPUTED_VALUE"""),929.16)</f>
        <v>929.16</v>
      </c>
      <c r="D4192" s="1">
        <f>IFERROR(__xludf.DUMMYFUNCTION("""COMPUTED_VALUE"""),900.94)</f>
        <v>900.94</v>
      </c>
      <c r="E4192" s="1">
        <f>IFERROR(__xludf.DUMMYFUNCTION("""COMPUTED_VALUE"""),927.37)</f>
        <v>927.37</v>
      </c>
      <c r="F4192" s="1">
        <f>IFERROR(__xludf.DUMMYFUNCTION("""COMPUTED_VALUE"""),3.25075008E8)</f>
        <v>325075008</v>
      </c>
    </row>
    <row r="4193">
      <c r="A4193" s="2">
        <f>IFERROR(__xludf.DUMMYFUNCTION("""COMPUTED_VALUE"""),37449.666666666664)</f>
        <v>37449.66667</v>
      </c>
      <c r="B4193" s="1">
        <f>IFERROR(__xludf.DUMMYFUNCTION("""COMPUTED_VALUE"""),929.06)</f>
        <v>929.06</v>
      </c>
      <c r="C4193" s="1">
        <f>IFERROR(__xludf.DUMMYFUNCTION("""COMPUTED_VALUE"""),934.31)</f>
        <v>934.31</v>
      </c>
      <c r="D4193" s="1">
        <f>IFERROR(__xludf.DUMMYFUNCTION("""COMPUTED_VALUE"""),913.71)</f>
        <v>913.71</v>
      </c>
      <c r="E4193" s="1">
        <f>IFERROR(__xludf.DUMMYFUNCTION("""COMPUTED_VALUE"""),921.39)</f>
        <v>921.39</v>
      </c>
      <c r="F4193" s="1">
        <f>IFERROR(__xludf.DUMMYFUNCTION("""COMPUTED_VALUE"""),2.51156256E8)</f>
        <v>251156256</v>
      </c>
    </row>
    <row r="4194">
      <c r="A4194" s="2">
        <f>IFERROR(__xludf.DUMMYFUNCTION("""COMPUTED_VALUE"""),37452.666666666664)</f>
        <v>37452.66667</v>
      </c>
      <c r="B4194" s="1">
        <f>IFERROR(__xludf.DUMMYFUNCTION("""COMPUTED_VALUE"""),920.99)</f>
        <v>920.99</v>
      </c>
      <c r="C4194" s="1">
        <f>IFERROR(__xludf.DUMMYFUNCTION("""COMPUTED_VALUE"""),920.99)</f>
        <v>920.99</v>
      </c>
      <c r="D4194" s="1">
        <f>IFERROR(__xludf.DUMMYFUNCTION("""COMPUTED_VALUE"""),876.46)</f>
        <v>876.46</v>
      </c>
      <c r="E4194" s="1">
        <f>IFERROR(__xludf.DUMMYFUNCTION("""COMPUTED_VALUE"""),917.93)</f>
        <v>917.93</v>
      </c>
      <c r="F4194" s="1">
        <f>IFERROR(__xludf.DUMMYFUNCTION("""COMPUTED_VALUE"""),4.02312512E8)</f>
        <v>402312512</v>
      </c>
    </row>
    <row r="4195">
      <c r="A4195" s="2">
        <f>IFERROR(__xludf.DUMMYFUNCTION("""COMPUTED_VALUE"""),37453.666666666664)</f>
        <v>37453.66667</v>
      </c>
      <c r="B4195" s="1">
        <f>IFERROR(__xludf.DUMMYFUNCTION("""COMPUTED_VALUE"""),916.96)</f>
        <v>916.96</v>
      </c>
      <c r="C4195" s="1">
        <f>IFERROR(__xludf.DUMMYFUNCTION("""COMPUTED_VALUE"""),918.65)</f>
        <v>918.65</v>
      </c>
      <c r="D4195" s="1">
        <f>IFERROR(__xludf.DUMMYFUNCTION("""COMPUTED_VALUE"""),897.13)</f>
        <v>897.13</v>
      </c>
      <c r="E4195" s="1">
        <f>IFERROR(__xludf.DUMMYFUNCTION("""COMPUTED_VALUE"""),900.94)</f>
        <v>900.94</v>
      </c>
      <c r="F4195" s="1">
        <f>IFERROR(__xludf.DUMMYFUNCTION("""COMPUTED_VALUE"""),2.88078112E8)</f>
        <v>288078112</v>
      </c>
    </row>
    <row r="4196">
      <c r="A4196" s="2">
        <f>IFERROR(__xludf.DUMMYFUNCTION("""COMPUTED_VALUE"""),37454.666666666664)</f>
        <v>37454.66667</v>
      </c>
      <c r="B4196" s="1">
        <f>IFERROR(__xludf.DUMMYFUNCTION("""COMPUTED_VALUE"""),904.19)</f>
        <v>904.19</v>
      </c>
      <c r="C4196" s="1">
        <f>IFERROR(__xludf.DUMMYFUNCTION("""COMPUTED_VALUE"""),926.52)</f>
        <v>926.52</v>
      </c>
      <c r="D4196" s="1">
        <f>IFERROR(__xludf.DUMMYFUNCTION("""COMPUTED_VALUE"""),895.03)</f>
        <v>895.03</v>
      </c>
      <c r="E4196" s="1">
        <f>IFERROR(__xludf.DUMMYFUNCTION("""COMPUTED_VALUE"""),906.04)</f>
        <v>906.04</v>
      </c>
      <c r="F4196" s="1">
        <f>IFERROR(__xludf.DUMMYFUNCTION("""COMPUTED_VALUE"""),4.01015616E8)</f>
        <v>401015616</v>
      </c>
    </row>
    <row r="4197">
      <c r="A4197" s="2">
        <f>IFERROR(__xludf.DUMMYFUNCTION("""COMPUTED_VALUE"""),37455.666666666664)</f>
        <v>37455.66667</v>
      </c>
      <c r="B4197" s="1">
        <f>IFERROR(__xludf.DUMMYFUNCTION("""COMPUTED_VALUE"""),905.25)</f>
        <v>905.25</v>
      </c>
      <c r="C4197" s="1">
        <f>IFERROR(__xludf.DUMMYFUNCTION("""COMPUTED_VALUE"""),907.8)</f>
        <v>907.8</v>
      </c>
      <c r="D4197" s="1">
        <f>IFERROR(__xludf.DUMMYFUNCTION("""COMPUTED_VALUE"""),880.6)</f>
        <v>880.6</v>
      </c>
      <c r="E4197" s="1">
        <f>IFERROR(__xludf.DUMMYFUNCTION("""COMPUTED_VALUE"""),881.56)</f>
        <v>881.56</v>
      </c>
      <c r="F4197" s="1">
        <f>IFERROR(__xludf.DUMMYFUNCTION("""COMPUTED_VALUE"""),2.71296864E8)</f>
        <v>271296864</v>
      </c>
    </row>
    <row r="4198">
      <c r="A4198" s="2">
        <f>IFERROR(__xludf.DUMMYFUNCTION("""COMPUTED_VALUE"""),37456.666666666664)</f>
        <v>37456.66667</v>
      </c>
      <c r="B4198" s="1">
        <f>IFERROR(__xludf.DUMMYFUNCTION("""COMPUTED_VALUE"""),877.75)</f>
        <v>877.75</v>
      </c>
      <c r="C4198" s="1">
        <f>IFERROR(__xludf.DUMMYFUNCTION("""COMPUTED_VALUE"""),877.75)</f>
        <v>877.75</v>
      </c>
      <c r="D4198" s="1">
        <f>IFERROR(__xludf.DUMMYFUNCTION("""COMPUTED_VALUE"""),842.07)</f>
        <v>842.07</v>
      </c>
      <c r="E4198" s="1">
        <f>IFERROR(__xludf.DUMMYFUNCTION("""COMPUTED_VALUE"""),847.75)</f>
        <v>847.75</v>
      </c>
      <c r="F4198" s="1">
        <f>IFERROR(__xludf.DUMMYFUNCTION("""COMPUTED_VALUE"""),4.14703136E8)</f>
        <v>414703136</v>
      </c>
    </row>
    <row r="4199">
      <c r="A4199" s="2">
        <f>IFERROR(__xludf.DUMMYFUNCTION("""COMPUTED_VALUE"""),37459.666666666664)</f>
        <v>37459.66667</v>
      </c>
      <c r="B4199" s="1">
        <f>IFERROR(__xludf.DUMMYFUNCTION("""COMPUTED_VALUE"""),846.6)</f>
        <v>846.6</v>
      </c>
      <c r="C4199" s="1">
        <f>IFERROR(__xludf.DUMMYFUNCTION("""COMPUTED_VALUE"""),854.13)</f>
        <v>854.13</v>
      </c>
      <c r="D4199" s="1">
        <f>IFERROR(__xludf.DUMMYFUNCTION("""COMPUTED_VALUE"""),813.26)</f>
        <v>813.26</v>
      </c>
      <c r="E4199" s="1">
        <f>IFERROR(__xludf.DUMMYFUNCTION("""COMPUTED_VALUE"""),819.85)</f>
        <v>819.85</v>
      </c>
      <c r="F4199" s="1">
        <f>IFERROR(__xludf.DUMMYFUNCTION("""COMPUTED_VALUE"""),3.5125936E8)</f>
        <v>351259360</v>
      </c>
    </row>
    <row r="4200">
      <c r="A4200" s="2">
        <f>IFERROR(__xludf.DUMMYFUNCTION("""COMPUTED_VALUE"""),37460.666666666664)</f>
        <v>37460.66667</v>
      </c>
      <c r="B4200" s="1">
        <f>IFERROR(__xludf.DUMMYFUNCTION("""COMPUTED_VALUE"""),819.9)</f>
        <v>819.9</v>
      </c>
      <c r="C4200" s="1">
        <f>IFERROR(__xludf.DUMMYFUNCTION("""COMPUTED_VALUE"""),827.69)</f>
        <v>827.69</v>
      </c>
      <c r="D4200" s="1">
        <f>IFERROR(__xludf.DUMMYFUNCTION("""COMPUTED_VALUE"""),796.13)</f>
        <v>796.13</v>
      </c>
      <c r="E4200" s="1">
        <f>IFERROR(__xludf.DUMMYFUNCTION("""COMPUTED_VALUE"""),797.7)</f>
        <v>797.7</v>
      </c>
      <c r="F4200" s="1">
        <f>IFERROR(__xludf.DUMMYFUNCTION("""COMPUTED_VALUE"""),3.81409376E8)</f>
        <v>381409376</v>
      </c>
    </row>
    <row r="4201">
      <c r="A4201" s="2">
        <f>IFERROR(__xludf.DUMMYFUNCTION("""COMPUTED_VALUE"""),37461.666666666664)</f>
        <v>37461.66667</v>
      </c>
      <c r="B4201" s="1">
        <f>IFERROR(__xludf.DUMMYFUNCTION("""COMPUTED_VALUE"""),794.11)</f>
        <v>794.11</v>
      </c>
      <c r="C4201" s="1">
        <f>IFERROR(__xludf.DUMMYFUNCTION("""COMPUTED_VALUE"""),844.32)</f>
        <v>844.32</v>
      </c>
      <c r="D4201" s="1">
        <f>IFERROR(__xludf.DUMMYFUNCTION("""COMPUTED_VALUE"""),775.68)</f>
        <v>775.68</v>
      </c>
      <c r="E4201" s="1">
        <f>IFERROR(__xludf.DUMMYFUNCTION("""COMPUTED_VALUE"""),843.43)</f>
        <v>843.43</v>
      </c>
      <c r="F4201" s="1">
        <f>IFERROR(__xludf.DUMMYFUNCTION("""COMPUTED_VALUE"""),4.33681248E8)</f>
        <v>433681248</v>
      </c>
    </row>
    <row r="4202">
      <c r="A4202" s="2">
        <f>IFERROR(__xludf.DUMMYFUNCTION("""COMPUTED_VALUE"""),37462.666666666664)</f>
        <v>37462.66667</v>
      </c>
      <c r="B4202" s="1">
        <f>IFERROR(__xludf.DUMMYFUNCTION("""COMPUTED_VALUE"""),841.11)</f>
        <v>841.11</v>
      </c>
      <c r="C4202" s="1">
        <f>IFERROR(__xludf.DUMMYFUNCTION("""COMPUTED_VALUE"""),853.83)</f>
        <v>853.83</v>
      </c>
      <c r="D4202" s="1">
        <f>IFERROR(__xludf.DUMMYFUNCTION("""COMPUTED_VALUE"""),816.11)</f>
        <v>816.11</v>
      </c>
      <c r="E4202" s="1">
        <f>IFERROR(__xludf.DUMMYFUNCTION("""COMPUTED_VALUE"""),838.68)</f>
        <v>838.68</v>
      </c>
      <c r="F4202" s="1">
        <f>IFERROR(__xludf.DUMMYFUNCTION("""COMPUTED_VALUE"""),3.7885936E8)</f>
        <v>378859360</v>
      </c>
    </row>
    <row r="4203">
      <c r="A4203" s="2">
        <f>IFERROR(__xludf.DUMMYFUNCTION("""COMPUTED_VALUE"""),37463.666666666664)</f>
        <v>37463.66667</v>
      </c>
      <c r="B4203" s="1">
        <f>IFERROR(__xludf.DUMMYFUNCTION("""COMPUTED_VALUE"""),840.67)</f>
        <v>840.67</v>
      </c>
      <c r="C4203" s="1">
        <f>IFERROR(__xludf.DUMMYFUNCTION("""COMPUTED_VALUE"""),852.85)</f>
        <v>852.85</v>
      </c>
      <c r="D4203" s="1">
        <f>IFERROR(__xludf.DUMMYFUNCTION("""COMPUTED_VALUE"""),835.92)</f>
        <v>835.92</v>
      </c>
      <c r="E4203" s="1">
        <f>IFERROR(__xludf.DUMMYFUNCTION("""COMPUTED_VALUE"""),852.84)</f>
        <v>852.84</v>
      </c>
      <c r="F4203" s="1">
        <f>IFERROR(__xludf.DUMMYFUNCTION("""COMPUTED_VALUE"""),2.8064064E8)</f>
        <v>280640640</v>
      </c>
    </row>
    <row r="4204">
      <c r="A4204" s="2">
        <f>IFERROR(__xludf.DUMMYFUNCTION("""COMPUTED_VALUE"""),37466.666666666664)</f>
        <v>37466.66667</v>
      </c>
      <c r="B4204" s="1">
        <f>IFERROR(__xludf.DUMMYFUNCTION("""COMPUTED_VALUE"""),855.2)</f>
        <v>855.2</v>
      </c>
      <c r="C4204" s="1">
        <f>IFERROR(__xludf.DUMMYFUNCTION("""COMPUTED_VALUE"""),898.96)</f>
        <v>898.96</v>
      </c>
      <c r="D4204" s="1">
        <f>IFERROR(__xludf.DUMMYFUNCTION("""COMPUTED_VALUE"""),855.2)</f>
        <v>855.2</v>
      </c>
      <c r="E4204" s="1">
        <f>IFERROR(__xludf.DUMMYFUNCTION("""COMPUTED_VALUE"""),898.96)</f>
        <v>898.96</v>
      </c>
      <c r="F4204" s="1">
        <f>IFERROR(__xludf.DUMMYFUNCTION("""COMPUTED_VALUE"""),2.77914048E8)</f>
        <v>277914048</v>
      </c>
    </row>
    <row r="4205">
      <c r="A4205" s="2">
        <f>IFERROR(__xludf.DUMMYFUNCTION("""COMPUTED_VALUE"""),37467.666666666664)</f>
        <v>37467.66667</v>
      </c>
      <c r="B4205" s="1">
        <f>IFERROR(__xludf.DUMMYFUNCTION("""COMPUTED_VALUE"""),898.96)</f>
        <v>898.96</v>
      </c>
      <c r="C4205" s="1">
        <f>IFERROR(__xludf.DUMMYFUNCTION("""COMPUTED_VALUE"""),909.81)</f>
        <v>909.81</v>
      </c>
      <c r="D4205" s="1">
        <f>IFERROR(__xludf.DUMMYFUNCTION("""COMPUTED_VALUE"""),884.7)</f>
        <v>884.7</v>
      </c>
      <c r="E4205" s="1">
        <f>IFERROR(__xludf.DUMMYFUNCTION("""COMPUTED_VALUE"""),902.78)</f>
        <v>902.78</v>
      </c>
      <c r="F4205" s="1">
        <f>IFERROR(__xludf.DUMMYFUNCTION("""COMPUTED_VALUE"""),2.8532656E8)</f>
        <v>285326560</v>
      </c>
    </row>
    <row r="4206">
      <c r="A4206" s="2">
        <f>IFERROR(__xludf.DUMMYFUNCTION("""COMPUTED_VALUE"""),37468.666666666664)</f>
        <v>37468.66667</v>
      </c>
      <c r="B4206" s="1">
        <f>IFERROR(__xludf.DUMMYFUNCTION("""COMPUTED_VALUE"""),901.2)</f>
        <v>901.2</v>
      </c>
      <c r="C4206" s="1">
        <f>IFERROR(__xludf.DUMMYFUNCTION("""COMPUTED_VALUE"""),911.64)</f>
        <v>911.64</v>
      </c>
      <c r="D4206" s="1">
        <f>IFERROR(__xludf.DUMMYFUNCTION("""COMPUTED_VALUE"""),889.88)</f>
        <v>889.88</v>
      </c>
      <c r="E4206" s="1">
        <f>IFERROR(__xludf.DUMMYFUNCTION("""COMPUTED_VALUE"""),911.62)</f>
        <v>911.62</v>
      </c>
      <c r="F4206" s="1">
        <f>IFERROR(__xludf.DUMMYFUNCTION("""COMPUTED_VALUE"""),3.20212512E8)</f>
        <v>320212512</v>
      </c>
    </row>
    <row r="4207">
      <c r="A4207" s="2">
        <f>IFERROR(__xludf.DUMMYFUNCTION("""COMPUTED_VALUE"""),37469.666666666664)</f>
        <v>37469.66667</v>
      </c>
      <c r="B4207" s="1">
        <f>IFERROR(__xludf.DUMMYFUNCTION("""COMPUTED_VALUE"""),910.7)</f>
        <v>910.7</v>
      </c>
      <c r="C4207" s="1">
        <f>IFERROR(__xludf.DUMMYFUNCTION("""COMPUTED_VALUE"""),910.7)</f>
        <v>910.7</v>
      </c>
      <c r="D4207" s="1">
        <f>IFERROR(__xludf.DUMMYFUNCTION("""COMPUTED_VALUE"""),882.48)</f>
        <v>882.48</v>
      </c>
      <c r="E4207" s="1">
        <f>IFERROR(__xludf.DUMMYFUNCTION("""COMPUTED_VALUE"""),884.66)</f>
        <v>884.66</v>
      </c>
      <c r="F4207" s="1">
        <f>IFERROR(__xludf.DUMMYFUNCTION("""COMPUTED_VALUE"""),2.61281248E8)</f>
        <v>261281248</v>
      </c>
    </row>
    <row r="4208">
      <c r="A4208" s="2">
        <f>IFERROR(__xludf.DUMMYFUNCTION("""COMPUTED_VALUE"""),37470.666666666664)</f>
        <v>37470.66667</v>
      </c>
      <c r="B4208" s="1">
        <f>IFERROR(__xludf.DUMMYFUNCTION("""COMPUTED_VALUE"""),884.4)</f>
        <v>884.4</v>
      </c>
      <c r="C4208" s="1">
        <f>IFERROR(__xludf.DUMMYFUNCTION("""COMPUTED_VALUE"""),884.72)</f>
        <v>884.72</v>
      </c>
      <c r="D4208" s="1">
        <f>IFERROR(__xludf.DUMMYFUNCTION("""COMPUTED_VALUE"""),853.95)</f>
        <v>853.95</v>
      </c>
      <c r="E4208" s="1">
        <f>IFERROR(__xludf.DUMMYFUNCTION("""COMPUTED_VALUE"""),864.24)</f>
        <v>864.24</v>
      </c>
      <c r="F4208" s="1">
        <f>IFERROR(__xludf.DUMMYFUNCTION("""COMPUTED_VALUE"""),2.40328128E8)</f>
        <v>240328128</v>
      </c>
    </row>
    <row r="4209">
      <c r="A4209" s="2">
        <f>IFERROR(__xludf.DUMMYFUNCTION("""COMPUTED_VALUE"""),37473.666666666664)</f>
        <v>37473.66667</v>
      </c>
      <c r="B4209" s="1">
        <f>IFERROR(__xludf.DUMMYFUNCTION("""COMPUTED_VALUE"""),863.6)</f>
        <v>863.6</v>
      </c>
      <c r="C4209" s="1">
        <f>IFERROR(__xludf.DUMMYFUNCTION("""COMPUTED_VALUE"""),864.07)</f>
        <v>864.07</v>
      </c>
      <c r="D4209" s="1">
        <f>IFERROR(__xludf.DUMMYFUNCTION("""COMPUTED_VALUE"""),833.44)</f>
        <v>833.44</v>
      </c>
      <c r="E4209" s="1">
        <f>IFERROR(__xludf.DUMMYFUNCTION("""COMPUTED_VALUE"""),834.6)</f>
        <v>834.6</v>
      </c>
      <c r="F4209" s="1">
        <f>IFERROR(__xludf.DUMMYFUNCTION("""COMPUTED_VALUE"""),2.22734368E8)</f>
        <v>222734368</v>
      </c>
    </row>
    <row r="4210">
      <c r="A4210" s="2">
        <f>IFERROR(__xludf.DUMMYFUNCTION("""COMPUTED_VALUE"""),37474.666666666664)</f>
        <v>37474.66667</v>
      </c>
      <c r="B4210" s="1">
        <f>IFERROR(__xludf.DUMMYFUNCTION("""COMPUTED_VALUE"""),837.09)</f>
        <v>837.09</v>
      </c>
      <c r="C4210" s="1">
        <f>IFERROR(__xludf.DUMMYFUNCTION("""COMPUTED_VALUE"""),874.44)</f>
        <v>874.44</v>
      </c>
      <c r="D4210" s="1">
        <f>IFERROR(__xludf.DUMMYFUNCTION("""COMPUTED_VALUE"""),837.09)</f>
        <v>837.09</v>
      </c>
      <c r="E4210" s="1">
        <f>IFERROR(__xludf.DUMMYFUNCTION("""COMPUTED_VALUE"""),859.57)</f>
        <v>859.57</v>
      </c>
      <c r="F4210" s="1">
        <f>IFERROR(__xludf.DUMMYFUNCTION("""COMPUTED_VALUE"""),2.36578128E8)</f>
        <v>236578128</v>
      </c>
    </row>
    <row r="4211">
      <c r="A4211" s="2">
        <f>IFERROR(__xludf.DUMMYFUNCTION("""COMPUTED_VALUE"""),37475.666666666664)</f>
        <v>37475.66667</v>
      </c>
      <c r="B4211" s="1">
        <f>IFERROR(__xludf.DUMMYFUNCTION("""COMPUTED_VALUE"""),863.57)</f>
        <v>863.57</v>
      </c>
      <c r="C4211" s="1">
        <f>IFERROR(__xludf.DUMMYFUNCTION("""COMPUTED_VALUE"""),878.74)</f>
        <v>878.74</v>
      </c>
      <c r="D4211" s="1">
        <f>IFERROR(__xludf.DUMMYFUNCTION("""COMPUTED_VALUE"""),854.15)</f>
        <v>854.15</v>
      </c>
      <c r="E4211" s="1">
        <f>IFERROR(__xludf.DUMMYFUNCTION("""COMPUTED_VALUE"""),876.77)</f>
        <v>876.77</v>
      </c>
      <c r="F4211" s="1">
        <f>IFERROR(__xludf.DUMMYFUNCTION("""COMPUTED_VALUE"""),2.32875008E8)</f>
        <v>232875008</v>
      </c>
    </row>
    <row r="4212">
      <c r="A4212" s="2">
        <f>IFERROR(__xludf.DUMMYFUNCTION("""COMPUTED_VALUE"""),37476.666666666664)</f>
        <v>37476.66667</v>
      </c>
      <c r="B4212" s="1">
        <f>IFERROR(__xludf.DUMMYFUNCTION("""COMPUTED_VALUE"""),876.77)</f>
        <v>876.77</v>
      </c>
      <c r="C4212" s="1">
        <f>IFERROR(__xludf.DUMMYFUNCTION("""COMPUTED_VALUE"""),905.84)</f>
        <v>905.84</v>
      </c>
      <c r="D4212" s="1">
        <f>IFERROR(__xludf.DUMMYFUNCTION("""COMPUTED_VALUE"""),875.17)</f>
        <v>875.17</v>
      </c>
      <c r="E4212" s="1">
        <f>IFERROR(__xludf.DUMMYFUNCTION("""COMPUTED_VALUE"""),905.46)</f>
        <v>905.46</v>
      </c>
      <c r="F4212" s="1">
        <f>IFERROR(__xludf.DUMMYFUNCTION("""COMPUTED_VALUE"""),2.5729688E8)</f>
        <v>257296880</v>
      </c>
    </row>
    <row r="4213">
      <c r="A4213" s="2">
        <f>IFERROR(__xludf.DUMMYFUNCTION("""COMPUTED_VALUE"""),37477.666666666664)</f>
        <v>37477.66667</v>
      </c>
      <c r="B4213" s="1">
        <f>IFERROR(__xludf.DUMMYFUNCTION("""COMPUTED_VALUE"""),902.53)</f>
        <v>902.53</v>
      </c>
      <c r="C4213" s="1">
        <f>IFERROR(__xludf.DUMMYFUNCTION("""COMPUTED_VALUE"""),913.95)</f>
        <v>913.95</v>
      </c>
      <c r="D4213" s="1">
        <f>IFERROR(__xludf.DUMMYFUNCTION("""COMPUTED_VALUE"""),890.77)</f>
        <v>890.77</v>
      </c>
      <c r="E4213" s="1">
        <f>IFERROR(__xludf.DUMMYFUNCTION("""COMPUTED_VALUE"""),908.64)</f>
        <v>908.64</v>
      </c>
      <c r="F4213" s="1">
        <f>IFERROR(__xludf.DUMMYFUNCTION("""COMPUTED_VALUE"""),2.02328128E8)</f>
        <v>202328128</v>
      </c>
    </row>
    <row r="4214">
      <c r="A4214" s="2">
        <f>IFERROR(__xludf.DUMMYFUNCTION("""COMPUTED_VALUE"""),37480.666666666664)</f>
        <v>37480.66667</v>
      </c>
      <c r="B4214" s="1">
        <f>IFERROR(__xludf.DUMMYFUNCTION("""COMPUTED_VALUE"""),908.54)</f>
        <v>908.54</v>
      </c>
      <c r="C4214" s="1">
        <f>IFERROR(__xludf.DUMMYFUNCTION("""COMPUTED_VALUE"""),908.54)</f>
        <v>908.54</v>
      </c>
      <c r="D4214" s="1">
        <f>IFERROR(__xludf.DUMMYFUNCTION("""COMPUTED_VALUE"""),892.38)</f>
        <v>892.38</v>
      </c>
      <c r="E4214" s="1">
        <f>IFERROR(__xludf.DUMMYFUNCTION("""COMPUTED_VALUE"""),903.8)</f>
        <v>903.8</v>
      </c>
      <c r="F4214" s="1">
        <f>IFERROR(__xludf.DUMMYFUNCTION("""COMPUTED_VALUE"""),1.6195312E8)</f>
        <v>161953120</v>
      </c>
    </row>
    <row r="4215">
      <c r="A4215" s="2">
        <f>IFERROR(__xludf.DUMMYFUNCTION("""COMPUTED_VALUE"""),37481.666666666664)</f>
        <v>37481.66667</v>
      </c>
      <c r="B4215" s="1">
        <f>IFERROR(__xludf.DUMMYFUNCTION("""COMPUTED_VALUE"""),902.82)</f>
        <v>902.82</v>
      </c>
      <c r="C4215" s="1">
        <f>IFERROR(__xludf.DUMMYFUNCTION("""COMPUTED_VALUE"""),911.71)</f>
        <v>911.71</v>
      </c>
      <c r="D4215" s="1">
        <f>IFERROR(__xludf.DUMMYFUNCTION("""COMPUTED_VALUE"""),883.62)</f>
        <v>883.62</v>
      </c>
      <c r="E4215" s="1">
        <f>IFERROR(__xludf.DUMMYFUNCTION("""COMPUTED_VALUE"""),884.21)</f>
        <v>884.21</v>
      </c>
      <c r="F4215" s="1">
        <f>IFERROR(__xludf.DUMMYFUNCTION("""COMPUTED_VALUE"""),2.02765632E8)</f>
        <v>202765632</v>
      </c>
    </row>
    <row r="4216">
      <c r="A4216" s="2">
        <f>IFERROR(__xludf.DUMMYFUNCTION("""COMPUTED_VALUE"""),37482.666666666664)</f>
        <v>37482.66667</v>
      </c>
      <c r="B4216" s="1">
        <f>IFERROR(__xludf.DUMMYFUNCTION("""COMPUTED_VALUE"""),884.21)</f>
        <v>884.21</v>
      </c>
      <c r="C4216" s="1">
        <f>IFERROR(__xludf.DUMMYFUNCTION("""COMPUTED_VALUE"""),920.21)</f>
        <v>920.21</v>
      </c>
      <c r="D4216" s="1">
        <f>IFERROR(__xludf.DUMMYFUNCTION("""COMPUTED_VALUE"""),876.2)</f>
        <v>876.2</v>
      </c>
      <c r="E4216" s="1">
        <f>IFERROR(__xludf.DUMMYFUNCTION("""COMPUTED_VALUE"""),919.62)</f>
        <v>919.62</v>
      </c>
      <c r="F4216" s="1">
        <f>IFERROR(__xludf.DUMMYFUNCTION("""COMPUTED_VALUE"""),2.39656256E8)</f>
        <v>239656256</v>
      </c>
    </row>
    <row r="4217">
      <c r="A4217" s="2">
        <f>IFERROR(__xludf.DUMMYFUNCTION("""COMPUTED_VALUE"""),37483.666666666664)</f>
        <v>37483.66667</v>
      </c>
      <c r="B4217" s="1">
        <f>IFERROR(__xludf.DUMMYFUNCTION("""COMPUTED_VALUE"""),920.25)</f>
        <v>920.25</v>
      </c>
      <c r="C4217" s="1">
        <f>IFERROR(__xludf.DUMMYFUNCTION("""COMPUTED_VALUE"""),933.29)</f>
        <v>933.29</v>
      </c>
      <c r="D4217" s="1">
        <f>IFERROR(__xludf.DUMMYFUNCTION("""COMPUTED_VALUE"""),918.17)</f>
        <v>918.17</v>
      </c>
      <c r="E4217" s="1">
        <f>IFERROR(__xludf.DUMMYFUNCTION("""COMPUTED_VALUE"""),930.25)</f>
        <v>930.25</v>
      </c>
      <c r="F4217" s="1">
        <f>IFERROR(__xludf.DUMMYFUNCTION("""COMPUTED_VALUE"""),2.35171872E8)</f>
        <v>235171872</v>
      </c>
    </row>
    <row r="4218">
      <c r="A4218" s="2">
        <f>IFERROR(__xludf.DUMMYFUNCTION("""COMPUTED_VALUE"""),37484.666666666664)</f>
        <v>37484.66667</v>
      </c>
      <c r="B4218" s="1">
        <f>IFERROR(__xludf.DUMMYFUNCTION("""COMPUTED_VALUE"""),928.64)</f>
        <v>928.64</v>
      </c>
      <c r="C4218" s="1">
        <f>IFERROR(__xludf.DUMMYFUNCTION("""COMPUTED_VALUE"""),935.38)</f>
        <v>935.38</v>
      </c>
      <c r="D4218" s="1">
        <f>IFERROR(__xludf.DUMMYFUNCTION("""COMPUTED_VALUE"""),916.21)</f>
        <v>916.21</v>
      </c>
      <c r="E4218" s="1">
        <f>IFERROR(__xludf.DUMMYFUNCTION("""COMPUTED_VALUE"""),928.77)</f>
        <v>928.77</v>
      </c>
      <c r="F4218" s="1">
        <f>IFERROR(__xludf.DUMMYFUNCTION("""COMPUTED_VALUE"""),1.9770312E8)</f>
        <v>197703120</v>
      </c>
    </row>
    <row r="4219">
      <c r="A4219" s="2">
        <f>IFERROR(__xludf.DUMMYFUNCTION("""COMPUTED_VALUE"""),37487.666666666664)</f>
        <v>37487.66667</v>
      </c>
      <c r="B4219" s="1">
        <f>IFERROR(__xludf.DUMMYFUNCTION("""COMPUTED_VALUE"""),928.71)</f>
        <v>928.71</v>
      </c>
      <c r="C4219" s="1">
        <f>IFERROR(__xludf.DUMMYFUNCTION("""COMPUTED_VALUE"""),951.17)</f>
        <v>951.17</v>
      </c>
      <c r="D4219" s="1">
        <f>IFERROR(__xludf.DUMMYFUNCTION("""COMPUTED_VALUE"""),927.21)</f>
        <v>927.21</v>
      </c>
      <c r="E4219" s="1">
        <f>IFERROR(__xludf.DUMMYFUNCTION("""COMPUTED_VALUE"""),950.7)</f>
        <v>950.7</v>
      </c>
      <c r="F4219" s="1">
        <f>IFERROR(__xludf.DUMMYFUNCTION("""COMPUTED_VALUE"""),2.03093744E8)</f>
        <v>203093744</v>
      </c>
    </row>
    <row r="4220">
      <c r="A4220" s="2">
        <f>IFERROR(__xludf.DUMMYFUNCTION("""COMPUTED_VALUE"""),37488.666666666664)</f>
        <v>37488.66667</v>
      </c>
      <c r="B4220" s="1">
        <f>IFERROR(__xludf.DUMMYFUNCTION("""COMPUTED_VALUE"""),949.05)</f>
        <v>949.05</v>
      </c>
      <c r="C4220" s="1">
        <f>IFERROR(__xludf.DUMMYFUNCTION("""COMPUTED_VALUE"""),949.05)</f>
        <v>949.05</v>
      </c>
      <c r="D4220" s="1">
        <f>IFERROR(__xludf.DUMMYFUNCTION("""COMPUTED_VALUE"""),931.86)</f>
        <v>931.86</v>
      </c>
      <c r="E4220" s="1">
        <f>IFERROR(__xludf.DUMMYFUNCTION("""COMPUTED_VALUE"""),937.43)</f>
        <v>937.43</v>
      </c>
      <c r="F4220" s="1">
        <f>IFERROR(__xludf.DUMMYFUNCTION("""COMPUTED_VALUE"""),2.0445312E8)</f>
        <v>204453120</v>
      </c>
    </row>
    <row r="4221">
      <c r="A4221" s="2">
        <f>IFERROR(__xludf.DUMMYFUNCTION("""COMPUTED_VALUE"""),37489.666666666664)</f>
        <v>37489.66667</v>
      </c>
      <c r="B4221" s="1">
        <f>IFERROR(__xludf.DUMMYFUNCTION("""COMPUTED_VALUE"""),939.03)</f>
        <v>939.03</v>
      </c>
      <c r="C4221" s="1">
        <f>IFERROR(__xludf.DUMMYFUNCTION("""COMPUTED_VALUE"""),951.59)</f>
        <v>951.59</v>
      </c>
      <c r="D4221" s="1">
        <f>IFERROR(__xludf.DUMMYFUNCTION("""COMPUTED_VALUE"""),931.32)</f>
        <v>931.32</v>
      </c>
      <c r="E4221" s="1">
        <f>IFERROR(__xludf.DUMMYFUNCTION("""COMPUTED_VALUE"""),949.36)</f>
        <v>949.36</v>
      </c>
      <c r="F4221" s="1">
        <f>IFERROR(__xludf.DUMMYFUNCTION("""COMPUTED_VALUE"""),2.11421872E8)</f>
        <v>211421872</v>
      </c>
    </row>
    <row r="4222">
      <c r="A4222" s="2">
        <f>IFERROR(__xludf.DUMMYFUNCTION("""COMPUTED_VALUE"""),37490.666666666664)</f>
        <v>37490.66667</v>
      </c>
      <c r="B4222" s="1">
        <f>IFERROR(__xludf.DUMMYFUNCTION("""COMPUTED_VALUE"""),949.52)</f>
        <v>949.52</v>
      </c>
      <c r="C4222" s="1">
        <f>IFERROR(__xludf.DUMMYFUNCTION("""COMPUTED_VALUE"""),965.0)</f>
        <v>965</v>
      </c>
      <c r="D4222" s="1">
        <f>IFERROR(__xludf.DUMMYFUNCTION("""COMPUTED_VALUE"""),946.43)</f>
        <v>946.43</v>
      </c>
      <c r="E4222" s="1">
        <f>IFERROR(__xludf.DUMMYFUNCTION("""COMPUTED_VALUE"""),962.7)</f>
        <v>962.7</v>
      </c>
      <c r="F4222" s="1">
        <f>IFERROR(__xludf.DUMMYFUNCTION("""COMPUTED_VALUE"""),2.14531248E8)</f>
        <v>214531248</v>
      </c>
    </row>
    <row r="4223">
      <c r="A4223" s="2">
        <f>IFERROR(__xludf.DUMMYFUNCTION("""COMPUTED_VALUE"""),37491.666666666664)</f>
        <v>37491.66667</v>
      </c>
      <c r="B4223" s="1">
        <f>IFERROR(__xludf.DUMMYFUNCTION("""COMPUTED_VALUE"""),960.59)</f>
        <v>960.59</v>
      </c>
      <c r="C4223" s="1">
        <f>IFERROR(__xludf.DUMMYFUNCTION("""COMPUTED_VALUE"""),960.59)</f>
        <v>960.59</v>
      </c>
      <c r="D4223" s="1">
        <f>IFERROR(__xludf.DUMMYFUNCTION("""COMPUTED_VALUE"""),937.17)</f>
        <v>937.17</v>
      </c>
      <c r="E4223" s="1">
        <f>IFERROR(__xludf.DUMMYFUNCTION("""COMPUTED_VALUE"""),940.86)</f>
        <v>940.86</v>
      </c>
      <c r="F4223" s="1">
        <f>IFERROR(__xludf.DUMMYFUNCTION("""COMPUTED_VALUE"""),1.67421872E8)</f>
        <v>167421872</v>
      </c>
    </row>
    <row r="4224">
      <c r="A4224" s="2">
        <f>IFERROR(__xludf.DUMMYFUNCTION("""COMPUTED_VALUE"""),37494.666666666664)</f>
        <v>37494.66667</v>
      </c>
      <c r="B4224" s="1">
        <f>IFERROR(__xludf.DUMMYFUNCTION("""COMPUTED_VALUE"""),941.77)</f>
        <v>941.77</v>
      </c>
      <c r="C4224" s="1">
        <f>IFERROR(__xludf.DUMMYFUNCTION("""COMPUTED_VALUE"""),950.8)</f>
        <v>950.8</v>
      </c>
      <c r="D4224" s="1">
        <f>IFERROR(__xludf.DUMMYFUNCTION("""COMPUTED_VALUE"""),930.42)</f>
        <v>930.42</v>
      </c>
      <c r="E4224" s="1">
        <f>IFERROR(__xludf.DUMMYFUNCTION("""COMPUTED_VALUE"""),947.95)</f>
        <v>947.95</v>
      </c>
      <c r="F4224" s="1">
        <f>IFERROR(__xludf.DUMMYFUNCTION("""COMPUTED_VALUE"""),1.58890624E8)</f>
        <v>158890624</v>
      </c>
    </row>
    <row r="4225">
      <c r="A4225" s="2">
        <f>IFERROR(__xludf.DUMMYFUNCTION("""COMPUTED_VALUE"""),37495.666666666664)</f>
        <v>37495.66667</v>
      </c>
      <c r="B4225" s="1">
        <f>IFERROR(__xludf.DUMMYFUNCTION("""COMPUTED_VALUE"""),947.96)</f>
        <v>947.96</v>
      </c>
      <c r="C4225" s="1">
        <f>IFERROR(__xludf.DUMMYFUNCTION("""COMPUTED_VALUE"""),955.82)</f>
        <v>955.82</v>
      </c>
      <c r="D4225" s="1">
        <f>IFERROR(__xludf.DUMMYFUNCTION("""COMPUTED_VALUE"""),930.36)</f>
        <v>930.36</v>
      </c>
      <c r="E4225" s="1">
        <f>IFERROR(__xludf.DUMMYFUNCTION("""COMPUTED_VALUE"""),934.82)</f>
        <v>934.82</v>
      </c>
      <c r="F4225" s="1">
        <f>IFERROR(__xludf.DUMMYFUNCTION("""COMPUTED_VALUE"""),2.04328128E8)</f>
        <v>204328128</v>
      </c>
    </row>
    <row r="4226">
      <c r="A4226" s="2">
        <f>IFERROR(__xludf.DUMMYFUNCTION("""COMPUTED_VALUE"""),37496.666666666664)</f>
        <v>37496.66667</v>
      </c>
      <c r="B4226" s="1">
        <f>IFERROR(__xludf.DUMMYFUNCTION("""COMPUTED_VALUE"""),932.72)</f>
        <v>932.72</v>
      </c>
      <c r="C4226" s="1">
        <f>IFERROR(__xludf.DUMMYFUNCTION("""COMPUTED_VALUE"""),932.72)</f>
        <v>932.72</v>
      </c>
      <c r="D4226" s="1">
        <f>IFERROR(__xludf.DUMMYFUNCTION("""COMPUTED_VALUE"""),915.35)</f>
        <v>915.35</v>
      </c>
      <c r="E4226" s="1">
        <f>IFERROR(__xludf.DUMMYFUNCTION("""COMPUTED_VALUE"""),917.07)</f>
        <v>917.07</v>
      </c>
      <c r="F4226" s="1">
        <f>IFERROR(__xludf.DUMMYFUNCTION("""COMPUTED_VALUE"""),1.79156256E8)</f>
        <v>179156256</v>
      </c>
    </row>
    <row r="4227">
      <c r="A4227" s="2">
        <f>IFERROR(__xludf.DUMMYFUNCTION("""COMPUTED_VALUE"""),37497.666666666664)</f>
        <v>37497.66667</v>
      </c>
      <c r="B4227" s="1">
        <f>IFERROR(__xludf.DUMMYFUNCTION("""COMPUTED_VALUE"""),917.87)</f>
        <v>917.87</v>
      </c>
      <c r="C4227" s="1">
        <f>IFERROR(__xludf.DUMMYFUNCTION("""COMPUTED_VALUE"""),924.59)</f>
        <v>924.59</v>
      </c>
      <c r="D4227" s="1">
        <f>IFERROR(__xludf.DUMMYFUNCTION("""COMPUTED_VALUE"""),903.33)</f>
        <v>903.33</v>
      </c>
      <c r="E4227" s="1">
        <f>IFERROR(__xludf.DUMMYFUNCTION("""COMPUTED_VALUE"""),917.8)</f>
        <v>917.8</v>
      </c>
      <c r="F4227" s="1">
        <f>IFERROR(__xludf.DUMMYFUNCTION("""COMPUTED_VALUE"""),1.98609376E8)</f>
        <v>198609376</v>
      </c>
    </row>
    <row r="4228">
      <c r="A4228" s="2">
        <f>IFERROR(__xludf.DUMMYFUNCTION("""COMPUTED_VALUE"""),37498.666666666664)</f>
        <v>37498.66667</v>
      </c>
      <c r="B4228" s="1">
        <f>IFERROR(__xludf.DUMMYFUNCTION("""COMPUTED_VALUE"""),916.49)</f>
        <v>916.49</v>
      </c>
      <c r="C4228" s="1">
        <f>IFERROR(__xludf.DUMMYFUNCTION("""COMPUTED_VALUE"""),928.15)</f>
        <v>928.15</v>
      </c>
      <c r="D4228" s="1">
        <f>IFERROR(__xludf.DUMMYFUNCTION("""COMPUTED_VALUE"""),910.17)</f>
        <v>910.17</v>
      </c>
      <c r="E4228" s="1">
        <f>IFERROR(__xludf.DUMMYFUNCTION("""COMPUTED_VALUE"""),916.07)</f>
        <v>916.07</v>
      </c>
      <c r="F4228" s="1">
        <f>IFERROR(__xludf.DUMMYFUNCTION("""COMPUTED_VALUE"""),1.4529688E8)</f>
        <v>145296880</v>
      </c>
    </row>
    <row r="4229">
      <c r="A4229" s="2">
        <f>IFERROR(__xludf.DUMMYFUNCTION("""COMPUTED_VALUE"""),37502.666666666664)</f>
        <v>37502.66667</v>
      </c>
      <c r="B4229" s="1">
        <f>IFERROR(__xludf.DUMMYFUNCTION("""COMPUTED_VALUE"""),916.07)</f>
        <v>916.07</v>
      </c>
      <c r="C4229" s="1">
        <f>IFERROR(__xludf.DUMMYFUNCTION("""COMPUTED_VALUE"""),916.07)</f>
        <v>916.07</v>
      </c>
      <c r="D4229" s="1">
        <f>IFERROR(__xludf.DUMMYFUNCTION("""COMPUTED_VALUE"""),877.51)</f>
        <v>877.51</v>
      </c>
      <c r="E4229" s="1">
        <f>IFERROR(__xludf.DUMMYFUNCTION("""COMPUTED_VALUE"""),878.02)</f>
        <v>878.02</v>
      </c>
      <c r="F4229" s="1">
        <f>IFERROR(__xludf.DUMMYFUNCTION("""COMPUTED_VALUE"""),2.01531248E8)</f>
        <v>201531248</v>
      </c>
    </row>
    <row r="4230">
      <c r="A4230" s="2">
        <f>IFERROR(__xludf.DUMMYFUNCTION("""COMPUTED_VALUE"""),37503.666666666664)</f>
        <v>37503.66667</v>
      </c>
      <c r="B4230" s="1">
        <f>IFERROR(__xludf.DUMMYFUNCTION("""COMPUTED_VALUE"""),878.65)</f>
        <v>878.65</v>
      </c>
      <c r="C4230" s="1">
        <f>IFERROR(__xludf.DUMMYFUNCTION("""COMPUTED_VALUE"""),896.1)</f>
        <v>896.1</v>
      </c>
      <c r="D4230" s="1">
        <f>IFERROR(__xludf.DUMMYFUNCTION("""COMPUTED_VALUE"""),875.73)</f>
        <v>875.73</v>
      </c>
      <c r="E4230" s="1">
        <f>IFERROR(__xludf.DUMMYFUNCTION("""COMPUTED_VALUE"""),893.4)</f>
        <v>893.4</v>
      </c>
      <c r="F4230" s="1">
        <f>IFERROR(__xludf.DUMMYFUNCTION("""COMPUTED_VALUE"""),2.14390624E8)</f>
        <v>214390624</v>
      </c>
    </row>
    <row r="4231">
      <c r="A4231" s="2">
        <f>IFERROR(__xludf.DUMMYFUNCTION("""COMPUTED_VALUE"""),37504.666666666664)</f>
        <v>37504.66667</v>
      </c>
      <c r="B4231" s="1">
        <f>IFERROR(__xludf.DUMMYFUNCTION("""COMPUTED_VALUE"""),890.32)</f>
        <v>890.32</v>
      </c>
      <c r="C4231" s="1">
        <f>IFERROR(__xludf.DUMMYFUNCTION("""COMPUTED_VALUE"""),890.32)</f>
        <v>890.32</v>
      </c>
      <c r="D4231" s="1">
        <f>IFERROR(__xludf.DUMMYFUNCTION("""COMPUTED_VALUE"""),870.5)</f>
        <v>870.5</v>
      </c>
      <c r="E4231" s="1">
        <f>IFERROR(__xludf.DUMMYFUNCTION("""COMPUTED_VALUE"""),879.15)</f>
        <v>879.15</v>
      </c>
      <c r="F4231" s="1">
        <f>IFERROR(__xludf.DUMMYFUNCTION("""COMPUTED_VALUE"""),2.1895312E8)</f>
        <v>218953120</v>
      </c>
    </row>
    <row r="4232">
      <c r="A4232" s="2">
        <f>IFERROR(__xludf.DUMMYFUNCTION("""COMPUTED_VALUE"""),37505.666666666664)</f>
        <v>37505.66667</v>
      </c>
      <c r="B4232" s="1">
        <f>IFERROR(__xludf.DUMMYFUNCTION("""COMPUTED_VALUE"""),883.2)</f>
        <v>883.2</v>
      </c>
      <c r="C4232" s="1">
        <f>IFERROR(__xludf.DUMMYFUNCTION("""COMPUTED_VALUE"""),899.07)</f>
        <v>899.07</v>
      </c>
      <c r="D4232" s="1">
        <f>IFERROR(__xludf.DUMMYFUNCTION("""COMPUTED_VALUE"""),883.2)</f>
        <v>883.2</v>
      </c>
      <c r="E4232" s="1">
        <f>IFERROR(__xludf.DUMMYFUNCTION("""COMPUTED_VALUE"""),893.92)</f>
        <v>893.92</v>
      </c>
      <c r="F4232" s="1">
        <f>IFERROR(__xludf.DUMMYFUNCTION("""COMPUTED_VALUE"""),1.85078128E8)</f>
        <v>185078128</v>
      </c>
    </row>
    <row r="4233">
      <c r="A4233" s="2">
        <f>IFERROR(__xludf.DUMMYFUNCTION("""COMPUTED_VALUE"""),37508.666666666664)</f>
        <v>37508.66667</v>
      </c>
      <c r="B4233" s="1">
        <f>IFERROR(__xludf.DUMMYFUNCTION("""COMPUTED_VALUE"""),893.39)</f>
        <v>893.39</v>
      </c>
      <c r="C4233" s="1">
        <f>IFERROR(__xludf.DUMMYFUNCTION("""COMPUTED_VALUE"""),907.34)</f>
        <v>907.34</v>
      </c>
      <c r="D4233" s="1">
        <f>IFERROR(__xludf.DUMMYFUNCTION("""COMPUTED_VALUE"""),882.92)</f>
        <v>882.92</v>
      </c>
      <c r="E4233" s="1">
        <f>IFERROR(__xludf.DUMMYFUNCTION("""COMPUTED_VALUE"""),902.96)</f>
        <v>902.96</v>
      </c>
      <c r="F4233" s="1">
        <f>IFERROR(__xludf.DUMMYFUNCTION("""COMPUTED_VALUE"""),1.76656256E8)</f>
        <v>176656256</v>
      </c>
    </row>
    <row r="4234">
      <c r="A4234" s="2">
        <f>IFERROR(__xludf.DUMMYFUNCTION("""COMPUTED_VALUE"""),37509.666666666664)</f>
        <v>37509.66667</v>
      </c>
      <c r="B4234" s="1">
        <f>IFERROR(__xludf.DUMMYFUNCTION("""COMPUTED_VALUE"""),903.33)</f>
        <v>903.33</v>
      </c>
      <c r="C4234" s="1">
        <f>IFERROR(__xludf.DUMMYFUNCTION("""COMPUTED_VALUE"""),909.89)</f>
        <v>909.89</v>
      </c>
      <c r="D4234" s="1">
        <f>IFERROR(__xludf.DUMMYFUNCTION("""COMPUTED_VALUE"""),900.5)</f>
        <v>900.5</v>
      </c>
      <c r="E4234" s="1">
        <f>IFERROR(__xludf.DUMMYFUNCTION("""COMPUTED_VALUE"""),909.58)</f>
        <v>909.58</v>
      </c>
      <c r="F4234" s="1">
        <f>IFERROR(__xludf.DUMMYFUNCTION("""COMPUTED_VALUE"""),1.85375008E8)</f>
        <v>185375008</v>
      </c>
    </row>
    <row r="4235">
      <c r="A4235" s="2">
        <f>IFERROR(__xludf.DUMMYFUNCTION("""COMPUTED_VALUE"""),37510.666666666664)</f>
        <v>37510.66667</v>
      </c>
      <c r="B4235" s="1">
        <f>IFERROR(__xludf.DUMMYFUNCTION("""COMPUTED_VALUE"""),910.63)</f>
        <v>910.63</v>
      </c>
      <c r="C4235" s="1">
        <f>IFERROR(__xludf.DUMMYFUNCTION("""COMPUTED_VALUE"""),924.02)</f>
        <v>924.02</v>
      </c>
      <c r="D4235" s="1">
        <f>IFERROR(__xludf.DUMMYFUNCTION("""COMPUTED_VALUE"""),908.47)</f>
        <v>908.47</v>
      </c>
      <c r="E4235" s="1">
        <f>IFERROR(__xludf.DUMMYFUNCTION("""COMPUTED_VALUE"""),909.45)</f>
        <v>909.45</v>
      </c>
      <c r="F4235" s="1">
        <f>IFERROR(__xludf.DUMMYFUNCTION("""COMPUTED_VALUE"""),1.32281248E8)</f>
        <v>132281248</v>
      </c>
    </row>
    <row r="4236">
      <c r="A4236" s="2">
        <f>IFERROR(__xludf.DUMMYFUNCTION("""COMPUTED_VALUE"""),37511.666666666664)</f>
        <v>37511.66667</v>
      </c>
      <c r="B4236" s="1">
        <f>IFERROR(__xludf.DUMMYFUNCTION("""COMPUTED_VALUE"""),908.36)</f>
        <v>908.36</v>
      </c>
      <c r="C4236" s="1">
        <f>IFERROR(__xludf.DUMMYFUNCTION("""COMPUTED_VALUE"""),908.36)</f>
        <v>908.36</v>
      </c>
      <c r="D4236" s="1">
        <f>IFERROR(__xludf.DUMMYFUNCTION("""COMPUTED_VALUE"""),884.84)</f>
        <v>884.84</v>
      </c>
      <c r="E4236" s="1">
        <f>IFERROR(__xludf.DUMMYFUNCTION("""COMPUTED_VALUE"""),886.91)</f>
        <v>886.91</v>
      </c>
      <c r="F4236" s="1">
        <f>IFERROR(__xludf.DUMMYFUNCTION("""COMPUTED_VALUE"""),1.86187504E8)</f>
        <v>186187504</v>
      </c>
    </row>
    <row r="4237">
      <c r="A4237" s="2">
        <f>IFERROR(__xludf.DUMMYFUNCTION("""COMPUTED_VALUE"""),37512.666666666664)</f>
        <v>37512.66667</v>
      </c>
      <c r="B4237" s="1">
        <f>IFERROR(__xludf.DUMMYFUNCTION("""COMPUTED_VALUE"""),885.59)</f>
        <v>885.59</v>
      </c>
      <c r="C4237" s="1">
        <f>IFERROR(__xludf.DUMMYFUNCTION("""COMPUTED_VALUE"""),892.75)</f>
        <v>892.75</v>
      </c>
      <c r="D4237" s="1">
        <f>IFERROR(__xludf.DUMMYFUNCTION("""COMPUTED_VALUE"""),877.05)</f>
        <v>877.05</v>
      </c>
      <c r="E4237" s="1">
        <f>IFERROR(__xludf.DUMMYFUNCTION("""COMPUTED_VALUE"""),889.81)</f>
        <v>889.81</v>
      </c>
      <c r="F4237" s="1">
        <f>IFERROR(__xludf.DUMMYFUNCTION("""COMPUTED_VALUE"""),1.98593744E8)</f>
        <v>198593744</v>
      </c>
    </row>
    <row r="4238">
      <c r="A4238" s="2">
        <f>IFERROR(__xludf.DUMMYFUNCTION("""COMPUTED_VALUE"""),37515.666666666664)</f>
        <v>37515.66667</v>
      </c>
      <c r="B4238" s="1">
        <f>IFERROR(__xludf.DUMMYFUNCTION("""COMPUTED_VALUE"""),889.08)</f>
        <v>889.08</v>
      </c>
      <c r="C4238" s="1">
        <f>IFERROR(__xludf.DUMMYFUNCTION("""COMPUTED_VALUE"""),891.84)</f>
        <v>891.84</v>
      </c>
      <c r="D4238" s="1">
        <f>IFERROR(__xludf.DUMMYFUNCTION("""COMPUTED_VALUE"""),878.91)</f>
        <v>878.91</v>
      </c>
      <c r="E4238" s="1">
        <f>IFERROR(__xludf.DUMMYFUNCTION("""COMPUTED_VALUE"""),891.1)</f>
        <v>891.1</v>
      </c>
      <c r="F4238" s="1">
        <f>IFERROR(__xludf.DUMMYFUNCTION("""COMPUTED_VALUE"""),1.56468752E8)</f>
        <v>156468752</v>
      </c>
    </row>
    <row r="4239">
      <c r="A4239" s="2">
        <f>IFERROR(__xludf.DUMMYFUNCTION("""COMPUTED_VALUE"""),37516.666666666664)</f>
        <v>37516.66667</v>
      </c>
      <c r="B4239" s="1">
        <f>IFERROR(__xludf.DUMMYFUNCTION("""COMPUTED_VALUE"""),893.12)</f>
        <v>893.12</v>
      </c>
      <c r="C4239" s="1">
        <f>IFERROR(__xludf.DUMMYFUNCTION("""COMPUTED_VALUE"""),902.68)</f>
        <v>902.68</v>
      </c>
      <c r="D4239" s="1">
        <f>IFERROR(__xludf.DUMMYFUNCTION("""COMPUTED_VALUE"""),872.38)</f>
        <v>872.38</v>
      </c>
      <c r="E4239" s="1">
        <f>IFERROR(__xludf.DUMMYFUNCTION("""COMPUTED_VALUE"""),873.52)</f>
        <v>873.52</v>
      </c>
      <c r="F4239" s="1">
        <f>IFERROR(__xludf.DUMMYFUNCTION("""COMPUTED_VALUE"""),2.26343744E8)</f>
        <v>226343744</v>
      </c>
    </row>
    <row r="4240">
      <c r="A4240" s="2">
        <f>IFERROR(__xludf.DUMMYFUNCTION("""COMPUTED_VALUE"""),37517.666666666664)</f>
        <v>37517.66667</v>
      </c>
      <c r="B4240" s="1">
        <f>IFERROR(__xludf.DUMMYFUNCTION("""COMPUTED_VALUE"""),870.71)</f>
        <v>870.71</v>
      </c>
      <c r="C4240" s="1">
        <f>IFERROR(__xludf.DUMMYFUNCTION("""COMPUTED_VALUE"""),878.45)</f>
        <v>878.45</v>
      </c>
      <c r="D4240" s="1">
        <f>IFERROR(__xludf.DUMMYFUNCTION("""COMPUTED_VALUE"""),857.39)</f>
        <v>857.39</v>
      </c>
      <c r="E4240" s="1">
        <f>IFERROR(__xludf.DUMMYFUNCTION("""COMPUTED_VALUE"""),869.46)</f>
        <v>869.46</v>
      </c>
      <c r="F4240" s="1">
        <f>IFERROR(__xludf.DUMMYFUNCTION("""COMPUTED_VALUE"""),2.34531248E8)</f>
        <v>234531248</v>
      </c>
    </row>
    <row r="4241">
      <c r="A4241" s="2">
        <f>IFERROR(__xludf.DUMMYFUNCTION("""COMPUTED_VALUE"""),37518.666666666664)</f>
        <v>37518.66667</v>
      </c>
      <c r="B4241" s="1">
        <f>IFERROR(__xludf.DUMMYFUNCTION("""COMPUTED_VALUE"""),867.14)</f>
        <v>867.14</v>
      </c>
      <c r="C4241" s="1">
        <f>IFERROR(__xludf.DUMMYFUNCTION("""COMPUTED_VALUE"""),867.14)</f>
        <v>867.14</v>
      </c>
      <c r="D4241" s="1">
        <f>IFERROR(__xludf.DUMMYFUNCTION("""COMPUTED_VALUE"""),843.09)</f>
        <v>843.09</v>
      </c>
      <c r="E4241" s="1">
        <f>IFERROR(__xludf.DUMMYFUNCTION("""COMPUTED_VALUE"""),843.32)</f>
        <v>843.32</v>
      </c>
      <c r="F4241" s="1">
        <f>IFERROR(__xludf.DUMMYFUNCTION("""COMPUTED_VALUE"""),2.38124992E8)</f>
        <v>238124992</v>
      </c>
    </row>
    <row r="4242">
      <c r="A4242" s="2">
        <f>IFERROR(__xludf.DUMMYFUNCTION("""COMPUTED_VALUE"""),37519.666666666664)</f>
        <v>37519.66667</v>
      </c>
      <c r="B4242" s="1">
        <f>IFERROR(__xludf.DUMMYFUNCTION("""COMPUTED_VALUE"""),843.32)</f>
        <v>843.32</v>
      </c>
      <c r="C4242" s="1">
        <f>IFERROR(__xludf.DUMMYFUNCTION("""COMPUTED_VALUE"""),849.32)</f>
        <v>849.32</v>
      </c>
      <c r="D4242" s="1">
        <f>IFERROR(__xludf.DUMMYFUNCTION("""COMPUTED_VALUE"""),839.09)</f>
        <v>839.09</v>
      </c>
      <c r="E4242" s="1">
        <f>IFERROR(__xludf.DUMMYFUNCTION("""COMPUTED_VALUE"""),845.39)</f>
        <v>845.39</v>
      </c>
      <c r="F4242" s="1">
        <f>IFERROR(__xludf.DUMMYFUNCTION("""COMPUTED_VALUE"""),2.80124992E8)</f>
        <v>280124992</v>
      </c>
    </row>
    <row r="4243">
      <c r="A4243" s="2">
        <f>IFERROR(__xludf.DUMMYFUNCTION("""COMPUTED_VALUE"""),37522.666666666664)</f>
        <v>37522.66667</v>
      </c>
      <c r="B4243" s="1">
        <f>IFERROR(__xludf.DUMMYFUNCTION("""COMPUTED_VALUE"""),843.68)</f>
        <v>843.68</v>
      </c>
      <c r="C4243" s="1">
        <f>IFERROR(__xludf.DUMMYFUNCTION("""COMPUTED_VALUE"""),843.68)</f>
        <v>843.68</v>
      </c>
      <c r="D4243" s="1">
        <f>IFERROR(__xludf.DUMMYFUNCTION("""COMPUTED_VALUE"""),825.76)</f>
        <v>825.76</v>
      </c>
      <c r="E4243" s="1">
        <f>IFERROR(__xludf.DUMMYFUNCTION("""COMPUTED_VALUE"""),833.7)</f>
        <v>833.7</v>
      </c>
      <c r="F4243" s="1">
        <f>IFERROR(__xludf.DUMMYFUNCTION("""COMPUTED_VALUE"""),2.1579688E8)</f>
        <v>215796880</v>
      </c>
    </row>
    <row r="4244">
      <c r="A4244" s="2">
        <f>IFERROR(__xludf.DUMMYFUNCTION("""COMPUTED_VALUE"""),37523.666666666664)</f>
        <v>37523.66667</v>
      </c>
      <c r="B4244" s="1">
        <f>IFERROR(__xludf.DUMMYFUNCTION("""COMPUTED_VALUE"""),832.05)</f>
        <v>832.05</v>
      </c>
      <c r="C4244" s="1">
        <f>IFERROR(__xludf.DUMMYFUNCTION("""COMPUTED_VALUE"""),833.32)</f>
        <v>833.32</v>
      </c>
      <c r="D4244" s="1">
        <f>IFERROR(__xludf.DUMMYFUNCTION("""COMPUTED_VALUE"""),817.38)</f>
        <v>817.38</v>
      </c>
      <c r="E4244" s="1">
        <f>IFERROR(__xludf.DUMMYFUNCTION("""COMPUTED_VALUE"""),819.29)</f>
        <v>819.29</v>
      </c>
      <c r="F4244" s="1">
        <f>IFERROR(__xludf.DUMMYFUNCTION("""COMPUTED_VALUE"""),2.60975008E8)</f>
        <v>260975008</v>
      </c>
    </row>
    <row r="4245">
      <c r="A4245" s="2">
        <f>IFERROR(__xludf.DUMMYFUNCTION("""COMPUTED_VALUE"""),37524.666666666664)</f>
        <v>37524.66667</v>
      </c>
      <c r="B4245" s="1">
        <f>IFERROR(__xludf.DUMMYFUNCTION("""COMPUTED_VALUE"""),822.47)</f>
        <v>822.47</v>
      </c>
      <c r="C4245" s="1">
        <f>IFERROR(__xludf.DUMMYFUNCTION("""COMPUTED_VALUE"""),844.22)</f>
        <v>844.22</v>
      </c>
      <c r="D4245" s="1">
        <f>IFERROR(__xludf.DUMMYFUNCTION("""COMPUTED_VALUE"""),818.46)</f>
        <v>818.46</v>
      </c>
      <c r="E4245" s="1">
        <f>IFERROR(__xludf.DUMMYFUNCTION("""COMPUTED_VALUE"""),839.66)</f>
        <v>839.66</v>
      </c>
      <c r="F4245" s="1">
        <f>IFERROR(__xludf.DUMMYFUNCTION("""COMPUTED_VALUE"""),2.5804688E8)</f>
        <v>258046880</v>
      </c>
    </row>
    <row r="4246">
      <c r="A4246" s="2">
        <f>IFERROR(__xludf.DUMMYFUNCTION("""COMPUTED_VALUE"""),37525.666666666664)</f>
        <v>37525.66667</v>
      </c>
      <c r="B4246" s="1">
        <f>IFERROR(__xludf.DUMMYFUNCTION("""COMPUTED_VALUE"""),841.26)</f>
        <v>841.26</v>
      </c>
      <c r="C4246" s="1">
        <f>IFERROR(__xludf.DUMMYFUNCTION("""COMPUTED_VALUE"""),856.6)</f>
        <v>856.6</v>
      </c>
      <c r="D4246" s="1">
        <f>IFERROR(__xludf.DUMMYFUNCTION("""COMPUTED_VALUE"""),841.26)</f>
        <v>841.26</v>
      </c>
      <c r="E4246" s="1">
        <f>IFERROR(__xludf.DUMMYFUNCTION("""COMPUTED_VALUE"""),854.95)</f>
        <v>854.95</v>
      </c>
      <c r="F4246" s="1">
        <f>IFERROR(__xludf.DUMMYFUNCTION("""COMPUTED_VALUE"""),2.57812496E8)</f>
        <v>257812496</v>
      </c>
    </row>
    <row r="4247">
      <c r="A4247" s="2">
        <f>IFERROR(__xludf.DUMMYFUNCTION("""COMPUTED_VALUE"""),37526.666666666664)</f>
        <v>37526.66667</v>
      </c>
      <c r="B4247" s="1">
        <f>IFERROR(__xludf.DUMMYFUNCTION("""COMPUTED_VALUE"""),853.75)</f>
        <v>853.75</v>
      </c>
      <c r="C4247" s="1">
        <f>IFERROR(__xludf.DUMMYFUNCTION("""COMPUTED_VALUE"""),853.75)</f>
        <v>853.75</v>
      </c>
      <c r="D4247" s="1">
        <f>IFERROR(__xludf.DUMMYFUNCTION("""COMPUTED_VALUE"""),826.84)</f>
        <v>826.84</v>
      </c>
      <c r="E4247" s="1">
        <f>IFERROR(__xludf.DUMMYFUNCTION("""COMPUTED_VALUE"""),827.37)</f>
        <v>827.37</v>
      </c>
      <c r="F4247" s="1">
        <f>IFERROR(__xludf.DUMMYFUNCTION("""COMPUTED_VALUE"""),2.35515632E8)</f>
        <v>235515632</v>
      </c>
    </row>
    <row r="4248">
      <c r="A4248" s="2">
        <f>IFERROR(__xludf.DUMMYFUNCTION("""COMPUTED_VALUE"""),37529.666666666664)</f>
        <v>37529.66667</v>
      </c>
      <c r="B4248" s="1">
        <f>IFERROR(__xludf.DUMMYFUNCTION("""COMPUTED_VALUE"""),825.77)</f>
        <v>825.77</v>
      </c>
      <c r="C4248" s="1">
        <f>IFERROR(__xludf.DUMMYFUNCTION("""COMPUTED_VALUE"""),825.77)</f>
        <v>825.77</v>
      </c>
      <c r="D4248" s="1">
        <f>IFERROR(__xludf.DUMMYFUNCTION("""COMPUTED_VALUE"""),800.2)</f>
        <v>800.2</v>
      </c>
      <c r="E4248" s="1">
        <f>IFERROR(__xludf.DUMMYFUNCTION("""COMPUTED_VALUE"""),815.28)</f>
        <v>815.28</v>
      </c>
      <c r="F4248" s="1">
        <f>IFERROR(__xludf.DUMMYFUNCTION("""COMPUTED_VALUE"""),2.69042176E8)</f>
        <v>269042176</v>
      </c>
    </row>
    <row r="4249">
      <c r="A4249" s="2">
        <f>IFERROR(__xludf.DUMMYFUNCTION("""COMPUTED_VALUE"""),37530.666666666664)</f>
        <v>37530.66667</v>
      </c>
      <c r="B4249" s="1">
        <f>IFERROR(__xludf.DUMMYFUNCTION("""COMPUTED_VALUE"""),816.78)</f>
        <v>816.78</v>
      </c>
      <c r="C4249" s="1">
        <f>IFERROR(__xludf.DUMMYFUNCTION("""COMPUTED_VALUE"""),847.93)</f>
        <v>847.93</v>
      </c>
      <c r="D4249" s="1">
        <f>IFERROR(__xludf.DUMMYFUNCTION("""COMPUTED_VALUE"""),812.82)</f>
        <v>812.82</v>
      </c>
      <c r="E4249" s="1">
        <f>IFERROR(__xludf.DUMMYFUNCTION("""COMPUTED_VALUE"""),847.91)</f>
        <v>847.91</v>
      </c>
      <c r="F4249" s="1">
        <f>IFERROR(__xludf.DUMMYFUNCTION("""COMPUTED_VALUE"""),2.78265632E8)</f>
        <v>278265632</v>
      </c>
    </row>
    <row r="4250">
      <c r="A4250" s="2">
        <f>IFERROR(__xludf.DUMMYFUNCTION("""COMPUTED_VALUE"""),37531.666666666664)</f>
        <v>37531.66667</v>
      </c>
      <c r="B4250" s="1">
        <f>IFERROR(__xludf.DUMMYFUNCTION("""COMPUTED_VALUE"""),843.77)</f>
        <v>843.77</v>
      </c>
      <c r="C4250" s="1">
        <f>IFERROR(__xludf.DUMMYFUNCTION("""COMPUTED_VALUE"""),851.93)</f>
        <v>851.93</v>
      </c>
      <c r="D4250" s="1">
        <f>IFERROR(__xludf.DUMMYFUNCTION("""COMPUTED_VALUE"""),826.5)</f>
        <v>826.5</v>
      </c>
      <c r="E4250" s="1">
        <f>IFERROR(__xludf.DUMMYFUNCTION("""COMPUTED_VALUE"""),827.91)</f>
        <v>827.91</v>
      </c>
      <c r="F4250" s="1">
        <f>IFERROR(__xludf.DUMMYFUNCTION("""COMPUTED_VALUE"""),2.60765632E8)</f>
        <v>260765632</v>
      </c>
    </row>
    <row r="4251">
      <c r="A4251" s="2">
        <f>IFERROR(__xludf.DUMMYFUNCTION("""COMPUTED_VALUE"""),37532.666666666664)</f>
        <v>37532.66667</v>
      </c>
      <c r="B4251" s="1">
        <f>IFERROR(__xludf.DUMMYFUNCTION("""COMPUTED_VALUE"""),827.71)</f>
        <v>827.71</v>
      </c>
      <c r="C4251" s="1">
        <f>IFERROR(__xludf.DUMMYFUNCTION("""COMPUTED_VALUE"""),840.02)</f>
        <v>840.02</v>
      </c>
      <c r="D4251" s="1">
        <f>IFERROR(__xludf.DUMMYFUNCTION("""COMPUTED_VALUE"""),817.25)</f>
        <v>817.25</v>
      </c>
      <c r="E4251" s="1">
        <f>IFERROR(__xludf.DUMMYFUNCTION("""COMPUTED_VALUE"""),818.95)</f>
        <v>818.95</v>
      </c>
      <c r="F4251" s="1">
        <f>IFERROR(__xludf.DUMMYFUNCTION("""COMPUTED_VALUE"""),2.61640624E8)</f>
        <v>261640624</v>
      </c>
    </row>
    <row r="4252">
      <c r="A4252" s="2">
        <f>IFERROR(__xludf.DUMMYFUNCTION("""COMPUTED_VALUE"""),37533.666666666664)</f>
        <v>37533.66667</v>
      </c>
      <c r="B4252" s="1">
        <f>IFERROR(__xludf.DUMMYFUNCTION("""COMPUTED_VALUE"""),820.21)</f>
        <v>820.21</v>
      </c>
      <c r="C4252" s="1">
        <f>IFERROR(__xludf.DUMMYFUNCTION("""COMPUTED_VALUE"""),825.9)</f>
        <v>825.9</v>
      </c>
      <c r="D4252" s="1">
        <f>IFERROR(__xludf.DUMMYFUNCTION("""COMPUTED_VALUE"""),794.1)</f>
        <v>794.1</v>
      </c>
      <c r="E4252" s="1">
        <f>IFERROR(__xludf.DUMMYFUNCTION("""COMPUTED_VALUE"""),800.58)</f>
        <v>800.58</v>
      </c>
      <c r="F4252" s="1">
        <f>IFERROR(__xludf.DUMMYFUNCTION("""COMPUTED_VALUE"""),2.86864064E8)</f>
        <v>286864064</v>
      </c>
    </row>
    <row r="4253">
      <c r="A4253" s="2">
        <f>IFERROR(__xludf.DUMMYFUNCTION("""COMPUTED_VALUE"""),37536.666666666664)</f>
        <v>37536.66667</v>
      </c>
      <c r="B4253" s="1">
        <f>IFERROR(__xludf.DUMMYFUNCTION("""COMPUTED_VALUE"""),799.98)</f>
        <v>799.98</v>
      </c>
      <c r="C4253" s="1">
        <f>IFERROR(__xludf.DUMMYFUNCTION("""COMPUTED_VALUE"""),808.21)</f>
        <v>808.21</v>
      </c>
      <c r="D4253" s="1">
        <f>IFERROR(__xludf.DUMMYFUNCTION("""COMPUTED_VALUE"""),782.96)</f>
        <v>782.96</v>
      </c>
      <c r="E4253" s="1">
        <f>IFERROR(__xludf.DUMMYFUNCTION("""COMPUTED_VALUE"""),785.28)</f>
        <v>785.28</v>
      </c>
      <c r="F4253" s="1">
        <f>IFERROR(__xludf.DUMMYFUNCTION("""COMPUTED_VALUE"""),2.46328128E8)</f>
        <v>246328128</v>
      </c>
    </row>
    <row r="4254">
      <c r="A4254" s="2">
        <f>IFERROR(__xludf.DUMMYFUNCTION("""COMPUTED_VALUE"""),37537.666666666664)</f>
        <v>37537.66667</v>
      </c>
      <c r="B4254" s="1">
        <f>IFERROR(__xludf.DUMMYFUNCTION("""COMPUTED_VALUE"""),785.57)</f>
        <v>785.57</v>
      </c>
      <c r="C4254" s="1">
        <f>IFERROR(__xludf.DUMMYFUNCTION("""COMPUTED_VALUE"""),808.86)</f>
        <v>808.86</v>
      </c>
      <c r="D4254" s="1">
        <f>IFERROR(__xludf.DUMMYFUNCTION("""COMPUTED_VALUE"""),779.5)</f>
        <v>779.5</v>
      </c>
      <c r="E4254" s="1">
        <f>IFERROR(__xludf.DUMMYFUNCTION("""COMPUTED_VALUE"""),796.32)</f>
        <v>796.32</v>
      </c>
      <c r="F4254" s="1">
        <f>IFERROR(__xludf.DUMMYFUNCTION("""COMPUTED_VALUE"""),3.0287968E8)</f>
        <v>302879680</v>
      </c>
    </row>
    <row r="4255">
      <c r="A4255" s="2">
        <f>IFERROR(__xludf.DUMMYFUNCTION("""COMPUTED_VALUE"""),37538.666666666664)</f>
        <v>37538.66667</v>
      </c>
      <c r="B4255" s="1">
        <f>IFERROR(__xludf.DUMMYFUNCTION("""COMPUTED_VALUE"""),796.92)</f>
        <v>796.92</v>
      </c>
      <c r="C4255" s="1">
        <f>IFERROR(__xludf.DUMMYFUNCTION("""COMPUTED_VALUE"""),796.92)</f>
        <v>796.92</v>
      </c>
      <c r="D4255" s="1">
        <f>IFERROR(__xludf.DUMMYFUNCTION("""COMPUTED_VALUE"""),775.8)</f>
        <v>775.8</v>
      </c>
      <c r="E4255" s="1">
        <f>IFERROR(__xludf.DUMMYFUNCTION("""COMPUTED_VALUE"""),776.76)</f>
        <v>776.76</v>
      </c>
      <c r="F4255" s="1">
        <f>IFERROR(__xludf.DUMMYFUNCTION("""COMPUTED_VALUE"""),2.94535936E8)</f>
        <v>294535936</v>
      </c>
    </row>
    <row r="4256">
      <c r="A4256" s="2">
        <f>IFERROR(__xludf.DUMMYFUNCTION("""COMPUTED_VALUE"""),37539.666666666664)</f>
        <v>37539.66667</v>
      </c>
      <c r="B4256" s="1">
        <f>IFERROR(__xludf.DUMMYFUNCTION("""COMPUTED_VALUE"""),777.07)</f>
        <v>777.07</v>
      </c>
      <c r="C4256" s="1">
        <f>IFERROR(__xludf.DUMMYFUNCTION("""COMPUTED_VALUE"""),806.51)</f>
        <v>806.51</v>
      </c>
      <c r="D4256" s="1">
        <f>IFERROR(__xludf.DUMMYFUNCTION("""COMPUTED_VALUE"""),768.63)</f>
        <v>768.63</v>
      </c>
      <c r="E4256" s="1">
        <f>IFERROR(__xludf.DUMMYFUNCTION("""COMPUTED_VALUE"""),803.92)</f>
        <v>803.92</v>
      </c>
      <c r="F4256" s="1">
        <f>IFERROR(__xludf.DUMMYFUNCTION("""COMPUTED_VALUE"""),3.26598432E8)</f>
        <v>326598432</v>
      </c>
    </row>
    <row r="4257">
      <c r="A4257" s="2">
        <f>IFERROR(__xludf.DUMMYFUNCTION("""COMPUTED_VALUE"""),37540.666666666664)</f>
        <v>37540.66667</v>
      </c>
      <c r="B4257" s="1">
        <f>IFERROR(__xludf.DUMMYFUNCTION("""COMPUTED_VALUE"""),806.05)</f>
        <v>806.05</v>
      </c>
      <c r="C4257" s="1">
        <f>IFERROR(__xludf.DUMMYFUNCTION("""COMPUTED_VALUE"""),843.27)</f>
        <v>843.27</v>
      </c>
      <c r="D4257" s="1">
        <f>IFERROR(__xludf.DUMMYFUNCTION("""COMPUTED_VALUE"""),806.05)</f>
        <v>806.05</v>
      </c>
      <c r="E4257" s="1">
        <f>IFERROR(__xludf.DUMMYFUNCTION("""COMPUTED_VALUE"""),835.32)</f>
        <v>835.32</v>
      </c>
      <c r="F4257" s="1">
        <f>IFERROR(__xludf.DUMMYFUNCTION("""COMPUTED_VALUE"""),2.89707808E8)</f>
        <v>289707808</v>
      </c>
    </row>
    <row r="4258">
      <c r="A4258" s="2">
        <f>IFERROR(__xludf.DUMMYFUNCTION("""COMPUTED_VALUE"""),37543.666666666664)</f>
        <v>37543.66667</v>
      </c>
      <c r="B4258" s="1">
        <f>IFERROR(__xludf.DUMMYFUNCTION("""COMPUTED_VALUE"""),833.86)</f>
        <v>833.86</v>
      </c>
      <c r="C4258" s="1">
        <f>IFERROR(__xludf.DUMMYFUNCTION("""COMPUTED_VALUE"""),844.39)</f>
        <v>844.39</v>
      </c>
      <c r="D4258" s="1">
        <f>IFERROR(__xludf.DUMMYFUNCTION("""COMPUTED_VALUE"""),828.37)</f>
        <v>828.37</v>
      </c>
      <c r="E4258" s="1">
        <f>IFERROR(__xludf.DUMMYFUNCTION("""COMPUTED_VALUE"""),841.44)</f>
        <v>841.44</v>
      </c>
      <c r="F4258" s="1">
        <f>IFERROR(__xludf.DUMMYFUNCTION("""COMPUTED_VALUE"""),1.8754688E8)</f>
        <v>187546880</v>
      </c>
    </row>
    <row r="4259">
      <c r="A4259" s="2">
        <f>IFERROR(__xludf.DUMMYFUNCTION("""COMPUTED_VALUE"""),37544.666666666664)</f>
        <v>37544.66667</v>
      </c>
      <c r="B4259" s="1">
        <f>IFERROR(__xludf.DUMMYFUNCTION("""COMPUTED_VALUE"""),847.62)</f>
        <v>847.62</v>
      </c>
      <c r="C4259" s="1">
        <f>IFERROR(__xludf.DUMMYFUNCTION("""COMPUTED_VALUE"""),881.27)</f>
        <v>881.27</v>
      </c>
      <c r="D4259" s="1">
        <f>IFERROR(__xludf.DUMMYFUNCTION("""COMPUTED_VALUE"""),847.62)</f>
        <v>847.62</v>
      </c>
      <c r="E4259" s="1">
        <f>IFERROR(__xludf.DUMMYFUNCTION("""COMPUTED_VALUE"""),881.12)</f>
        <v>881.12</v>
      </c>
      <c r="F4259" s="1">
        <f>IFERROR(__xludf.DUMMYFUNCTION("""COMPUTED_VALUE"""),3.05624992E8)</f>
        <v>305624992</v>
      </c>
    </row>
    <row r="4260">
      <c r="A4260" s="2">
        <f>IFERROR(__xludf.DUMMYFUNCTION("""COMPUTED_VALUE"""),37545.666666666664)</f>
        <v>37545.66667</v>
      </c>
      <c r="B4260" s="1">
        <f>IFERROR(__xludf.DUMMYFUNCTION("""COMPUTED_VALUE"""),875.37)</f>
        <v>875.37</v>
      </c>
      <c r="C4260" s="1">
        <f>IFERROR(__xludf.DUMMYFUNCTION("""COMPUTED_VALUE"""),875.37)</f>
        <v>875.37</v>
      </c>
      <c r="D4260" s="1">
        <f>IFERROR(__xludf.DUMMYFUNCTION("""COMPUTED_VALUE"""),856.28)</f>
        <v>856.28</v>
      </c>
      <c r="E4260" s="1">
        <f>IFERROR(__xludf.DUMMYFUNCTION("""COMPUTED_VALUE"""),860.02)</f>
        <v>860.02</v>
      </c>
      <c r="F4260" s="1">
        <f>IFERROR(__xludf.DUMMYFUNCTION("""COMPUTED_VALUE"""),2.47656256E8)</f>
        <v>247656256</v>
      </c>
    </row>
    <row r="4261">
      <c r="A4261" s="2">
        <f>IFERROR(__xludf.DUMMYFUNCTION("""COMPUTED_VALUE"""),37546.666666666664)</f>
        <v>37546.66667</v>
      </c>
      <c r="B4261" s="1">
        <f>IFERROR(__xludf.DUMMYFUNCTION("""COMPUTED_VALUE"""),862.22)</f>
        <v>862.22</v>
      </c>
      <c r="C4261" s="1">
        <f>IFERROR(__xludf.DUMMYFUNCTION("""COMPUTED_VALUE"""),885.35)</f>
        <v>885.35</v>
      </c>
      <c r="D4261" s="1">
        <f>IFERROR(__xludf.DUMMYFUNCTION("""COMPUTED_VALUE"""),862.22)</f>
        <v>862.22</v>
      </c>
      <c r="E4261" s="1">
        <f>IFERROR(__xludf.DUMMYFUNCTION("""COMPUTED_VALUE"""),879.2)</f>
        <v>879.2</v>
      </c>
      <c r="F4261" s="1">
        <f>IFERROR(__xludf.DUMMYFUNCTION("""COMPUTED_VALUE"""),2.78185952E8)</f>
        <v>278185952</v>
      </c>
    </row>
    <row r="4262">
      <c r="A4262" s="2">
        <f>IFERROR(__xludf.DUMMYFUNCTION("""COMPUTED_VALUE"""),37547.666666666664)</f>
        <v>37547.66667</v>
      </c>
      <c r="B4262" s="1">
        <f>IFERROR(__xludf.DUMMYFUNCTION("""COMPUTED_VALUE"""),879.05)</f>
        <v>879.05</v>
      </c>
      <c r="C4262" s="1">
        <f>IFERROR(__xludf.DUMMYFUNCTION("""COMPUTED_VALUE"""),886.68)</f>
        <v>886.68</v>
      </c>
      <c r="D4262" s="1">
        <f>IFERROR(__xludf.DUMMYFUNCTION("""COMPUTED_VALUE"""),866.58)</f>
        <v>866.58</v>
      </c>
      <c r="E4262" s="1">
        <f>IFERROR(__xludf.DUMMYFUNCTION("""COMPUTED_VALUE"""),884.39)</f>
        <v>884.39</v>
      </c>
      <c r="F4262" s="1">
        <f>IFERROR(__xludf.DUMMYFUNCTION("""COMPUTED_VALUE"""),2.22359376E8)</f>
        <v>222359376</v>
      </c>
    </row>
    <row r="4263">
      <c r="A4263" s="2">
        <f>IFERROR(__xludf.DUMMYFUNCTION("""COMPUTED_VALUE"""),37550.666666666664)</f>
        <v>37550.66667</v>
      </c>
      <c r="B4263" s="1">
        <f>IFERROR(__xludf.DUMMYFUNCTION("""COMPUTED_VALUE"""),884.39)</f>
        <v>884.39</v>
      </c>
      <c r="C4263" s="1">
        <f>IFERROR(__xludf.DUMMYFUNCTION("""COMPUTED_VALUE"""),899.72)</f>
        <v>899.72</v>
      </c>
      <c r="D4263" s="1">
        <f>IFERROR(__xludf.DUMMYFUNCTION("""COMPUTED_VALUE"""),873.18)</f>
        <v>873.18</v>
      </c>
      <c r="E4263" s="1">
        <f>IFERROR(__xludf.DUMMYFUNCTION("""COMPUTED_VALUE"""),899.72)</f>
        <v>899.72</v>
      </c>
      <c r="F4263" s="1">
        <f>IFERROR(__xludf.DUMMYFUNCTION("""COMPUTED_VALUE"""),2.26093744E8)</f>
        <v>226093744</v>
      </c>
    </row>
    <row r="4264">
      <c r="A4264" s="2">
        <f>IFERROR(__xludf.DUMMYFUNCTION("""COMPUTED_VALUE"""),37551.666666666664)</f>
        <v>37551.66667</v>
      </c>
      <c r="B4264" s="1">
        <f>IFERROR(__xludf.DUMMYFUNCTION("""COMPUTED_VALUE"""),896.45)</f>
        <v>896.45</v>
      </c>
      <c r="C4264" s="1">
        <f>IFERROR(__xludf.DUMMYFUNCTION("""COMPUTED_VALUE"""),896.45)</f>
        <v>896.45</v>
      </c>
      <c r="D4264" s="1">
        <f>IFERROR(__xludf.DUMMYFUNCTION("""COMPUTED_VALUE"""),882.4)</f>
        <v>882.4</v>
      </c>
      <c r="E4264" s="1">
        <f>IFERROR(__xludf.DUMMYFUNCTION("""COMPUTED_VALUE"""),890.16)</f>
        <v>890.16</v>
      </c>
      <c r="F4264" s="1">
        <f>IFERROR(__xludf.DUMMYFUNCTION("""COMPUTED_VALUE"""),2.42062496E8)</f>
        <v>242062496</v>
      </c>
    </row>
    <row r="4265">
      <c r="A4265" s="2">
        <f>IFERROR(__xludf.DUMMYFUNCTION("""COMPUTED_VALUE"""),37552.666666666664)</f>
        <v>37552.66667</v>
      </c>
      <c r="B4265" s="1">
        <f>IFERROR(__xludf.DUMMYFUNCTION("""COMPUTED_VALUE"""),889.59)</f>
        <v>889.59</v>
      </c>
      <c r="C4265" s="1">
        <f>IFERROR(__xludf.DUMMYFUNCTION("""COMPUTED_VALUE"""),896.14)</f>
        <v>896.14</v>
      </c>
      <c r="D4265" s="1">
        <f>IFERROR(__xludf.DUMMYFUNCTION("""COMPUTED_VALUE"""),873.82)</f>
        <v>873.82</v>
      </c>
      <c r="E4265" s="1">
        <f>IFERROR(__xludf.DUMMYFUNCTION("""COMPUTED_VALUE"""),896.14)</f>
        <v>896.14</v>
      </c>
      <c r="F4265" s="1">
        <f>IFERROR(__xludf.DUMMYFUNCTION("""COMPUTED_VALUE"""),2.4904688E8)</f>
        <v>249046880</v>
      </c>
    </row>
    <row r="4266">
      <c r="A4266" s="2">
        <f>IFERROR(__xludf.DUMMYFUNCTION("""COMPUTED_VALUE"""),37553.666666666664)</f>
        <v>37553.66667</v>
      </c>
      <c r="B4266" s="1">
        <f>IFERROR(__xludf.DUMMYFUNCTION("""COMPUTED_VALUE"""),896.95)</f>
        <v>896.95</v>
      </c>
      <c r="C4266" s="1">
        <f>IFERROR(__xludf.DUMMYFUNCTION("""COMPUTED_VALUE"""),902.94)</f>
        <v>902.94</v>
      </c>
      <c r="D4266" s="1">
        <f>IFERROR(__xludf.DUMMYFUNCTION("""COMPUTED_VALUE"""),879.0)</f>
        <v>879</v>
      </c>
      <c r="E4266" s="1">
        <f>IFERROR(__xludf.DUMMYFUNCTION("""COMPUTED_VALUE"""),882.5)</f>
        <v>882.5</v>
      </c>
      <c r="F4266" s="1">
        <f>IFERROR(__xludf.DUMMYFUNCTION("""COMPUTED_VALUE"""),2.65714064E8)</f>
        <v>265714064</v>
      </c>
    </row>
    <row r="4267">
      <c r="A4267" s="2">
        <f>IFERROR(__xludf.DUMMYFUNCTION("""COMPUTED_VALUE"""),37554.666666666664)</f>
        <v>37554.66667</v>
      </c>
      <c r="B4267" s="1">
        <f>IFERROR(__xludf.DUMMYFUNCTION("""COMPUTED_VALUE"""),882.48)</f>
        <v>882.48</v>
      </c>
      <c r="C4267" s="1">
        <f>IFERROR(__xludf.DUMMYFUNCTION("""COMPUTED_VALUE"""),897.71)</f>
        <v>897.71</v>
      </c>
      <c r="D4267" s="1">
        <f>IFERROR(__xludf.DUMMYFUNCTION("""COMPUTED_VALUE"""),877.03)</f>
        <v>877.03</v>
      </c>
      <c r="E4267" s="1">
        <f>IFERROR(__xludf.DUMMYFUNCTION("""COMPUTED_VALUE"""),897.65)</f>
        <v>897.65</v>
      </c>
      <c r="F4267" s="1">
        <f>IFERROR(__xludf.DUMMYFUNCTION("""COMPUTED_VALUE"""),2.09437504E8)</f>
        <v>209437504</v>
      </c>
    </row>
    <row r="4268">
      <c r="A4268" s="2">
        <f>IFERROR(__xludf.DUMMYFUNCTION("""COMPUTED_VALUE"""),37557.666666666664)</f>
        <v>37557.66667</v>
      </c>
      <c r="B4268" s="1">
        <f>IFERROR(__xludf.DUMMYFUNCTION("""COMPUTED_VALUE"""),900.82)</f>
        <v>900.82</v>
      </c>
      <c r="C4268" s="1">
        <f>IFERROR(__xludf.DUMMYFUNCTION("""COMPUTED_VALUE"""),907.44)</f>
        <v>907.44</v>
      </c>
      <c r="D4268" s="1">
        <f>IFERROR(__xludf.DUMMYFUNCTION("""COMPUTED_VALUE"""),886.15)</f>
        <v>886.15</v>
      </c>
      <c r="E4268" s="1">
        <f>IFERROR(__xludf.DUMMYFUNCTION("""COMPUTED_VALUE"""),890.23)</f>
        <v>890.23</v>
      </c>
      <c r="F4268" s="1">
        <f>IFERROR(__xludf.DUMMYFUNCTION("""COMPUTED_VALUE"""),2.16031248E8)</f>
        <v>216031248</v>
      </c>
    </row>
    <row r="4269">
      <c r="A4269" s="2">
        <f>IFERROR(__xludf.DUMMYFUNCTION("""COMPUTED_VALUE"""),37558.666666666664)</f>
        <v>37558.66667</v>
      </c>
      <c r="B4269" s="1">
        <f>IFERROR(__xludf.DUMMYFUNCTION("""COMPUTED_VALUE"""),889.88)</f>
        <v>889.88</v>
      </c>
      <c r="C4269" s="1">
        <f>IFERROR(__xludf.DUMMYFUNCTION("""COMPUTED_VALUE"""),890.64)</f>
        <v>890.64</v>
      </c>
      <c r="D4269" s="1">
        <f>IFERROR(__xludf.DUMMYFUNCTION("""COMPUTED_VALUE"""),867.91)</f>
        <v>867.91</v>
      </c>
      <c r="E4269" s="1">
        <f>IFERROR(__xludf.DUMMYFUNCTION("""COMPUTED_VALUE"""),882.15)</f>
        <v>882.15</v>
      </c>
      <c r="F4269" s="1">
        <f>IFERROR(__xludf.DUMMYFUNCTION("""COMPUTED_VALUE"""),2.39015632E8)</f>
        <v>239015632</v>
      </c>
    </row>
    <row r="4270">
      <c r="A4270" s="2">
        <f>IFERROR(__xludf.DUMMYFUNCTION("""COMPUTED_VALUE"""),37559.666666666664)</f>
        <v>37559.66667</v>
      </c>
      <c r="B4270" s="1">
        <f>IFERROR(__xludf.DUMMYFUNCTION("""COMPUTED_VALUE"""),883.13)</f>
        <v>883.13</v>
      </c>
      <c r="C4270" s="1">
        <f>IFERROR(__xludf.DUMMYFUNCTION("""COMPUTED_VALUE"""),895.28)</f>
        <v>895.28</v>
      </c>
      <c r="D4270" s="1">
        <f>IFERROR(__xludf.DUMMYFUNCTION("""COMPUTED_VALUE"""),879.19)</f>
        <v>879.19</v>
      </c>
      <c r="E4270" s="1">
        <f>IFERROR(__xludf.DUMMYFUNCTION("""COMPUTED_VALUE"""),890.71)</f>
        <v>890.71</v>
      </c>
      <c r="F4270" s="1">
        <f>IFERROR(__xludf.DUMMYFUNCTION("""COMPUTED_VALUE"""),2.22234368E8)</f>
        <v>222234368</v>
      </c>
    </row>
    <row r="4271">
      <c r="A4271" s="2">
        <f>IFERROR(__xludf.DUMMYFUNCTION("""COMPUTED_VALUE"""),37560.666666666664)</f>
        <v>37560.66667</v>
      </c>
      <c r="B4271" s="1">
        <f>IFERROR(__xludf.DUMMYFUNCTION("""COMPUTED_VALUE"""),891.1)</f>
        <v>891.1</v>
      </c>
      <c r="C4271" s="1">
        <f>IFERROR(__xludf.DUMMYFUNCTION("""COMPUTED_VALUE"""),898.83)</f>
        <v>898.83</v>
      </c>
      <c r="D4271" s="1">
        <f>IFERROR(__xludf.DUMMYFUNCTION("""COMPUTED_VALUE"""),879.75)</f>
        <v>879.75</v>
      </c>
      <c r="E4271" s="1">
        <f>IFERROR(__xludf.DUMMYFUNCTION("""COMPUTED_VALUE"""),885.76)</f>
        <v>885.76</v>
      </c>
      <c r="F4271" s="1">
        <f>IFERROR(__xludf.DUMMYFUNCTION("""COMPUTED_VALUE"""),2.5645312E8)</f>
        <v>256453120</v>
      </c>
    </row>
    <row r="4272">
      <c r="A4272" s="2">
        <f>IFERROR(__xludf.DUMMYFUNCTION("""COMPUTED_VALUE"""),37561.666666666664)</f>
        <v>37561.66667</v>
      </c>
      <c r="B4272" s="1">
        <f>IFERROR(__xludf.DUMMYFUNCTION("""COMPUTED_VALUE"""),884.33)</f>
        <v>884.33</v>
      </c>
      <c r="C4272" s="1">
        <f>IFERROR(__xludf.DUMMYFUNCTION("""COMPUTED_VALUE"""),903.42)</f>
        <v>903.42</v>
      </c>
      <c r="D4272" s="1">
        <f>IFERROR(__xludf.DUMMYFUNCTION("""COMPUTED_VALUE"""),877.71)</f>
        <v>877.71</v>
      </c>
      <c r="E4272" s="1">
        <f>IFERROR(__xludf.DUMMYFUNCTION("""COMPUTED_VALUE"""),900.96)</f>
        <v>900.96</v>
      </c>
      <c r="F4272" s="1">
        <f>IFERROR(__xludf.DUMMYFUNCTION("""COMPUTED_VALUE"""),2.26624992E8)</f>
        <v>226624992</v>
      </c>
    </row>
    <row r="4273">
      <c r="A4273" s="2">
        <f>IFERROR(__xludf.DUMMYFUNCTION("""COMPUTED_VALUE"""),37564.666666666664)</f>
        <v>37564.66667</v>
      </c>
      <c r="B4273" s="1">
        <f>IFERROR(__xludf.DUMMYFUNCTION("""COMPUTED_VALUE"""),905.57)</f>
        <v>905.57</v>
      </c>
      <c r="C4273" s="1">
        <f>IFERROR(__xludf.DUMMYFUNCTION("""COMPUTED_VALUE"""),924.58)</f>
        <v>924.58</v>
      </c>
      <c r="D4273" s="1">
        <f>IFERROR(__xludf.DUMMYFUNCTION("""COMPUTED_VALUE"""),905.45)</f>
        <v>905.45</v>
      </c>
      <c r="E4273" s="1">
        <f>IFERROR(__xludf.DUMMYFUNCTION("""COMPUTED_VALUE"""),908.35)</f>
        <v>908.35</v>
      </c>
      <c r="F4273" s="1">
        <f>IFERROR(__xludf.DUMMYFUNCTION("""COMPUTED_VALUE"""),2.57171872E8)</f>
        <v>257171872</v>
      </c>
    </row>
    <row r="4274">
      <c r="A4274" s="2">
        <f>IFERROR(__xludf.DUMMYFUNCTION("""COMPUTED_VALUE"""),37565.666666666664)</f>
        <v>37565.66667</v>
      </c>
      <c r="B4274" s="1">
        <f>IFERROR(__xludf.DUMMYFUNCTION("""COMPUTED_VALUE"""),906.79)</f>
        <v>906.79</v>
      </c>
      <c r="C4274" s="1">
        <f>IFERROR(__xludf.DUMMYFUNCTION("""COMPUTED_VALUE"""),915.83)</f>
        <v>915.83</v>
      </c>
      <c r="D4274" s="1">
        <f>IFERROR(__xludf.DUMMYFUNCTION("""COMPUTED_VALUE"""),904.91)</f>
        <v>904.91</v>
      </c>
      <c r="E4274" s="1">
        <f>IFERROR(__xludf.DUMMYFUNCTION("""COMPUTED_VALUE"""),915.39)</f>
        <v>915.39</v>
      </c>
      <c r="F4274" s="1">
        <f>IFERROR(__xludf.DUMMYFUNCTION("""COMPUTED_VALUE"""),2.11578128E8)</f>
        <v>211578128</v>
      </c>
    </row>
    <row r="4275">
      <c r="A4275" s="2">
        <f>IFERROR(__xludf.DUMMYFUNCTION("""COMPUTED_VALUE"""),37566.666666666664)</f>
        <v>37566.66667</v>
      </c>
      <c r="B4275" s="1">
        <f>IFERROR(__xludf.DUMMYFUNCTION("""COMPUTED_VALUE"""),916.51)</f>
        <v>916.51</v>
      </c>
      <c r="C4275" s="1">
        <f>IFERROR(__xludf.DUMMYFUNCTION("""COMPUTED_VALUE"""),925.66)</f>
        <v>925.66</v>
      </c>
      <c r="D4275" s="1">
        <f>IFERROR(__xludf.DUMMYFUNCTION("""COMPUTED_VALUE"""),905.0)</f>
        <v>905</v>
      </c>
      <c r="E4275" s="1">
        <f>IFERROR(__xludf.DUMMYFUNCTION("""COMPUTED_VALUE"""),923.76)</f>
        <v>923.76</v>
      </c>
      <c r="F4275" s="1">
        <f>IFERROR(__xludf.DUMMYFUNCTION("""COMPUTED_VALUE"""),2.61562496E8)</f>
        <v>261562496</v>
      </c>
    </row>
    <row r="4276">
      <c r="A4276" s="2">
        <f>IFERROR(__xludf.DUMMYFUNCTION("""COMPUTED_VALUE"""),37567.666666666664)</f>
        <v>37567.66667</v>
      </c>
      <c r="B4276" s="1">
        <f>IFERROR(__xludf.DUMMYFUNCTION("""COMPUTED_VALUE"""),923.19)</f>
        <v>923.19</v>
      </c>
      <c r="C4276" s="1">
        <f>IFERROR(__xludf.DUMMYFUNCTION("""COMPUTED_VALUE"""),923.19)</f>
        <v>923.19</v>
      </c>
      <c r="D4276" s="1">
        <f>IFERROR(__xludf.DUMMYFUNCTION("""COMPUTED_VALUE"""),898.68)</f>
        <v>898.68</v>
      </c>
      <c r="E4276" s="1">
        <f>IFERROR(__xludf.DUMMYFUNCTION("""COMPUTED_VALUE"""),902.65)</f>
        <v>902.65</v>
      </c>
      <c r="F4276" s="1">
        <f>IFERROR(__xludf.DUMMYFUNCTION("""COMPUTED_VALUE"""),2.2920312E8)</f>
        <v>229203120</v>
      </c>
    </row>
    <row r="4277">
      <c r="A4277" s="2">
        <f>IFERROR(__xludf.DUMMYFUNCTION("""COMPUTED_VALUE"""),37568.666666666664)</f>
        <v>37568.66667</v>
      </c>
      <c r="B4277" s="1">
        <f>IFERROR(__xludf.DUMMYFUNCTION("""COMPUTED_VALUE"""),902.2)</f>
        <v>902.2</v>
      </c>
      <c r="C4277" s="1">
        <f>IFERROR(__xludf.DUMMYFUNCTION("""COMPUTED_VALUE"""),910.11)</f>
        <v>910.11</v>
      </c>
      <c r="D4277" s="1">
        <f>IFERROR(__xludf.DUMMYFUNCTION("""COMPUTED_VALUE"""),891.62)</f>
        <v>891.62</v>
      </c>
      <c r="E4277" s="1">
        <f>IFERROR(__xludf.DUMMYFUNCTION("""COMPUTED_VALUE"""),894.74)</f>
        <v>894.74</v>
      </c>
      <c r="F4277" s="1">
        <f>IFERROR(__xludf.DUMMYFUNCTION("""COMPUTED_VALUE"""),2.26015632E8)</f>
        <v>226015632</v>
      </c>
    </row>
    <row r="4278">
      <c r="A4278" s="2">
        <f>IFERROR(__xludf.DUMMYFUNCTION("""COMPUTED_VALUE"""),37571.666666666664)</f>
        <v>37571.66667</v>
      </c>
      <c r="B4278" s="1">
        <f>IFERROR(__xludf.DUMMYFUNCTION("""COMPUTED_VALUE"""),894.09)</f>
        <v>894.09</v>
      </c>
      <c r="C4278" s="1">
        <f>IFERROR(__xludf.DUMMYFUNCTION("""COMPUTED_VALUE"""),894.09)</f>
        <v>894.09</v>
      </c>
      <c r="D4278" s="1">
        <f>IFERROR(__xludf.DUMMYFUNCTION("""COMPUTED_VALUE"""),874.63)</f>
        <v>874.63</v>
      </c>
      <c r="E4278" s="1">
        <f>IFERROR(__xludf.DUMMYFUNCTION("""COMPUTED_VALUE"""),876.19)</f>
        <v>876.19</v>
      </c>
      <c r="F4278" s="1">
        <f>IFERROR(__xludf.DUMMYFUNCTION("""COMPUTED_VALUE"""),1.73906256E8)</f>
        <v>173906256</v>
      </c>
    </row>
    <row r="4279">
      <c r="A4279" s="2">
        <f>IFERROR(__xludf.DUMMYFUNCTION("""COMPUTED_VALUE"""),37572.666666666664)</f>
        <v>37572.66667</v>
      </c>
      <c r="B4279" s="1">
        <f>IFERROR(__xludf.DUMMYFUNCTION("""COMPUTED_VALUE"""),877.39)</f>
        <v>877.39</v>
      </c>
      <c r="C4279" s="1">
        <f>IFERROR(__xludf.DUMMYFUNCTION("""COMPUTED_VALUE"""),894.3)</f>
        <v>894.3</v>
      </c>
      <c r="D4279" s="1">
        <f>IFERROR(__xludf.DUMMYFUNCTION("""COMPUTED_VALUE"""),877.39)</f>
        <v>877.39</v>
      </c>
      <c r="E4279" s="1">
        <f>IFERROR(__xludf.DUMMYFUNCTION("""COMPUTED_VALUE"""),882.95)</f>
        <v>882.95</v>
      </c>
      <c r="F4279" s="1">
        <f>IFERROR(__xludf.DUMMYFUNCTION("""COMPUTED_VALUE"""),2.15171872E8)</f>
        <v>215171872</v>
      </c>
    </row>
    <row r="4280">
      <c r="A4280" s="2">
        <f>IFERROR(__xludf.DUMMYFUNCTION("""COMPUTED_VALUE"""),37573.666666666664)</f>
        <v>37573.66667</v>
      </c>
      <c r="B4280" s="1">
        <f>IFERROR(__xludf.DUMMYFUNCTION("""COMPUTED_VALUE"""),882.06)</f>
        <v>882.06</v>
      </c>
      <c r="C4280" s="1">
        <f>IFERROR(__xludf.DUMMYFUNCTION("""COMPUTED_VALUE"""),892.51)</f>
        <v>892.51</v>
      </c>
      <c r="D4280" s="1">
        <f>IFERROR(__xludf.DUMMYFUNCTION("""COMPUTED_VALUE"""),872.05)</f>
        <v>872.05</v>
      </c>
      <c r="E4280" s="1">
        <f>IFERROR(__xludf.DUMMYFUNCTION("""COMPUTED_VALUE"""),882.53)</f>
        <v>882.53</v>
      </c>
      <c r="F4280" s="1">
        <f>IFERROR(__xludf.DUMMYFUNCTION("""COMPUTED_VALUE"""),2.28656256E8)</f>
        <v>228656256</v>
      </c>
    </row>
    <row r="4281">
      <c r="A4281" s="2">
        <f>IFERROR(__xludf.DUMMYFUNCTION("""COMPUTED_VALUE"""),37574.666666666664)</f>
        <v>37574.66667</v>
      </c>
      <c r="B4281" s="1">
        <f>IFERROR(__xludf.DUMMYFUNCTION("""COMPUTED_VALUE"""),887.29)</f>
        <v>887.29</v>
      </c>
      <c r="C4281" s="1">
        <f>IFERROR(__xludf.DUMMYFUNCTION("""COMPUTED_VALUE"""),904.27)</f>
        <v>904.27</v>
      </c>
      <c r="D4281" s="1">
        <f>IFERROR(__xludf.DUMMYFUNCTION("""COMPUTED_VALUE"""),887.29)</f>
        <v>887.29</v>
      </c>
      <c r="E4281" s="1">
        <f>IFERROR(__xludf.DUMMYFUNCTION("""COMPUTED_VALUE"""),904.27)</f>
        <v>904.27</v>
      </c>
      <c r="F4281" s="1">
        <f>IFERROR(__xludf.DUMMYFUNCTION("""COMPUTED_VALUE"""),2.37343744E8)</f>
        <v>237343744</v>
      </c>
    </row>
    <row r="4282">
      <c r="A4282" s="2">
        <f>IFERROR(__xludf.DUMMYFUNCTION("""COMPUTED_VALUE"""),37575.666666666664)</f>
        <v>37575.66667</v>
      </c>
      <c r="B4282" s="1">
        <f>IFERROR(__xludf.DUMMYFUNCTION("""COMPUTED_VALUE"""),904.27)</f>
        <v>904.27</v>
      </c>
      <c r="C4282" s="1">
        <f>IFERROR(__xludf.DUMMYFUNCTION("""COMPUTED_VALUE"""),910.21)</f>
        <v>910.21</v>
      </c>
      <c r="D4282" s="1">
        <f>IFERROR(__xludf.DUMMYFUNCTION("""COMPUTED_VALUE"""),895.35)</f>
        <v>895.35</v>
      </c>
      <c r="E4282" s="1">
        <f>IFERROR(__xludf.DUMMYFUNCTION("""COMPUTED_VALUE"""),909.83)</f>
        <v>909.83</v>
      </c>
      <c r="F4282" s="1">
        <f>IFERROR(__xludf.DUMMYFUNCTION("""COMPUTED_VALUE"""),2.18765632E8)</f>
        <v>218765632</v>
      </c>
    </row>
    <row r="4283">
      <c r="A4283" s="2">
        <f>IFERROR(__xludf.DUMMYFUNCTION("""COMPUTED_VALUE"""),37578.666666666664)</f>
        <v>37578.66667</v>
      </c>
      <c r="B4283" s="1">
        <f>IFERROR(__xludf.DUMMYFUNCTION("""COMPUTED_VALUE"""),909.84)</f>
        <v>909.84</v>
      </c>
      <c r="C4283" s="1">
        <f>IFERROR(__xludf.DUMMYFUNCTION("""COMPUTED_VALUE"""),915.91)</f>
        <v>915.91</v>
      </c>
      <c r="D4283" s="1">
        <f>IFERROR(__xludf.DUMMYFUNCTION("""COMPUTED_VALUE"""),899.48)</f>
        <v>899.48</v>
      </c>
      <c r="E4283" s="1">
        <f>IFERROR(__xludf.DUMMYFUNCTION("""COMPUTED_VALUE"""),900.36)</f>
        <v>900.36</v>
      </c>
      <c r="F4283" s="1">
        <f>IFERROR(__xludf.DUMMYFUNCTION("""COMPUTED_VALUE"""),2.00406256E8)</f>
        <v>200406256</v>
      </c>
    </row>
    <row r="4284">
      <c r="A4284" s="2">
        <f>IFERROR(__xludf.DUMMYFUNCTION("""COMPUTED_VALUE"""),37579.666666666664)</f>
        <v>37579.66667</v>
      </c>
      <c r="B4284" s="1">
        <f>IFERROR(__xludf.DUMMYFUNCTION("""COMPUTED_VALUE"""),899.37)</f>
        <v>899.37</v>
      </c>
      <c r="C4284" s="1">
        <f>IFERROR(__xludf.DUMMYFUNCTION("""COMPUTED_VALUE"""),905.45)</f>
        <v>905.45</v>
      </c>
      <c r="D4284" s="1">
        <f>IFERROR(__xludf.DUMMYFUNCTION("""COMPUTED_VALUE"""),893.09)</f>
        <v>893.09</v>
      </c>
      <c r="E4284" s="1">
        <f>IFERROR(__xludf.DUMMYFUNCTION("""COMPUTED_VALUE"""),896.74)</f>
        <v>896.74</v>
      </c>
      <c r="F4284" s="1">
        <f>IFERROR(__xludf.DUMMYFUNCTION("""COMPUTED_VALUE"""),2.08968752E8)</f>
        <v>208968752</v>
      </c>
    </row>
    <row r="4285">
      <c r="A4285" s="2">
        <f>IFERROR(__xludf.DUMMYFUNCTION("""COMPUTED_VALUE"""),37580.666666666664)</f>
        <v>37580.66667</v>
      </c>
      <c r="B4285" s="1">
        <f>IFERROR(__xludf.DUMMYFUNCTION("""COMPUTED_VALUE"""),897.1)</f>
        <v>897.1</v>
      </c>
      <c r="C4285" s="1">
        <f>IFERROR(__xludf.DUMMYFUNCTION("""COMPUTED_VALUE"""),915.01)</f>
        <v>915.01</v>
      </c>
      <c r="D4285" s="1">
        <f>IFERROR(__xludf.DUMMYFUNCTION("""COMPUTED_VALUE"""),894.93)</f>
        <v>894.93</v>
      </c>
      <c r="E4285" s="1">
        <f>IFERROR(__xludf.DUMMYFUNCTION("""COMPUTED_VALUE"""),914.15)</f>
        <v>914.15</v>
      </c>
      <c r="F4285" s="1">
        <f>IFERROR(__xludf.DUMMYFUNCTION("""COMPUTED_VALUE"""),2.37078128E8)</f>
        <v>237078128</v>
      </c>
    </row>
    <row r="4286">
      <c r="A4286" s="2">
        <f>IFERROR(__xludf.DUMMYFUNCTION("""COMPUTED_VALUE"""),37581.666666666664)</f>
        <v>37581.66667</v>
      </c>
      <c r="B4286" s="1">
        <f>IFERROR(__xludf.DUMMYFUNCTION("""COMPUTED_VALUE"""),914.4)</f>
        <v>914.4</v>
      </c>
      <c r="C4286" s="1">
        <f>IFERROR(__xludf.DUMMYFUNCTION("""COMPUTED_VALUE"""),935.13)</f>
        <v>935.13</v>
      </c>
      <c r="D4286" s="1">
        <f>IFERROR(__xludf.DUMMYFUNCTION("""COMPUTED_VALUE"""),914.4)</f>
        <v>914.4</v>
      </c>
      <c r="E4286" s="1">
        <f>IFERROR(__xludf.DUMMYFUNCTION("""COMPUTED_VALUE"""),933.76)</f>
        <v>933.76</v>
      </c>
      <c r="F4286" s="1">
        <f>IFERROR(__xludf.DUMMYFUNCTION("""COMPUTED_VALUE"""),3.7735936E8)</f>
        <v>377359360</v>
      </c>
    </row>
    <row r="4287">
      <c r="A4287" s="2">
        <f>IFERROR(__xludf.DUMMYFUNCTION("""COMPUTED_VALUE"""),37582.666666666664)</f>
        <v>37582.66667</v>
      </c>
      <c r="B4287" s="1">
        <f>IFERROR(__xludf.DUMMYFUNCTION("""COMPUTED_VALUE"""),932.83)</f>
        <v>932.83</v>
      </c>
      <c r="C4287" s="1">
        <f>IFERROR(__xludf.DUMMYFUNCTION("""COMPUTED_VALUE"""),937.28)</f>
        <v>937.28</v>
      </c>
      <c r="D4287" s="1">
        <f>IFERROR(__xludf.DUMMYFUNCTION("""COMPUTED_VALUE"""),928.41)</f>
        <v>928.41</v>
      </c>
      <c r="E4287" s="1">
        <f>IFERROR(__xludf.DUMMYFUNCTION("""COMPUTED_VALUE"""),930.55)</f>
        <v>930.55</v>
      </c>
      <c r="F4287" s="1">
        <f>IFERROR(__xludf.DUMMYFUNCTION("""COMPUTED_VALUE"""),2.54187504E8)</f>
        <v>254187504</v>
      </c>
    </row>
    <row r="4288">
      <c r="A4288" s="2">
        <f>IFERROR(__xludf.DUMMYFUNCTION("""COMPUTED_VALUE"""),37585.666666666664)</f>
        <v>37585.66667</v>
      </c>
      <c r="B4288" s="1">
        <f>IFERROR(__xludf.DUMMYFUNCTION("""COMPUTED_VALUE"""),930.55)</f>
        <v>930.55</v>
      </c>
      <c r="C4288" s="1">
        <f>IFERROR(__xludf.DUMMYFUNCTION("""COMPUTED_VALUE"""),937.15)</f>
        <v>937.15</v>
      </c>
      <c r="D4288" s="1">
        <f>IFERROR(__xludf.DUMMYFUNCTION("""COMPUTED_VALUE"""),923.31)</f>
        <v>923.31</v>
      </c>
      <c r="E4288" s="1">
        <f>IFERROR(__xludf.DUMMYFUNCTION("""COMPUTED_VALUE"""),932.87)</f>
        <v>932.87</v>
      </c>
      <c r="F4288" s="1">
        <f>IFERROR(__xludf.DUMMYFUNCTION("""COMPUTED_VALUE"""),2.45937504E8)</f>
        <v>245937504</v>
      </c>
    </row>
    <row r="4289">
      <c r="A4289" s="2">
        <f>IFERROR(__xludf.DUMMYFUNCTION("""COMPUTED_VALUE"""),37586.666666666664)</f>
        <v>37586.66667</v>
      </c>
      <c r="B4289" s="1">
        <f>IFERROR(__xludf.DUMMYFUNCTION("""COMPUTED_VALUE"""),929.95)</f>
        <v>929.95</v>
      </c>
      <c r="C4289" s="1">
        <f>IFERROR(__xludf.DUMMYFUNCTION("""COMPUTED_VALUE"""),929.95)</f>
        <v>929.95</v>
      </c>
      <c r="D4289" s="1">
        <f>IFERROR(__xludf.DUMMYFUNCTION("""COMPUTED_VALUE"""),912.1)</f>
        <v>912.1</v>
      </c>
      <c r="E4289" s="1">
        <f>IFERROR(__xludf.DUMMYFUNCTION("""COMPUTED_VALUE"""),913.31)</f>
        <v>913.31</v>
      </c>
      <c r="F4289" s="1">
        <f>IFERROR(__xludf.DUMMYFUNCTION("""COMPUTED_VALUE"""),2.41187504E8)</f>
        <v>241187504</v>
      </c>
    </row>
    <row r="4290">
      <c r="A4290" s="2">
        <f>IFERROR(__xludf.DUMMYFUNCTION("""COMPUTED_VALUE"""),37587.666666666664)</f>
        <v>37587.66667</v>
      </c>
      <c r="B4290" s="1">
        <f>IFERROR(__xludf.DUMMYFUNCTION("""COMPUTED_VALUE"""),917.34)</f>
        <v>917.34</v>
      </c>
      <c r="C4290" s="1">
        <f>IFERROR(__xludf.DUMMYFUNCTION("""COMPUTED_VALUE"""),940.41)</f>
        <v>940.41</v>
      </c>
      <c r="D4290" s="1">
        <f>IFERROR(__xludf.DUMMYFUNCTION("""COMPUTED_VALUE"""),917.34)</f>
        <v>917.34</v>
      </c>
      <c r="E4290" s="1">
        <f>IFERROR(__xludf.DUMMYFUNCTION("""COMPUTED_VALUE"""),938.87)</f>
        <v>938.87</v>
      </c>
      <c r="F4290" s="1">
        <f>IFERROR(__xludf.DUMMYFUNCTION("""COMPUTED_VALUE"""),2.10984368E8)</f>
        <v>210984368</v>
      </c>
    </row>
    <row r="4291">
      <c r="A4291" s="2">
        <f>IFERROR(__xludf.DUMMYFUNCTION("""COMPUTED_VALUE"""),37589.666666666664)</f>
        <v>37589.66667</v>
      </c>
      <c r="B4291" s="1">
        <f>IFERROR(__xludf.DUMMYFUNCTION("""COMPUTED_VALUE"""),939.83)</f>
        <v>939.83</v>
      </c>
      <c r="C4291" s="1">
        <f>IFERROR(__xludf.DUMMYFUNCTION("""COMPUTED_VALUE"""),941.82)</f>
        <v>941.82</v>
      </c>
      <c r="D4291" s="1">
        <f>IFERROR(__xludf.DUMMYFUNCTION("""COMPUTED_VALUE"""),935.58)</f>
        <v>935.58</v>
      </c>
      <c r="E4291" s="1">
        <f>IFERROR(__xludf.DUMMYFUNCTION("""COMPUTED_VALUE"""),936.31)</f>
        <v>936.31</v>
      </c>
      <c r="F4291" s="1">
        <f>IFERROR(__xludf.DUMMYFUNCTION("""COMPUTED_VALUE"""),1.00540624E8)</f>
        <v>100540624</v>
      </c>
    </row>
    <row r="4292">
      <c r="A4292" s="2">
        <f>IFERROR(__xludf.DUMMYFUNCTION("""COMPUTED_VALUE"""),37592.666666666664)</f>
        <v>37592.66667</v>
      </c>
      <c r="B4292" s="1">
        <f>IFERROR(__xludf.DUMMYFUNCTION("""COMPUTED_VALUE"""),941.57)</f>
        <v>941.57</v>
      </c>
      <c r="C4292" s="1">
        <f>IFERROR(__xludf.DUMMYFUNCTION("""COMPUTED_VALUE"""),954.28)</f>
        <v>954.28</v>
      </c>
      <c r="D4292" s="1">
        <f>IFERROR(__xludf.DUMMYFUNCTION("""COMPUTED_VALUE"""),927.72)</f>
        <v>927.72</v>
      </c>
      <c r="E4292" s="1">
        <f>IFERROR(__xludf.DUMMYFUNCTION("""COMPUTED_VALUE"""),934.53)</f>
        <v>934.53</v>
      </c>
      <c r="F4292" s="1">
        <f>IFERROR(__xludf.DUMMYFUNCTION("""COMPUTED_VALUE"""),2.51875008E8)</f>
        <v>251875008</v>
      </c>
    </row>
    <row r="4293">
      <c r="A4293" s="2">
        <f>IFERROR(__xludf.DUMMYFUNCTION("""COMPUTED_VALUE"""),37593.666666666664)</f>
        <v>37593.66667</v>
      </c>
      <c r="B4293" s="1">
        <f>IFERROR(__xludf.DUMMYFUNCTION("""COMPUTED_VALUE"""),932.89)</f>
        <v>932.89</v>
      </c>
      <c r="C4293" s="1">
        <f>IFERROR(__xludf.DUMMYFUNCTION("""COMPUTED_VALUE"""),932.89)</f>
        <v>932.89</v>
      </c>
      <c r="D4293" s="1">
        <f>IFERROR(__xludf.DUMMYFUNCTION("""COMPUTED_VALUE"""),918.73)</f>
        <v>918.73</v>
      </c>
      <c r="E4293" s="1">
        <f>IFERROR(__xludf.DUMMYFUNCTION("""COMPUTED_VALUE"""),920.75)</f>
        <v>920.75</v>
      </c>
      <c r="F4293" s="1">
        <f>IFERROR(__xludf.DUMMYFUNCTION("""COMPUTED_VALUE"""),2.32562496E8)</f>
        <v>232562496</v>
      </c>
    </row>
    <row r="4294">
      <c r="A4294" s="2">
        <f>IFERROR(__xludf.DUMMYFUNCTION("""COMPUTED_VALUE"""),37594.666666666664)</f>
        <v>37594.66667</v>
      </c>
      <c r="B4294" s="1">
        <f>IFERROR(__xludf.DUMMYFUNCTION("""COMPUTED_VALUE"""),917.51)</f>
        <v>917.51</v>
      </c>
      <c r="C4294" s="1">
        <f>IFERROR(__xludf.DUMMYFUNCTION("""COMPUTED_VALUE"""),925.25)</f>
        <v>925.25</v>
      </c>
      <c r="D4294" s="1">
        <f>IFERROR(__xludf.DUMMYFUNCTION("""COMPUTED_VALUE"""),909.51)</f>
        <v>909.51</v>
      </c>
      <c r="E4294" s="1">
        <f>IFERROR(__xludf.DUMMYFUNCTION("""COMPUTED_VALUE"""),917.58)</f>
        <v>917.58</v>
      </c>
      <c r="F4294" s="1">
        <f>IFERROR(__xludf.DUMMYFUNCTION("""COMPUTED_VALUE"""),2.48265632E8)</f>
        <v>248265632</v>
      </c>
    </row>
    <row r="4295">
      <c r="A4295" s="2">
        <f>IFERROR(__xludf.DUMMYFUNCTION("""COMPUTED_VALUE"""),37595.666666666664)</f>
        <v>37595.66667</v>
      </c>
      <c r="B4295" s="1">
        <f>IFERROR(__xludf.DUMMYFUNCTION("""COMPUTED_VALUE"""),919.59)</f>
        <v>919.59</v>
      </c>
      <c r="C4295" s="1">
        <f>IFERROR(__xludf.DUMMYFUNCTION("""COMPUTED_VALUE"""),921.49)</f>
        <v>921.49</v>
      </c>
      <c r="D4295" s="1">
        <f>IFERROR(__xludf.DUMMYFUNCTION("""COMPUTED_VALUE"""),905.9)</f>
        <v>905.9</v>
      </c>
      <c r="E4295" s="1">
        <f>IFERROR(__xludf.DUMMYFUNCTION("""COMPUTED_VALUE"""),906.55)</f>
        <v>906.55</v>
      </c>
      <c r="F4295" s="1">
        <f>IFERROR(__xludf.DUMMYFUNCTION("""COMPUTED_VALUE"""),1.95343744E8)</f>
        <v>195343744</v>
      </c>
    </row>
    <row r="4296">
      <c r="A4296" s="2">
        <f>IFERROR(__xludf.DUMMYFUNCTION("""COMPUTED_VALUE"""),37596.666666666664)</f>
        <v>37596.66667</v>
      </c>
      <c r="B4296" s="1">
        <f>IFERROR(__xludf.DUMMYFUNCTION("""COMPUTED_VALUE"""),903.9)</f>
        <v>903.9</v>
      </c>
      <c r="C4296" s="1">
        <f>IFERROR(__xludf.DUMMYFUNCTION("""COMPUTED_VALUE"""),915.48)</f>
        <v>915.48</v>
      </c>
      <c r="D4296" s="1">
        <f>IFERROR(__xludf.DUMMYFUNCTION("""COMPUTED_VALUE"""),895.96)</f>
        <v>895.96</v>
      </c>
      <c r="E4296" s="1">
        <f>IFERROR(__xludf.DUMMYFUNCTION("""COMPUTED_VALUE"""),912.23)</f>
        <v>912.23</v>
      </c>
      <c r="F4296" s="1">
        <f>IFERROR(__xludf.DUMMYFUNCTION("""COMPUTED_VALUE"""),1.93921872E8)</f>
        <v>193921872</v>
      </c>
    </row>
    <row r="4297">
      <c r="A4297" s="2">
        <f>IFERROR(__xludf.DUMMYFUNCTION("""COMPUTED_VALUE"""),37599.666666666664)</f>
        <v>37599.66667</v>
      </c>
      <c r="B4297" s="1">
        <f>IFERROR(__xludf.DUMMYFUNCTION("""COMPUTED_VALUE"""),910.96)</f>
        <v>910.96</v>
      </c>
      <c r="C4297" s="1">
        <f>IFERROR(__xludf.DUMMYFUNCTION("""COMPUTED_VALUE"""),910.96)</f>
        <v>910.96</v>
      </c>
      <c r="D4297" s="1">
        <f>IFERROR(__xludf.DUMMYFUNCTION("""COMPUTED_VALUE"""),891.97)</f>
        <v>891.97</v>
      </c>
      <c r="E4297" s="1">
        <f>IFERROR(__xludf.DUMMYFUNCTION("""COMPUTED_VALUE"""),892.0)</f>
        <v>892</v>
      </c>
      <c r="F4297" s="1">
        <f>IFERROR(__xludf.DUMMYFUNCTION("""COMPUTED_VALUE"""),2.06375008E8)</f>
        <v>206375008</v>
      </c>
    </row>
    <row r="4298">
      <c r="A4298" s="2">
        <f>IFERROR(__xludf.DUMMYFUNCTION("""COMPUTED_VALUE"""),37600.666666666664)</f>
        <v>37600.66667</v>
      </c>
      <c r="B4298" s="1">
        <f>IFERROR(__xludf.DUMMYFUNCTION("""COMPUTED_VALUE"""),893.42)</f>
        <v>893.42</v>
      </c>
      <c r="C4298" s="1">
        <f>IFERROR(__xludf.DUMMYFUNCTION("""COMPUTED_VALUE"""),904.95)</f>
        <v>904.95</v>
      </c>
      <c r="D4298" s="1">
        <f>IFERROR(__xludf.DUMMYFUNCTION("""COMPUTED_VALUE"""),892.71)</f>
        <v>892.71</v>
      </c>
      <c r="E4298" s="1">
        <f>IFERROR(__xludf.DUMMYFUNCTION("""COMPUTED_VALUE"""),904.45)</f>
        <v>904.45</v>
      </c>
      <c r="F4298" s="1">
        <f>IFERROR(__xludf.DUMMYFUNCTION("""COMPUTED_VALUE"""),2.01031248E8)</f>
        <v>201031248</v>
      </c>
    </row>
    <row r="4299">
      <c r="A4299" s="2">
        <f>IFERROR(__xludf.DUMMYFUNCTION("""COMPUTED_VALUE"""),37601.666666666664)</f>
        <v>37601.66667</v>
      </c>
      <c r="B4299" s="1">
        <f>IFERROR(__xludf.DUMMYFUNCTION("""COMPUTED_VALUE"""),903.57)</f>
        <v>903.57</v>
      </c>
      <c r="C4299" s="1">
        <f>IFERROR(__xludf.DUMMYFUNCTION("""COMPUTED_VALUE"""),909.94)</f>
        <v>909.94</v>
      </c>
      <c r="D4299" s="1">
        <f>IFERROR(__xludf.DUMMYFUNCTION("""COMPUTED_VALUE"""),896.48)</f>
        <v>896.48</v>
      </c>
      <c r="E4299" s="1">
        <f>IFERROR(__xludf.DUMMYFUNCTION("""COMPUTED_VALUE"""),904.96)</f>
        <v>904.96</v>
      </c>
      <c r="F4299" s="1">
        <f>IFERROR(__xludf.DUMMYFUNCTION("""COMPUTED_VALUE"""),2.0079688E8)</f>
        <v>200796880</v>
      </c>
    </row>
    <row r="4300">
      <c r="A4300" s="2">
        <f>IFERROR(__xludf.DUMMYFUNCTION("""COMPUTED_VALUE"""),37602.666666666664)</f>
        <v>37602.66667</v>
      </c>
      <c r="B4300" s="1">
        <f>IFERROR(__xludf.DUMMYFUNCTION("""COMPUTED_VALUE"""),906.34)</f>
        <v>906.34</v>
      </c>
      <c r="C4300" s="1">
        <f>IFERROR(__xludf.DUMMYFUNCTION("""COMPUTED_VALUE"""),908.37)</f>
        <v>908.37</v>
      </c>
      <c r="D4300" s="1">
        <f>IFERROR(__xludf.DUMMYFUNCTION("""COMPUTED_VALUE"""),897.0)</f>
        <v>897</v>
      </c>
      <c r="E4300" s="1">
        <f>IFERROR(__xludf.DUMMYFUNCTION("""COMPUTED_VALUE"""),901.58)</f>
        <v>901.58</v>
      </c>
      <c r="F4300" s="1">
        <f>IFERROR(__xludf.DUMMYFUNCTION("""COMPUTED_VALUE"""),1.96140624E8)</f>
        <v>196140624</v>
      </c>
    </row>
    <row r="4301">
      <c r="A4301" s="2">
        <f>IFERROR(__xludf.DUMMYFUNCTION("""COMPUTED_VALUE"""),37603.666666666664)</f>
        <v>37603.66667</v>
      </c>
      <c r="B4301" s="1">
        <f>IFERROR(__xludf.DUMMYFUNCTION("""COMPUTED_VALUE"""),901.58)</f>
        <v>901.58</v>
      </c>
      <c r="C4301" s="1">
        <f>IFERROR(__xludf.DUMMYFUNCTION("""COMPUTED_VALUE"""),901.58)</f>
        <v>901.58</v>
      </c>
      <c r="D4301" s="1">
        <f>IFERROR(__xludf.DUMMYFUNCTION("""COMPUTED_VALUE"""),888.48)</f>
        <v>888.48</v>
      </c>
      <c r="E4301" s="1">
        <f>IFERROR(__xludf.DUMMYFUNCTION("""COMPUTED_VALUE"""),889.48)</f>
        <v>889.48</v>
      </c>
      <c r="F4301" s="1">
        <f>IFERROR(__xludf.DUMMYFUNCTION("""COMPUTED_VALUE"""),2.07937504E8)</f>
        <v>207937504</v>
      </c>
    </row>
    <row r="4302">
      <c r="A4302" s="2">
        <f>IFERROR(__xludf.DUMMYFUNCTION("""COMPUTED_VALUE"""),37606.666666666664)</f>
        <v>37606.66667</v>
      </c>
      <c r="B4302" s="1">
        <f>IFERROR(__xludf.DUMMYFUNCTION("""COMPUTED_VALUE"""),890.31)</f>
        <v>890.31</v>
      </c>
      <c r="C4302" s="1">
        <f>IFERROR(__xludf.DUMMYFUNCTION("""COMPUTED_VALUE"""),910.42)</f>
        <v>910.42</v>
      </c>
      <c r="D4302" s="1">
        <f>IFERROR(__xludf.DUMMYFUNCTION("""COMPUTED_VALUE"""),890.31)</f>
        <v>890.31</v>
      </c>
      <c r="E4302" s="1">
        <f>IFERROR(__xludf.DUMMYFUNCTION("""COMPUTED_VALUE"""),910.4)</f>
        <v>910.4</v>
      </c>
      <c r="F4302" s="1">
        <f>IFERROR(__xludf.DUMMYFUNCTION("""COMPUTED_VALUE"""),1.98687504E8)</f>
        <v>198687504</v>
      </c>
    </row>
    <row r="4303">
      <c r="A4303" s="2">
        <f>IFERROR(__xludf.DUMMYFUNCTION("""COMPUTED_VALUE"""),37607.666666666664)</f>
        <v>37607.66667</v>
      </c>
      <c r="B4303" s="1">
        <f>IFERROR(__xludf.DUMMYFUNCTION("""COMPUTED_VALUE"""),910.21)</f>
        <v>910.21</v>
      </c>
      <c r="C4303" s="1">
        <f>IFERROR(__xludf.DUMMYFUNCTION("""COMPUTED_VALUE"""),911.22)</f>
        <v>911.22</v>
      </c>
      <c r="D4303" s="1">
        <f>IFERROR(__xludf.DUMMYFUNCTION("""COMPUTED_VALUE"""),901.74)</f>
        <v>901.74</v>
      </c>
      <c r="E4303" s="1">
        <f>IFERROR(__xludf.DUMMYFUNCTION("""COMPUTED_VALUE"""),902.99)</f>
        <v>902.99</v>
      </c>
      <c r="F4303" s="1">
        <f>IFERROR(__xludf.DUMMYFUNCTION("""COMPUTED_VALUE"""),1.95593744E8)</f>
        <v>195593744</v>
      </c>
    </row>
    <row r="4304">
      <c r="A4304" s="2">
        <f>IFERROR(__xludf.DUMMYFUNCTION("""COMPUTED_VALUE"""),37608.666666666664)</f>
        <v>37608.66667</v>
      </c>
      <c r="B4304" s="1">
        <f>IFERROR(__xludf.DUMMYFUNCTION("""COMPUTED_VALUE"""),900.9)</f>
        <v>900.9</v>
      </c>
      <c r="C4304" s="1">
        <f>IFERROR(__xludf.DUMMYFUNCTION("""COMPUTED_VALUE"""),900.9)</f>
        <v>900.9</v>
      </c>
      <c r="D4304" s="1">
        <f>IFERROR(__xludf.DUMMYFUNCTION("""COMPUTED_VALUE"""),887.82)</f>
        <v>887.82</v>
      </c>
      <c r="E4304" s="1">
        <f>IFERROR(__xludf.DUMMYFUNCTION("""COMPUTED_VALUE"""),891.12)</f>
        <v>891.12</v>
      </c>
      <c r="F4304" s="1">
        <f>IFERROR(__xludf.DUMMYFUNCTION("""COMPUTED_VALUE"""),2.25968752E8)</f>
        <v>225968752</v>
      </c>
    </row>
    <row r="4305">
      <c r="A4305" s="2">
        <f>IFERROR(__xludf.DUMMYFUNCTION("""COMPUTED_VALUE"""),37609.666666666664)</f>
        <v>37609.66667</v>
      </c>
      <c r="B4305" s="1">
        <f>IFERROR(__xludf.DUMMYFUNCTION("""COMPUTED_VALUE"""),889.21)</f>
        <v>889.21</v>
      </c>
      <c r="C4305" s="1">
        <f>IFERROR(__xludf.DUMMYFUNCTION("""COMPUTED_VALUE"""),899.19)</f>
        <v>899.19</v>
      </c>
      <c r="D4305" s="1">
        <f>IFERROR(__xludf.DUMMYFUNCTION("""COMPUTED_VALUE"""),880.32)</f>
        <v>880.32</v>
      </c>
      <c r="E4305" s="1">
        <f>IFERROR(__xludf.DUMMYFUNCTION("""COMPUTED_VALUE"""),884.25)</f>
        <v>884.25</v>
      </c>
      <c r="F4305" s="1">
        <f>IFERROR(__xludf.DUMMYFUNCTION("""COMPUTED_VALUE"""),2.1654688E8)</f>
        <v>216546880</v>
      </c>
    </row>
    <row r="4306">
      <c r="A4306" s="2">
        <f>IFERROR(__xludf.DUMMYFUNCTION("""COMPUTED_VALUE"""),37610.666666666664)</f>
        <v>37610.66667</v>
      </c>
      <c r="B4306" s="1">
        <f>IFERROR(__xludf.DUMMYFUNCTION("""COMPUTED_VALUE"""),884.36)</f>
        <v>884.36</v>
      </c>
      <c r="C4306" s="1">
        <f>IFERROR(__xludf.DUMMYFUNCTION("""COMPUTED_VALUE"""),897.79)</f>
        <v>897.79</v>
      </c>
      <c r="D4306" s="1">
        <f>IFERROR(__xludf.DUMMYFUNCTION("""COMPUTED_VALUE"""),884.36)</f>
        <v>884.36</v>
      </c>
      <c r="E4306" s="1">
        <f>IFERROR(__xludf.DUMMYFUNCTION("""COMPUTED_VALUE"""),895.76)</f>
        <v>895.76</v>
      </c>
      <c r="F4306" s="1">
        <f>IFERROR(__xludf.DUMMYFUNCTION("""COMPUTED_VALUE"""),2.78551552E8)</f>
        <v>278551552</v>
      </c>
    </row>
    <row r="4307">
      <c r="A4307" s="2">
        <f>IFERROR(__xludf.DUMMYFUNCTION("""COMPUTED_VALUE"""),37613.666666666664)</f>
        <v>37613.66667</v>
      </c>
      <c r="B4307" s="1">
        <f>IFERROR(__xludf.DUMMYFUNCTION("""COMPUTED_VALUE"""),895.18)</f>
        <v>895.18</v>
      </c>
      <c r="C4307" s="1">
        <f>IFERROR(__xludf.DUMMYFUNCTION("""COMPUTED_VALUE"""),902.43)</f>
        <v>902.43</v>
      </c>
      <c r="D4307" s="1">
        <f>IFERROR(__xludf.DUMMYFUNCTION("""COMPUTED_VALUE"""),892.26)</f>
        <v>892.26</v>
      </c>
      <c r="E4307" s="1">
        <f>IFERROR(__xludf.DUMMYFUNCTION("""COMPUTED_VALUE"""),897.38)</f>
        <v>897.38</v>
      </c>
      <c r="F4307" s="1">
        <f>IFERROR(__xludf.DUMMYFUNCTION("""COMPUTED_VALUE"""),1.73765632E8)</f>
        <v>173765632</v>
      </c>
    </row>
    <row r="4308">
      <c r="A4308" s="2">
        <f>IFERROR(__xludf.DUMMYFUNCTION("""COMPUTED_VALUE"""),37614.666666666664)</f>
        <v>37614.66667</v>
      </c>
      <c r="B4308" s="1">
        <f>IFERROR(__xludf.DUMMYFUNCTION("""COMPUTED_VALUE"""),896.2)</f>
        <v>896.2</v>
      </c>
      <c r="C4308" s="1">
        <f>IFERROR(__xludf.DUMMYFUNCTION("""COMPUTED_VALUE"""),896.6)</f>
        <v>896.6</v>
      </c>
      <c r="D4308" s="1">
        <f>IFERROR(__xludf.DUMMYFUNCTION("""COMPUTED_VALUE"""),892.29)</f>
        <v>892.29</v>
      </c>
      <c r="E4308" s="1">
        <f>IFERROR(__xludf.DUMMYFUNCTION("""COMPUTED_VALUE"""),892.47)</f>
        <v>892.47</v>
      </c>
      <c r="F4308" s="1">
        <f>IFERROR(__xludf.DUMMYFUNCTION("""COMPUTED_VALUE"""),7.1610936E7)</f>
        <v>71610936</v>
      </c>
    </row>
    <row r="4309">
      <c r="A4309" s="2">
        <f>IFERROR(__xludf.DUMMYFUNCTION("""COMPUTED_VALUE"""),37616.666666666664)</f>
        <v>37616.66667</v>
      </c>
      <c r="B4309" s="1">
        <f>IFERROR(__xludf.DUMMYFUNCTION("""COMPUTED_VALUE"""),893.28)</f>
        <v>893.28</v>
      </c>
      <c r="C4309" s="1">
        <f>IFERROR(__xludf.DUMMYFUNCTION("""COMPUTED_VALUE"""),903.89)</f>
        <v>903.89</v>
      </c>
      <c r="D4309" s="1">
        <f>IFERROR(__xludf.DUMMYFUNCTION("""COMPUTED_VALUE"""),887.48)</f>
        <v>887.48</v>
      </c>
      <c r="E4309" s="1">
        <f>IFERROR(__xludf.DUMMYFUNCTION("""COMPUTED_VALUE"""),889.66)</f>
        <v>889.66</v>
      </c>
      <c r="F4309" s="1">
        <f>IFERROR(__xludf.DUMMYFUNCTION("""COMPUTED_VALUE"""),1.12671872E8)</f>
        <v>112671872</v>
      </c>
    </row>
    <row r="4310">
      <c r="A4310" s="2">
        <f>IFERROR(__xludf.DUMMYFUNCTION("""COMPUTED_VALUE"""),37617.666666666664)</f>
        <v>37617.66667</v>
      </c>
      <c r="B4310" s="1">
        <f>IFERROR(__xludf.DUMMYFUNCTION("""COMPUTED_VALUE"""),889.66)</f>
        <v>889.66</v>
      </c>
      <c r="C4310" s="1">
        <f>IFERROR(__xludf.DUMMYFUNCTION("""COMPUTED_VALUE"""),890.46)</f>
        <v>890.46</v>
      </c>
      <c r="D4310" s="1">
        <f>IFERROR(__xludf.DUMMYFUNCTION("""COMPUTED_VALUE"""),873.62)</f>
        <v>873.62</v>
      </c>
      <c r="E4310" s="1">
        <f>IFERROR(__xludf.DUMMYFUNCTION("""COMPUTED_VALUE"""),875.4)</f>
        <v>875.4</v>
      </c>
      <c r="F4310" s="1">
        <f>IFERROR(__xludf.DUMMYFUNCTION("""COMPUTED_VALUE"""),1.185E8)</f>
        <v>118500000</v>
      </c>
    </row>
    <row r="4311">
      <c r="A4311" s="2">
        <f>IFERROR(__xludf.DUMMYFUNCTION("""COMPUTED_VALUE"""),37620.666666666664)</f>
        <v>37620.66667</v>
      </c>
      <c r="B4311" s="1">
        <f>IFERROR(__xludf.DUMMYFUNCTION("""COMPUTED_VALUE"""),875.44)</f>
        <v>875.44</v>
      </c>
      <c r="C4311" s="1">
        <f>IFERROR(__xludf.DUMMYFUNCTION("""COMPUTED_VALUE"""),882.1)</f>
        <v>882.1</v>
      </c>
      <c r="D4311" s="1">
        <f>IFERROR(__xludf.DUMMYFUNCTION("""COMPUTED_VALUE"""),870.23)</f>
        <v>870.23</v>
      </c>
      <c r="E4311" s="1">
        <f>IFERROR(__xludf.DUMMYFUNCTION("""COMPUTED_VALUE"""),879.39)</f>
        <v>879.39</v>
      </c>
      <c r="F4311" s="1">
        <f>IFERROR(__xludf.DUMMYFUNCTION("""COMPUTED_VALUE"""),1.65281248E8)</f>
        <v>165281248</v>
      </c>
    </row>
    <row r="4312">
      <c r="A4312" s="2">
        <f>IFERROR(__xludf.DUMMYFUNCTION("""COMPUTED_VALUE"""),37621.666666666664)</f>
        <v>37621.66667</v>
      </c>
      <c r="B4312" s="1">
        <f>IFERROR(__xludf.DUMMYFUNCTION("""COMPUTED_VALUE"""),879.08)</f>
        <v>879.08</v>
      </c>
      <c r="C4312" s="1">
        <f>IFERROR(__xludf.DUMMYFUNCTION("""COMPUTED_VALUE"""),881.93)</f>
        <v>881.93</v>
      </c>
      <c r="D4312" s="1">
        <f>IFERROR(__xludf.DUMMYFUNCTION("""COMPUTED_VALUE"""),869.45)</f>
        <v>869.45</v>
      </c>
      <c r="E4312" s="1">
        <f>IFERROR(__xludf.DUMMYFUNCTION("""COMPUTED_VALUE"""),879.82)</f>
        <v>879.82</v>
      </c>
      <c r="F4312" s="1">
        <f>IFERROR(__xludf.DUMMYFUNCTION("""COMPUTED_VALUE"""),1.70078128E8)</f>
        <v>170078128</v>
      </c>
    </row>
    <row r="4313">
      <c r="A4313" s="2">
        <f>IFERROR(__xludf.DUMMYFUNCTION("""COMPUTED_VALUE"""),37623.666666666664)</f>
        <v>37623.66667</v>
      </c>
      <c r="B4313" s="1">
        <f>IFERROR(__xludf.DUMMYFUNCTION("""COMPUTED_VALUE"""),881.44)</f>
        <v>881.44</v>
      </c>
      <c r="C4313" s="1">
        <f>IFERROR(__xludf.DUMMYFUNCTION("""COMPUTED_VALUE"""),909.03)</f>
        <v>909.03</v>
      </c>
      <c r="D4313" s="1">
        <f>IFERROR(__xludf.DUMMYFUNCTION("""COMPUTED_VALUE"""),881.44)</f>
        <v>881.44</v>
      </c>
      <c r="E4313" s="1">
        <f>IFERROR(__xludf.DUMMYFUNCTION("""COMPUTED_VALUE"""),909.03)</f>
        <v>909.03</v>
      </c>
      <c r="F4313" s="1">
        <f>IFERROR(__xludf.DUMMYFUNCTION("""COMPUTED_VALUE"""),1.2292E8)</f>
        <v>122920000</v>
      </c>
    </row>
    <row r="4314">
      <c r="A4314" s="2">
        <f>IFERROR(__xludf.DUMMYFUNCTION("""COMPUTED_VALUE"""),37624.666666666664)</f>
        <v>37624.66667</v>
      </c>
      <c r="B4314" s="1">
        <f>IFERROR(__xludf.DUMMYFUNCTION("""COMPUTED_VALUE"""),908.49)</f>
        <v>908.49</v>
      </c>
      <c r="C4314" s="1">
        <f>IFERROR(__xludf.DUMMYFUNCTION("""COMPUTED_VALUE"""),911.25)</f>
        <v>911.25</v>
      </c>
      <c r="D4314" s="1">
        <f>IFERROR(__xludf.DUMMYFUNCTION("""COMPUTED_VALUE"""),903.07)</f>
        <v>903.07</v>
      </c>
      <c r="E4314" s="1">
        <f>IFERROR(__xludf.DUMMYFUNCTION("""COMPUTED_VALUE"""),908.59)</f>
        <v>908.59</v>
      </c>
      <c r="F4314" s="1">
        <f>IFERROR(__xludf.DUMMYFUNCTION("""COMPUTED_VALUE"""),1.1308E8)</f>
        <v>113080000</v>
      </c>
    </row>
    <row r="4315">
      <c r="A4315" s="2">
        <f>IFERROR(__xludf.DUMMYFUNCTION("""COMPUTED_VALUE"""),37627.666666666664)</f>
        <v>37627.66667</v>
      </c>
      <c r="B4315" s="1">
        <f>IFERROR(__xludf.DUMMYFUNCTION("""COMPUTED_VALUE"""),909.04)</f>
        <v>909.04</v>
      </c>
      <c r="C4315" s="1">
        <f>IFERROR(__xludf.DUMMYFUNCTION("""COMPUTED_VALUE"""),931.77)</f>
        <v>931.77</v>
      </c>
      <c r="D4315" s="1">
        <f>IFERROR(__xludf.DUMMYFUNCTION("""COMPUTED_VALUE"""),909.04)</f>
        <v>909.04</v>
      </c>
      <c r="E4315" s="1">
        <f>IFERROR(__xludf.DUMMYFUNCTION("""COMPUTED_VALUE"""),929.01)</f>
        <v>929.01</v>
      </c>
      <c r="F4315" s="1">
        <f>IFERROR(__xludf.DUMMYFUNCTION("""COMPUTED_VALUE"""),1.4359E8)</f>
        <v>143590000</v>
      </c>
    </row>
    <row r="4316">
      <c r="A4316" s="2">
        <f>IFERROR(__xludf.DUMMYFUNCTION("""COMPUTED_VALUE"""),37628.666666666664)</f>
        <v>37628.66667</v>
      </c>
      <c r="B4316" s="1">
        <f>IFERROR(__xludf.DUMMYFUNCTION("""COMPUTED_VALUE"""),929.57)</f>
        <v>929.57</v>
      </c>
      <c r="C4316" s="1">
        <f>IFERROR(__xludf.DUMMYFUNCTION("""COMPUTED_VALUE"""),930.81)</f>
        <v>930.81</v>
      </c>
      <c r="D4316" s="1">
        <f>IFERROR(__xludf.DUMMYFUNCTION("""COMPUTED_VALUE"""),919.93)</f>
        <v>919.93</v>
      </c>
      <c r="E4316" s="1">
        <f>IFERROR(__xludf.DUMMYFUNCTION("""COMPUTED_VALUE"""),922.93)</f>
        <v>922.93</v>
      </c>
      <c r="F4316" s="1">
        <f>IFERROR(__xludf.DUMMYFUNCTION("""COMPUTED_VALUE"""),1.5452E8)</f>
        <v>154520000</v>
      </c>
    </row>
    <row r="4317">
      <c r="A4317" s="2">
        <f>IFERROR(__xludf.DUMMYFUNCTION("""COMPUTED_VALUE"""),37629.666666666664)</f>
        <v>37629.66667</v>
      </c>
      <c r="B4317" s="1">
        <f>IFERROR(__xludf.DUMMYFUNCTION("""COMPUTED_VALUE"""),922.93)</f>
        <v>922.93</v>
      </c>
      <c r="C4317" s="1">
        <f>IFERROR(__xludf.DUMMYFUNCTION("""COMPUTED_VALUE"""),922.93)</f>
        <v>922.93</v>
      </c>
      <c r="D4317" s="1">
        <f>IFERROR(__xludf.DUMMYFUNCTION("""COMPUTED_VALUE"""),908.32)</f>
        <v>908.32</v>
      </c>
      <c r="E4317" s="1">
        <f>IFERROR(__xludf.DUMMYFUNCTION("""COMPUTED_VALUE"""),909.93)</f>
        <v>909.93</v>
      </c>
      <c r="F4317" s="1">
        <f>IFERROR(__xludf.DUMMYFUNCTION("""COMPUTED_VALUE"""),1.4676E8)</f>
        <v>146760000</v>
      </c>
    </row>
    <row r="4318">
      <c r="A4318" s="2">
        <f>IFERROR(__xludf.DUMMYFUNCTION("""COMPUTED_VALUE"""),37630.666666666664)</f>
        <v>37630.66667</v>
      </c>
      <c r="B4318" s="1">
        <f>IFERROR(__xludf.DUMMYFUNCTION("""COMPUTED_VALUE"""),912.86)</f>
        <v>912.86</v>
      </c>
      <c r="C4318" s="1">
        <f>IFERROR(__xludf.DUMMYFUNCTION("""COMPUTED_VALUE"""),928.31)</f>
        <v>928.31</v>
      </c>
      <c r="D4318" s="1">
        <f>IFERROR(__xludf.DUMMYFUNCTION("""COMPUTED_VALUE"""),912.86)</f>
        <v>912.86</v>
      </c>
      <c r="E4318" s="1">
        <f>IFERROR(__xludf.DUMMYFUNCTION("""COMPUTED_VALUE"""),927.57)</f>
        <v>927.57</v>
      </c>
      <c r="F4318" s="1">
        <f>IFERROR(__xludf.DUMMYFUNCTION("""COMPUTED_VALUE"""),1.5603E8)</f>
        <v>156030000</v>
      </c>
    </row>
    <row r="4319">
      <c r="A4319" s="2">
        <f>IFERROR(__xludf.DUMMYFUNCTION("""COMPUTED_VALUE"""),37631.666666666664)</f>
        <v>37631.66667</v>
      </c>
      <c r="B4319" s="1">
        <f>IFERROR(__xludf.DUMMYFUNCTION("""COMPUTED_VALUE"""),927.51)</f>
        <v>927.51</v>
      </c>
      <c r="C4319" s="1">
        <f>IFERROR(__xludf.DUMMYFUNCTION("""COMPUTED_VALUE"""),932.89)</f>
        <v>932.89</v>
      </c>
      <c r="D4319" s="1">
        <f>IFERROR(__xludf.DUMMYFUNCTION("""COMPUTED_VALUE"""),917.66)</f>
        <v>917.66</v>
      </c>
      <c r="E4319" s="1">
        <f>IFERROR(__xludf.DUMMYFUNCTION("""COMPUTED_VALUE"""),927.57)</f>
        <v>927.57</v>
      </c>
      <c r="F4319" s="1">
        <f>IFERROR(__xludf.DUMMYFUNCTION("""COMPUTED_VALUE"""),1.4854E8)</f>
        <v>148540000</v>
      </c>
    </row>
    <row r="4320">
      <c r="A4320" s="2">
        <f>IFERROR(__xludf.DUMMYFUNCTION("""COMPUTED_VALUE"""),37634.666666666664)</f>
        <v>37634.66667</v>
      </c>
      <c r="B4320" s="1">
        <f>IFERROR(__xludf.DUMMYFUNCTION("""COMPUTED_VALUE"""),929.29)</f>
        <v>929.29</v>
      </c>
      <c r="C4320" s="1">
        <f>IFERROR(__xludf.DUMMYFUNCTION("""COMPUTED_VALUE"""),935.05)</f>
        <v>935.05</v>
      </c>
      <c r="D4320" s="1">
        <f>IFERROR(__xludf.DUMMYFUNCTION("""COMPUTED_VALUE"""),922.05)</f>
        <v>922.05</v>
      </c>
      <c r="E4320" s="1">
        <f>IFERROR(__xludf.DUMMYFUNCTION("""COMPUTED_VALUE"""),926.26)</f>
        <v>926.26</v>
      </c>
      <c r="F4320" s="1">
        <f>IFERROR(__xludf.DUMMYFUNCTION("""COMPUTED_VALUE"""),1.3963E8)</f>
        <v>139630000</v>
      </c>
    </row>
    <row r="4321">
      <c r="A4321" s="2">
        <f>IFERROR(__xludf.DUMMYFUNCTION("""COMPUTED_VALUE"""),37635.666666666664)</f>
        <v>37635.66667</v>
      </c>
      <c r="B4321" s="1">
        <f>IFERROR(__xludf.DUMMYFUNCTION("""COMPUTED_VALUE"""),926.15)</f>
        <v>926.15</v>
      </c>
      <c r="C4321" s="1">
        <f>IFERROR(__xludf.DUMMYFUNCTION("""COMPUTED_VALUE"""),931.66)</f>
        <v>931.66</v>
      </c>
      <c r="D4321" s="1">
        <f>IFERROR(__xludf.DUMMYFUNCTION("""COMPUTED_VALUE"""),921.72)</f>
        <v>921.72</v>
      </c>
      <c r="E4321" s="1">
        <f>IFERROR(__xludf.DUMMYFUNCTION("""COMPUTED_VALUE"""),931.66)</f>
        <v>931.66</v>
      </c>
      <c r="F4321" s="1">
        <f>IFERROR(__xludf.DUMMYFUNCTION("""COMPUTED_VALUE"""),1.3794E8)</f>
        <v>137940000</v>
      </c>
    </row>
    <row r="4322">
      <c r="A4322" s="2">
        <f>IFERROR(__xludf.DUMMYFUNCTION("""COMPUTED_VALUE"""),37636.666666666664)</f>
        <v>37636.66667</v>
      </c>
      <c r="B4322" s="1">
        <f>IFERROR(__xludf.DUMMYFUNCTION("""COMPUTED_VALUE"""),932.17)</f>
        <v>932.17</v>
      </c>
      <c r="C4322" s="1">
        <f>IFERROR(__xludf.DUMMYFUNCTION("""COMPUTED_VALUE"""),932.59)</f>
        <v>932.59</v>
      </c>
      <c r="D4322" s="1">
        <f>IFERROR(__xludf.DUMMYFUNCTION("""COMPUTED_VALUE"""),916.7)</f>
        <v>916.7</v>
      </c>
      <c r="E4322" s="1">
        <f>IFERROR(__xludf.DUMMYFUNCTION("""COMPUTED_VALUE"""),918.22)</f>
        <v>918.22</v>
      </c>
      <c r="F4322" s="1">
        <f>IFERROR(__xludf.DUMMYFUNCTION("""COMPUTED_VALUE"""),1.4321E8)</f>
        <v>143210000</v>
      </c>
    </row>
    <row r="4323">
      <c r="A4323" s="2">
        <f>IFERROR(__xludf.DUMMYFUNCTION("""COMPUTED_VALUE"""),37637.666666666664)</f>
        <v>37637.66667</v>
      </c>
      <c r="B4323" s="1">
        <f>IFERROR(__xludf.DUMMYFUNCTION("""COMPUTED_VALUE"""),918.41)</f>
        <v>918.41</v>
      </c>
      <c r="C4323" s="1">
        <f>IFERROR(__xludf.DUMMYFUNCTION("""COMPUTED_VALUE"""),926.03)</f>
        <v>926.03</v>
      </c>
      <c r="D4323" s="1">
        <f>IFERROR(__xludf.DUMMYFUNCTION("""COMPUTED_VALUE"""),911.98)</f>
        <v>911.98</v>
      </c>
      <c r="E4323" s="1">
        <f>IFERROR(__xludf.DUMMYFUNCTION("""COMPUTED_VALUE"""),914.6)</f>
        <v>914.6</v>
      </c>
      <c r="F4323" s="1">
        <f>IFERROR(__xludf.DUMMYFUNCTION("""COMPUTED_VALUE"""),1.5346E8)</f>
        <v>153460000</v>
      </c>
    </row>
    <row r="4324">
      <c r="A4324" s="2">
        <f>IFERROR(__xludf.DUMMYFUNCTION("""COMPUTED_VALUE"""),37638.666666666664)</f>
        <v>37638.66667</v>
      </c>
      <c r="B4324" s="1">
        <f>IFERROR(__xludf.DUMMYFUNCTION("""COMPUTED_VALUE"""),914.6)</f>
        <v>914.6</v>
      </c>
      <c r="C4324" s="1">
        <f>IFERROR(__xludf.DUMMYFUNCTION("""COMPUTED_VALUE"""),914.6)</f>
        <v>914.6</v>
      </c>
      <c r="D4324" s="1">
        <f>IFERROR(__xludf.DUMMYFUNCTION("""COMPUTED_VALUE"""),899.02)</f>
        <v>899.02</v>
      </c>
      <c r="E4324" s="1">
        <f>IFERROR(__xludf.DUMMYFUNCTION("""COMPUTED_VALUE"""),901.78)</f>
        <v>901.78</v>
      </c>
      <c r="F4324" s="1">
        <f>IFERROR(__xludf.DUMMYFUNCTION("""COMPUTED_VALUE"""),1.3582E8)</f>
        <v>135820000</v>
      </c>
    </row>
    <row r="4325">
      <c r="A4325" s="2">
        <f>IFERROR(__xludf.DUMMYFUNCTION("""COMPUTED_VALUE"""),37642.666666666664)</f>
        <v>37642.66667</v>
      </c>
      <c r="B4325" s="1">
        <f>IFERROR(__xludf.DUMMYFUNCTION("""COMPUTED_VALUE"""),901.79)</f>
        <v>901.79</v>
      </c>
      <c r="C4325" s="1">
        <f>IFERROR(__xludf.DUMMYFUNCTION("""COMPUTED_VALUE"""),906.0)</f>
        <v>906</v>
      </c>
      <c r="D4325" s="1">
        <f>IFERROR(__xludf.DUMMYFUNCTION("""COMPUTED_VALUE"""),887.62)</f>
        <v>887.62</v>
      </c>
      <c r="E4325" s="1">
        <f>IFERROR(__xludf.DUMMYFUNCTION("""COMPUTED_VALUE"""),887.62)</f>
        <v>887.62</v>
      </c>
      <c r="F4325" s="1">
        <f>IFERROR(__xludf.DUMMYFUNCTION("""COMPUTED_VALUE"""),1.3352E8)</f>
        <v>133520000</v>
      </c>
    </row>
    <row r="4326">
      <c r="A4326" s="2">
        <f>IFERROR(__xludf.DUMMYFUNCTION("""COMPUTED_VALUE"""),37643.666666666664)</f>
        <v>37643.66667</v>
      </c>
      <c r="B4326" s="1">
        <f>IFERROR(__xludf.DUMMYFUNCTION("""COMPUTED_VALUE"""),887.6)</f>
        <v>887.6</v>
      </c>
      <c r="C4326" s="1">
        <f>IFERROR(__xludf.DUMMYFUNCTION("""COMPUTED_VALUE"""),889.74)</f>
        <v>889.74</v>
      </c>
      <c r="D4326" s="1">
        <f>IFERROR(__xludf.DUMMYFUNCTION("""COMPUTED_VALUE"""),877.64)</f>
        <v>877.64</v>
      </c>
      <c r="E4326" s="1">
        <f>IFERROR(__xludf.DUMMYFUNCTION("""COMPUTED_VALUE"""),878.36)</f>
        <v>878.36</v>
      </c>
      <c r="F4326" s="1">
        <f>IFERROR(__xludf.DUMMYFUNCTION("""COMPUTED_VALUE"""),1.5608E8)</f>
        <v>156080000</v>
      </c>
    </row>
    <row r="4327">
      <c r="A4327" s="2">
        <f>IFERROR(__xludf.DUMMYFUNCTION("""COMPUTED_VALUE"""),37644.666666666664)</f>
        <v>37644.66667</v>
      </c>
      <c r="B4327" s="1">
        <f>IFERROR(__xludf.DUMMYFUNCTION("""COMPUTED_VALUE"""),880.81)</f>
        <v>880.81</v>
      </c>
      <c r="C4327" s="1">
        <f>IFERROR(__xludf.DUMMYFUNCTION("""COMPUTED_VALUE"""),890.25)</f>
        <v>890.25</v>
      </c>
      <c r="D4327" s="1">
        <f>IFERROR(__xludf.DUMMYFUNCTION("""COMPUTED_VALUE"""),876.89)</f>
        <v>876.89</v>
      </c>
      <c r="E4327" s="1">
        <f>IFERROR(__xludf.DUMMYFUNCTION("""COMPUTED_VALUE"""),887.34)</f>
        <v>887.34</v>
      </c>
      <c r="F4327" s="1">
        <f>IFERROR(__xludf.DUMMYFUNCTION("""COMPUTED_VALUE"""),1.74455008E8)</f>
        <v>174455008</v>
      </c>
    </row>
    <row r="4328">
      <c r="A4328" s="2">
        <f>IFERROR(__xludf.DUMMYFUNCTION("""COMPUTED_VALUE"""),37645.666666666664)</f>
        <v>37645.66667</v>
      </c>
      <c r="B4328" s="1">
        <f>IFERROR(__xludf.DUMMYFUNCTION("""COMPUTED_VALUE"""),886.28)</f>
        <v>886.28</v>
      </c>
      <c r="C4328" s="1">
        <f>IFERROR(__xludf.DUMMYFUNCTION("""COMPUTED_VALUE"""),886.28)</f>
        <v>886.28</v>
      </c>
      <c r="D4328" s="1">
        <f>IFERROR(__xludf.DUMMYFUNCTION("""COMPUTED_VALUE"""),859.71)</f>
        <v>859.71</v>
      </c>
      <c r="E4328" s="1">
        <f>IFERROR(__xludf.DUMMYFUNCTION("""COMPUTED_VALUE"""),861.4)</f>
        <v>861.4</v>
      </c>
      <c r="F4328" s="1">
        <f>IFERROR(__xludf.DUMMYFUNCTION("""COMPUTED_VALUE"""),1.5748E8)</f>
        <v>157480000</v>
      </c>
    </row>
    <row r="4329">
      <c r="A4329" s="2">
        <f>IFERROR(__xludf.DUMMYFUNCTION("""COMPUTED_VALUE"""),37648.666666666664)</f>
        <v>37648.66667</v>
      </c>
      <c r="B4329" s="1">
        <f>IFERROR(__xludf.DUMMYFUNCTION("""COMPUTED_VALUE"""),858.71)</f>
        <v>858.71</v>
      </c>
      <c r="C4329" s="1">
        <f>IFERROR(__xludf.DUMMYFUNCTION("""COMPUTED_VALUE"""),863.95)</f>
        <v>863.95</v>
      </c>
      <c r="D4329" s="1">
        <f>IFERROR(__xludf.DUMMYFUNCTION("""COMPUTED_VALUE"""),844.25)</f>
        <v>844.25</v>
      </c>
      <c r="E4329" s="1">
        <f>IFERROR(__xludf.DUMMYFUNCTION("""COMPUTED_VALUE"""),847.48)</f>
        <v>847.48</v>
      </c>
      <c r="F4329" s="1">
        <f>IFERROR(__xludf.DUMMYFUNCTION("""COMPUTED_VALUE"""),1.4359E8)</f>
        <v>143590000</v>
      </c>
    </row>
    <row r="4330">
      <c r="A4330" s="2">
        <f>IFERROR(__xludf.DUMMYFUNCTION("""COMPUTED_VALUE"""),37649.666666666664)</f>
        <v>37649.66667</v>
      </c>
      <c r="B4330" s="1">
        <f>IFERROR(__xludf.DUMMYFUNCTION("""COMPUTED_VALUE"""),848.34)</f>
        <v>848.34</v>
      </c>
      <c r="C4330" s="1">
        <f>IFERROR(__xludf.DUMMYFUNCTION("""COMPUTED_VALUE"""),860.76)</f>
        <v>860.76</v>
      </c>
      <c r="D4330" s="1">
        <f>IFERROR(__xludf.DUMMYFUNCTION("""COMPUTED_VALUE"""),848.34)</f>
        <v>848.34</v>
      </c>
      <c r="E4330" s="1">
        <f>IFERROR(__xludf.DUMMYFUNCTION("""COMPUTED_VALUE"""),858.54)</f>
        <v>858.54</v>
      </c>
      <c r="F4330" s="1">
        <f>IFERROR(__xludf.DUMMYFUNCTION("""COMPUTED_VALUE"""),1.4591E8)</f>
        <v>145910000</v>
      </c>
    </row>
    <row r="4331">
      <c r="A4331" s="2">
        <f>IFERROR(__xludf.DUMMYFUNCTION("""COMPUTED_VALUE"""),37650.666666666664)</f>
        <v>37650.66667</v>
      </c>
      <c r="B4331" s="1">
        <f>IFERROR(__xludf.DUMMYFUNCTION("""COMPUTED_VALUE"""),857.78)</f>
        <v>857.78</v>
      </c>
      <c r="C4331" s="1">
        <f>IFERROR(__xludf.DUMMYFUNCTION("""COMPUTED_VALUE"""),868.72)</f>
        <v>868.72</v>
      </c>
      <c r="D4331" s="1">
        <f>IFERROR(__xludf.DUMMYFUNCTION("""COMPUTED_VALUE"""),845.86)</f>
        <v>845.86</v>
      </c>
      <c r="E4331" s="1">
        <f>IFERROR(__xludf.DUMMYFUNCTION("""COMPUTED_VALUE"""),864.36)</f>
        <v>864.36</v>
      </c>
      <c r="F4331" s="1">
        <f>IFERROR(__xludf.DUMMYFUNCTION("""COMPUTED_VALUE"""),1.5954E8)</f>
        <v>159540000</v>
      </c>
    </row>
    <row r="4332">
      <c r="A4332" s="2">
        <f>IFERROR(__xludf.DUMMYFUNCTION("""COMPUTED_VALUE"""),37651.666666666664)</f>
        <v>37651.66667</v>
      </c>
      <c r="B4332" s="1">
        <f>IFERROR(__xludf.DUMMYFUNCTION("""COMPUTED_VALUE"""),864.73)</f>
        <v>864.73</v>
      </c>
      <c r="C4332" s="1">
        <f>IFERROR(__xludf.DUMMYFUNCTION("""COMPUTED_VALUE"""),865.48)</f>
        <v>865.48</v>
      </c>
      <c r="D4332" s="1">
        <f>IFERROR(__xludf.DUMMYFUNCTION("""COMPUTED_VALUE"""),843.74)</f>
        <v>843.74</v>
      </c>
      <c r="E4332" s="1">
        <f>IFERROR(__xludf.DUMMYFUNCTION("""COMPUTED_VALUE"""),844.61)</f>
        <v>844.61</v>
      </c>
      <c r="F4332" s="1">
        <f>IFERROR(__xludf.DUMMYFUNCTION("""COMPUTED_VALUE"""),1.5103E8)</f>
        <v>151030000</v>
      </c>
    </row>
    <row r="4333">
      <c r="A4333" s="2">
        <f>IFERROR(__xludf.DUMMYFUNCTION("""COMPUTED_VALUE"""),37652.666666666664)</f>
        <v>37652.66667</v>
      </c>
      <c r="B4333" s="1">
        <f>IFERROR(__xludf.DUMMYFUNCTION("""COMPUTED_VALUE"""),842.6)</f>
        <v>842.6</v>
      </c>
      <c r="C4333" s="1">
        <f>IFERROR(__xludf.DUMMYFUNCTION("""COMPUTED_VALUE"""),858.33)</f>
        <v>858.33</v>
      </c>
      <c r="D4333" s="1">
        <f>IFERROR(__xludf.DUMMYFUNCTION("""COMPUTED_VALUE"""),840.34)</f>
        <v>840.34</v>
      </c>
      <c r="E4333" s="1">
        <f>IFERROR(__xludf.DUMMYFUNCTION("""COMPUTED_VALUE"""),855.7)</f>
        <v>855.7</v>
      </c>
      <c r="F4333" s="1">
        <f>IFERROR(__xludf.DUMMYFUNCTION("""COMPUTED_VALUE"""),1.57852992E8)</f>
        <v>157852992</v>
      </c>
    </row>
    <row r="4334">
      <c r="A4334" s="2">
        <f>IFERROR(__xludf.DUMMYFUNCTION("""COMPUTED_VALUE"""),37655.666666666664)</f>
        <v>37655.66667</v>
      </c>
      <c r="B4334" s="1">
        <f>IFERROR(__xludf.DUMMYFUNCTION("""COMPUTED_VALUE"""),855.7)</f>
        <v>855.7</v>
      </c>
      <c r="C4334" s="1">
        <f>IFERROR(__xludf.DUMMYFUNCTION("""COMPUTED_VALUE"""),864.64)</f>
        <v>864.64</v>
      </c>
      <c r="D4334" s="1">
        <f>IFERROR(__xludf.DUMMYFUNCTION("""COMPUTED_VALUE"""),855.7)</f>
        <v>855.7</v>
      </c>
      <c r="E4334" s="1">
        <f>IFERROR(__xludf.DUMMYFUNCTION("""COMPUTED_VALUE"""),860.32)</f>
        <v>860.32</v>
      </c>
      <c r="F4334" s="1">
        <f>IFERROR(__xludf.DUMMYFUNCTION("""COMPUTED_VALUE"""),1.2585E8)</f>
        <v>125850000</v>
      </c>
    </row>
    <row r="4335">
      <c r="A4335" s="2">
        <f>IFERROR(__xludf.DUMMYFUNCTION("""COMPUTED_VALUE"""),37656.666666666664)</f>
        <v>37656.66667</v>
      </c>
      <c r="B4335" s="1">
        <f>IFERROR(__xludf.DUMMYFUNCTION("""COMPUTED_VALUE"""),858.02)</f>
        <v>858.02</v>
      </c>
      <c r="C4335" s="1">
        <f>IFERROR(__xludf.DUMMYFUNCTION("""COMPUTED_VALUE"""),858.02)</f>
        <v>858.02</v>
      </c>
      <c r="D4335" s="1">
        <f>IFERROR(__xludf.DUMMYFUNCTION("""COMPUTED_VALUE"""),840.19)</f>
        <v>840.19</v>
      </c>
      <c r="E4335" s="1">
        <f>IFERROR(__xludf.DUMMYFUNCTION("""COMPUTED_VALUE"""),848.2)</f>
        <v>848.2</v>
      </c>
      <c r="F4335" s="1">
        <f>IFERROR(__xludf.DUMMYFUNCTION("""COMPUTED_VALUE"""),1.4516E8)</f>
        <v>145160000</v>
      </c>
    </row>
    <row r="4336">
      <c r="A4336" s="2">
        <f>IFERROR(__xludf.DUMMYFUNCTION("""COMPUTED_VALUE"""),37657.666666666664)</f>
        <v>37657.66667</v>
      </c>
      <c r="B4336" s="1">
        <f>IFERROR(__xludf.DUMMYFUNCTION("""COMPUTED_VALUE"""),849.96)</f>
        <v>849.96</v>
      </c>
      <c r="C4336" s="1">
        <f>IFERROR(__xludf.DUMMYFUNCTION("""COMPUTED_VALUE"""),861.63)</f>
        <v>861.63</v>
      </c>
      <c r="D4336" s="1">
        <f>IFERROR(__xludf.DUMMYFUNCTION("""COMPUTED_VALUE"""),842.11)</f>
        <v>842.11</v>
      </c>
      <c r="E4336" s="1">
        <f>IFERROR(__xludf.DUMMYFUNCTION("""COMPUTED_VALUE"""),843.59)</f>
        <v>843.59</v>
      </c>
      <c r="F4336" s="1">
        <f>IFERROR(__xludf.DUMMYFUNCTION("""COMPUTED_VALUE"""),1.4508E8)</f>
        <v>145080000</v>
      </c>
    </row>
    <row r="4337">
      <c r="A4337" s="2">
        <f>IFERROR(__xludf.DUMMYFUNCTION("""COMPUTED_VALUE"""),37658.666666666664)</f>
        <v>37658.66667</v>
      </c>
      <c r="B4337" s="1">
        <f>IFERROR(__xludf.DUMMYFUNCTION("""COMPUTED_VALUE"""),843.0)</f>
        <v>843</v>
      </c>
      <c r="C4337" s="1">
        <f>IFERROR(__xludf.DUMMYFUNCTION("""COMPUTED_VALUE"""),843.69)</f>
        <v>843.69</v>
      </c>
      <c r="D4337" s="1">
        <f>IFERROR(__xludf.DUMMYFUNCTION("""COMPUTED_VALUE"""),833.25)</f>
        <v>833.25</v>
      </c>
      <c r="E4337" s="1">
        <f>IFERROR(__xludf.DUMMYFUNCTION("""COMPUTED_VALUE"""),838.15)</f>
        <v>838.15</v>
      </c>
      <c r="F4337" s="1">
        <f>IFERROR(__xludf.DUMMYFUNCTION("""COMPUTED_VALUE"""),1.4309E8)</f>
        <v>143090000</v>
      </c>
    </row>
    <row r="4338">
      <c r="A4338" s="2">
        <f>IFERROR(__xludf.DUMMYFUNCTION("""COMPUTED_VALUE"""),37659.666666666664)</f>
        <v>37659.66667</v>
      </c>
      <c r="B4338" s="1">
        <f>IFERROR(__xludf.DUMMYFUNCTION("""COMPUTED_VALUE"""),839.29)</f>
        <v>839.29</v>
      </c>
      <c r="C4338" s="1">
        <f>IFERROR(__xludf.DUMMYFUNCTION("""COMPUTED_VALUE"""),845.73)</f>
        <v>845.73</v>
      </c>
      <c r="D4338" s="1">
        <f>IFERROR(__xludf.DUMMYFUNCTION("""COMPUTED_VALUE"""),826.7)</f>
        <v>826.7</v>
      </c>
      <c r="E4338" s="1">
        <f>IFERROR(__xludf.DUMMYFUNCTION("""COMPUTED_VALUE"""),829.69)</f>
        <v>829.69</v>
      </c>
      <c r="F4338" s="1">
        <f>IFERROR(__xludf.DUMMYFUNCTION("""COMPUTED_VALUE"""),1.2768E8)</f>
        <v>127680000</v>
      </c>
    </row>
    <row r="4339">
      <c r="A4339" s="2">
        <f>IFERROR(__xludf.DUMMYFUNCTION("""COMPUTED_VALUE"""),37662.666666666664)</f>
        <v>37662.66667</v>
      </c>
      <c r="B4339" s="1">
        <f>IFERROR(__xludf.DUMMYFUNCTION("""COMPUTED_VALUE"""),830.08)</f>
        <v>830.08</v>
      </c>
      <c r="C4339" s="1">
        <f>IFERROR(__xludf.DUMMYFUNCTION("""COMPUTED_VALUE"""),837.16)</f>
        <v>837.16</v>
      </c>
      <c r="D4339" s="1">
        <f>IFERROR(__xludf.DUMMYFUNCTION("""COMPUTED_VALUE"""),823.53)</f>
        <v>823.53</v>
      </c>
      <c r="E4339" s="1">
        <f>IFERROR(__xludf.DUMMYFUNCTION("""COMPUTED_VALUE"""),835.97)</f>
        <v>835.97</v>
      </c>
      <c r="F4339" s="1">
        <f>IFERROR(__xludf.DUMMYFUNCTION("""COMPUTED_VALUE"""),1.2382E8)</f>
        <v>123820000</v>
      </c>
    </row>
    <row r="4340">
      <c r="A4340" s="2">
        <f>IFERROR(__xludf.DUMMYFUNCTION("""COMPUTED_VALUE"""),37663.666666666664)</f>
        <v>37663.66667</v>
      </c>
      <c r="B4340" s="1">
        <f>IFERROR(__xludf.DUMMYFUNCTION("""COMPUTED_VALUE"""),836.53)</f>
        <v>836.53</v>
      </c>
      <c r="C4340" s="1">
        <f>IFERROR(__xludf.DUMMYFUNCTION("""COMPUTED_VALUE"""),843.02)</f>
        <v>843.02</v>
      </c>
      <c r="D4340" s="1">
        <f>IFERROR(__xludf.DUMMYFUNCTION("""COMPUTED_VALUE"""),825.09)</f>
        <v>825.09</v>
      </c>
      <c r="E4340" s="1">
        <f>IFERROR(__xludf.DUMMYFUNCTION("""COMPUTED_VALUE"""),829.2)</f>
        <v>829.2</v>
      </c>
      <c r="F4340" s="1">
        <f>IFERROR(__xludf.DUMMYFUNCTION("""COMPUTED_VALUE"""),1.307E8)</f>
        <v>130700000</v>
      </c>
    </row>
    <row r="4341">
      <c r="A4341" s="2">
        <f>IFERROR(__xludf.DUMMYFUNCTION("""COMPUTED_VALUE"""),37664.666666666664)</f>
        <v>37664.66667</v>
      </c>
      <c r="B4341" s="1">
        <f>IFERROR(__xludf.DUMMYFUNCTION("""COMPUTED_VALUE"""),828.96)</f>
        <v>828.96</v>
      </c>
      <c r="C4341" s="1">
        <f>IFERROR(__xludf.DUMMYFUNCTION("""COMPUTED_VALUE"""),832.12)</f>
        <v>832.12</v>
      </c>
      <c r="D4341" s="1">
        <f>IFERROR(__xludf.DUMMYFUNCTION("""COMPUTED_VALUE"""),818.49)</f>
        <v>818.49</v>
      </c>
      <c r="E4341" s="1">
        <f>IFERROR(__xludf.DUMMYFUNCTION("""COMPUTED_VALUE"""),818.68)</f>
        <v>818.68</v>
      </c>
      <c r="F4341" s="1">
        <f>IFERROR(__xludf.DUMMYFUNCTION("""COMPUTED_VALUE"""),1.2605E8)</f>
        <v>126050000</v>
      </c>
    </row>
    <row r="4342">
      <c r="A4342" s="2">
        <f>IFERROR(__xludf.DUMMYFUNCTION("""COMPUTED_VALUE"""),37665.666666666664)</f>
        <v>37665.66667</v>
      </c>
      <c r="B4342" s="1">
        <f>IFERROR(__xludf.DUMMYFUNCTION("""COMPUTED_VALUE"""),818.75)</f>
        <v>818.75</v>
      </c>
      <c r="C4342" s="1">
        <f>IFERROR(__xludf.DUMMYFUNCTION("""COMPUTED_VALUE"""),821.25)</f>
        <v>821.25</v>
      </c>
      <c r="D4342" s="1">
        <f>IFERROR(__xludf.DUMMYFUNCTION("""COMPUTED_VALUE"""),806.29)</f>
        <v>806.29</v>
      </c>
      <c r="E4342" s="1">
        <f>IFERROR(__xludf.DUMMYFUNCTION("""COMPUTED_VALUE"""),817.37)</f>
        <v>817.37</v>
      </c>
      <c r="F4342" s="1">
        <f>IFERROR(__xludf.DUMMYFUNCTION("""COMPUTED_VALUE"""),1.4893E8)</f>
        <v>148930000</v>
      </c>
    </row>
    <row r="4343">
      <c r="A4343" s="2">
        <f>IFERROR(__xludf.DUMMYFUNCTION("""COMPUTED_VALUE"""),37666.666666666664)</f>
        <v>37666.66667</v>
      </c>
      <c r="B4343" s="1">
        <f>IFERROR(__xludf.DUMMYFUNCTION("""COMPUTED_VALUE"""),818.32)</f>
        <v>818.32</v>
      </c>
      <c r="C4343" s="1">
        <f>IFERROR(__xludf.DUMMYFUNCTION("""COMPUTED_VALUE"""),834.89)</f>
        <v>834.89</v>
      </c>
      <c r="D4343" s="1">
        <f>IFERROR(__xludf.DUMMYFUNCTION("""COMPUTED_VALUE"""),815.03)</f>
        <v>815.03</v>
      </c>
      <c r="E4343" s="1">
        <f>IFERROR(__xludf.DUMMYFUNCTION("""COMPUTED_VALUE"""),834.89)</f>
        <v>834.89</v>
      </c>
      <c r="F4343" s="1">
        <f>IFERROR(__xludf.DUMMYFUNCTION("""COMPUTED_VALUE"""),1.4046E8)</f>
        <v>140460000</v>
      </c>
    </row>
    <row r="4344">
      <c r="A4344" s="2">
        <f>IFERROR(__xludf.DUMMYFUNCTION("""COMPUTED_VALUE"""),37670.666666666664)</f>
        <v>37670.66667</v>
      </c>
      <c r="B4344" s="1">
        <f>IFERROR(__xludf.DUMMYFUNCTION("""COMPUTED_VALUE"""),836.43)</f>
        <v>836.43</v>
      </c>
      <c r="C4344" s="1">
        <f>IFERROR(__xludf.DUMMYFUNCTION("""COMPUTED_VALUE"""),852.87)</f>
        <v>852.87</v>
      </c>
      <c r="D4344" s="1">
        <f>IFERROR(__xludf.DUMMYFUNCTION("""COMPUTED_VALUE"""),836.43)</f>
        <v>836.43</v>
      </c>
      <c r="E4344" s="1">
        <f>IFERROR(__xludf.DUMMYFUNCTION("""COMPUTED_VALUE"""),851.17)</f>
        <v>851.17</v>
      </c>
      <c r="F4344" s="1">
        <f>IFERROR(__xludf.DUMMYFUNCTION("""COMPUTED_VALUE"""),1.2508E8)</f>
        <v>125080000</v>
      </c>
    </row>
    <row r="4345">
      <c r="A4345" s="2">
        <f>IFERROR(__xludf.DUMMYFUNCTION("""COMPUTED_VALUE"""),37671.666666666664)</f>
        <v>37671.66667</v>
      </c>
      <c r="B4345" s="1">
        <f>IFERROR(__xludf.DUMMYFUNCTION("""COMPUTED_VALUE"""),851.17)</f>
        <v>851.17</v>
      </c>
      <c r="C4345" s="1">
        <f>IFERROR(__xludf.DUMMYFUNCTION("""COMPUTED_VALUE"""),851.17)</f>
        <v>851.17</v>
      </c>
      <c r="D4345" s="1">
        <f>IFERROR(__xludf.DUMMYFUNCTION("""COMPUTED_VALUE"""),838.79)</f>
        <v>838.79</v>
      </c>
      <c r="E4345" s="1">
        <f>IFERROR(__xludf.DUMMYFUNCTION("""COMPUTED_VALUE"""),845.13)</f>
        <v>845.13</v>
      </c>
      <c r="F4345" s="1">
        <f>IFERROR(__xludf.DUMMYFUNCTION("""COMPUTED_VALUE"""),1.0756E8)</f>
        <v>107560000</v>
      </c>
    </row>
    <row r="4346">
      <c r="A4346" s="2">
        <f>IFERROR(__xludf.DUMMYFUNCTION("""COMPUTED_VALUE"""),37672.666666666664)</f>
        <v>37672.66667</v>
      </c>
      <c r="B4346" s="1">
        <f>IFERROR(__xludf.DUMMYFUNCTION("""COMPUTED_VALUE"""),845.13)</f>
        <v>845.13</v>
      </c>
      <c r="C4346" s="1">
        <f>IFERROR(__xludf.DUMMYFUNCTION("""COMPUTED_VALUE"""),849.37)</f>
        <v>849.37</v>
      </c>
      <c r="D4346" s="1">
        <f>IFERROR(__xludf.DUMMYFUNCTION("""COMPUTED_VALUE"""),836.56)</f>
        <v>836.56</v>
      </c>
      <c r="E4346" s="1">
        <f>IFERROR(__xludf.DUMMYFUNCTION("""COMPUTED_VALUE"""),837.1)</f>
        <v>837.1</v>
      </c>
      <c r="F4346" s="1">
        <f>IFERROR(__xludf.DUMMYFUNCTION("""COMPUTED_VALUE"""),1.1941E8)</f>
        <v>119410000</v>
      </c>
    </row>
    <row r="4347">
      <c r="A4347" s="2">
        <f>IFERROR(__xludf.DUMMYFUNCTION("""COMPUTED_VALUE"""),37673.666666666664)</f>
        <v>37673.66667</v>
      </c>
      <c r="B4347" s="1">
        <f>IFERROR(__xludf.DUMMYFUNCTION("""COMPUTED_VALUE"""),837.81)</f>
        <v>837.81</v>
      </c>
      <c r="C4347" s="1">
        <f>IFERROR(__xludf.DUMMYFUNCTION("""COMPUTED_VALUE"""),852.28)</f>
        <v>852.28</v>
      </c>
      <c r="D4347" s="1">
        <f>IFERROR(__xludf.DUMMYFUNCTION("""COMPUTED_VALUE"""),837.11)</f>
        <v>837.11</v>
      </c>
      <c r="E4347" s="1">
        <f>IFERROR(__xludf.DUMMYFUNCTION("""COMPUTED_VALUE"""),848.17)</f>
        <v>848.17</v>
      </c>
      <c r="F4347" s="1">
        <f>IFERROR(__xludf.DUMMYFUNCTION("""COMPUTED_VALUE"""),1.3982E8)</f>
        <v>139820000</v>
      </c>
    </row>
    <row r="4348">
      <c r="A4348" s="2">
        <f>IFERROR(__xludf.DUMMYFUNCTION("""COMPUTED_VALUE"""),37676.666666666664)</f>
        <v>37676.66667</v>
      </c>
      <c r="B4348" s="1">
        <f>IFERROR(__xludf.DUMMYFUNCTION("""COMPUTED_VALUE"""),847.29)</f>
        <v>847.29</v>
      </c>
      <c r="C4348" s="1">
        <f>IFERROR(__xludf.DUMMYFUNCTION("""COMPUTED_VALUE"""),847.29)</f>
        <v>847.29</v>
      </c>
      <c r="D4348" s="1">
        <f>IFERROR(__xludf.DUMMYFUNCTION("""COMPUTED_VALUE"""),832.16)</f>
        <v>832.16</v>
      </c>
      <c r="E4348" s="1">
        <f>IFERROR(__xludf.DUMMYFUNCTION("""COMPUTED_VALUE"""),832.58)</f>
        <v>832.58</v>
      </c>
      <c r="F4348" s="1">
        <f>IFERROR(__xludf.DUMMYFUNCTION("""COMPUTED_VALUE"""),1.2292E8)</f>
        <v>122920000</v>
      </c>
    </row>
    <row r="4349">
      <c r="A4349" s="2">
        <f>IFERROR(__xludf.DUMMYFUNCTION("""COMPUTED_VALUE"""),37677.666666666664)</f>
        <v>37677.66667</v>
      </c>
      <c r="B4349" s="1">
        <f>IFERROR(__xludf.DUMMYFUNCTION("""COMPUTED_VALUE"""),830.54)</f>
        <v>830.54</v>
      </c>
      <c r="C4349" s="1">
        <f>IFERROR(__xludf.DUMMYFUNCTION("""COMPUTED_VALUE"""),839.55)</f>
        <v>839.55</v>
      </c>
      <c r="D4349" s="1">
        <f>IFERROR(__xludf.DUMMYFUNCTION("""COMPUTED_VALUE"""),818.54)</f>
        <v>818.54</v>
      </c>
      <c r="E4349" s="1">
        <f>IFERROR(__xludf.DUMMYFUNCTION("""COMPUTED_VALUE"""),838.57)</f>
        <v>838.57</v>
      </c>
      <c r="F4349" s="1">
        <f>IFERROR(__xludf.DUMMYFUNCTION("""COMPUTED_VALUE"""),1.4837E8)</f>
        <v>148370000</v>
      </c>
    </row>
    <row r="4350">
      <c r="A4350" s="2">
        <f>IFERROR(__xludf.DUMMYFUNCTION("""COMPUTED_VALUE"""),37678.666666666664)</f>
        <v>37678.66667</v>
      </c>
      <c r="B4350" s="1">
        <f>IFERROR(__xludf.DUMMYFUNCTION("""COMPUTED_VALUE"""),837.73)</f>
        <v>837.73</v>
      </c>
      <c r="C4350" s="1">
        <f>IFERROR(__xludf.DUMMYFUNCTION("""COMPUTED_VALUE"""),840.1)</f>
        <v>840.1</v>
      </c>
      <c r="D4350" s="1">
        <f>IFERROR(__xludf.DUMMYFUNCTION("""COMPUTED_VALUE"""),826.68)</f>
        <v>826.68</v>
      </c>
      <c r="E4350" s="1">
        <f>IFERROR(__xludf.DUMMYFUNCTION("""COMPUTED_VALUE"""),827.55)</f>
        <v>827.55</v>
      </c>
      <c r="F4350" s="1">
        <f>IFERROR(__xludf.DUMMYFUNCTION("""COMPUTED_VALUE"""),1.3744E8)</f>
        <v>137440000</v>
      </c>
    </row>
    <row r="4351">
      <c r="A4351" s="2">
        <f>IFERROR(__xludf.DUMMYFUNCTION("""COMPUTED_VALUE"""),37679.666666666664)</f>
        <v>37679.66667</v>
      </c>
      <c r="B4351" s="1">
        <f>IFERROR(__xludf.DUMMYFUNCTION("""COMPUTED_VALUE"""),829.24)</f>
        <v>829.24</v>
      </c>
      <c r="C4351" s="1">
        <f>IFERROR(__xludf.DUMMYFUNCTION("""COMPUTED_VALUE"""),842.19)</f>
        <v>842.19</v>
      </c>
      <c r="D4351" s="1">
        <f>IFERROR(__xludf.DUMMYFUNCTION("""COMPUTED_VALUE"""),827.71)</f>
        <v>827.71</v>
      </c>
      <c r="E4351" s="1">
        <f>IFERROR(__xludf.DUMMYFUNCTION("""COMPUTED_VALUE"""),837.28)</f>
        <v>837.28</v>
      </c>
      <c r="F4351" s="1">
        <f>IFERROR(__xludf.DUMMYFUNCTION("""COMPUTED_VALUE"""),1.2878E8)</f>
        <v>128780000</v>
      </c>
    </row>
    <row r="4352">
      <c r="A4352" s="2">
        <f>IFERROR(__xludf.DUMMYFUNCTION("""COMPUTED_VALUE"""),37680.666666666664)</f>
        <v>37680.66667</v>
      </c>
      <c r="B4352" s="1">
        <f>IFERROR(__xludf.DUMMYFUNCTION("""COMPUTED_VALUE"""),837.7)</f>
        <v>837.7</v>
      </c>
      <c r="C4352" s="1">
        <f>IFERROR(__xludf.DUMMYFUNCTION("""COMPUTED_VALUE"""),847.0)</f>
        <v>847</v>
      </c>
      <c r="D4352" s="1">
        <f>IFERROR(__xludf.DUMMYFUNCTION("""COMPUTED_VALUE"""),837.31)</f>
        <v>837.31</v>
      </c>
      <c r="E4352" s="1">
        <f>IFERROR(__xludf.DUMMYFUNCTION("""COMPUTED_VALUE"""),841.15)</f>
        <v>841.15</v>
      </c>
      <c r="F4352" s="1">
        <f>IFERROR(__xludf.DUMMYFUNCTION("""COMPUTED_VALUE"""),1.3733E8)</f>
        <v>137330000</v>
      </c>
    </row>
    <row r="4353">
      <c r="A4353" s="2">
        <f>IFERROR(__xludf.DUMMYFUNCTION("""COMPUTED_VALUE"""),37683.666666666664)</f>
        <v>37683.66667</v>
      </c>
      <c r="B4353" s="1">
        <f>IFERROR(__xludf.DUMMYFUNCTION("""COMPUTED_VALUE"""),841.96)</f>
        <v>841.96</v>
      </c>
      <c r="C4353" s="1">
        <f>IFERROR(__xludf.DUMMYFUNCTION("""COMPUTED_VALUE"""),852.34)</f>
        <v>852.34</v>
      </c>
      <c r="D4353" s="1">
        <f>IFERROR(__xludf.DUMMYFUNCTION("""COMPUTED_VALUE"""),832.74)</f>
        <v>832.74</v>
      </c>
      <c r="E4353" s="1">
        <f>IFERROR(__xludf.DUMMYFUNCTION("""COMPUTED_VALUE"""),834.81)</f>
        <v>834.81</v>
      </c>
      <c r="F4353" s="1">
        <f>IFERROR(__xludf.DUMMYFUNCTION("""COMPUTED_VALUE"""),1.2089E8)</f>
        <v>120890000</v>
      </c>
    </row>
    <row r="4354">
      <c r="A4354" s="2">
        <f>IFERROR(__xludf.DUMMYFUNCTION("""COMPUTED_VALUE"""),37684.666666666664)</f>
        <v>37684.66667</v>
      </c>
      <c r="B4354" s="1">
        <f>IFERROR(__xludf.DUMMYFUNCTION("""COMPUTED_VALUE"""),834.87)</f>
        <v>834.87</v>
      </c>
      <c r="C4354" s="1">
        <f>IFERROR(__xludf.DUMMYFUNCTION("""COMPUTED_VALUE"""),835.43)</f>
        <v>835.43</v>
      </c>
      <c r="D4354" s="1">
        <f>IFERROR(__xludf.DUMMYFUNCTION("""COMPUTED_VALUE"""),821.96)</f>
        <v>821.96</v>
      </c>
      <c r="E4354" s="1">
        <f>IFERROR(__xludf.DUMMYFUNCTION("""COMPUTED_VALUE"""),821.99)</f>
        <v>821.99</v>
      </c>
      <c r="F4354" s="1">
        <f>IFERROR(__xludf.DUMMYFUNCTION("""COMPUTED_VALUE"""),1.2566E8)</f>
        <v>125660000</v>
      </c>
    </row>
    <row r="4355">
      <c r="A4355" s="2">
        <f>IFERROR(__xludf.DUMMYFUNCTION("""COMPUTED_VALUE"""),37685.666666666664)</f>
        <v>37685.66667</v>
      </c>
      <c r="B4355" s="1">
        <f>IFERROR(__xludf.DUMMYFUNCTION("""COMPUTED_VALUE"""),821.99)</f>
        <v>821.99</v>
      </c>
      <c r="C4355" s="1">
        <f>IFERROR(__xludf.DUMMYFUNCTION("""COMPUTED_VALUE"""),829.87)</f>
        <v>829.87</v>
      </c>
      <c r="D4355" s="1">
        <f>IFERROR(__xludf.DUMMYFUNCTION("""COMPUTED_VALUE"""),819.0)</f>
        <v>819</v>
      </c>
      <c r="E4355" s="1">
        <f>IFERROR(__xludf.DUMMYFUNCTION("""COMPUTED_VALUE"""),829.85)</f>
        <v>829.85</v>
      </c>
      <c r="F4355" s="1">
        <f>IFERROR(__xludf.DUMMYFUNCTION("""COMPUTED_VALUE"""),1.3327E8)</f>
        <v>133270000</v>
      </c>
    </row>
    <row r="4356">
      <c r="A4356" s="2">
        <f>IFERROR(__xludf.DUMMYFUNCTION("""COMPUTED_VALUE"""),37686.666666666664)</f>
        <v>37686.66667</v>
      </c>
      <c r="B4356" s="1">
        <f>IFERROR(__xludf.DUMMYFUNCTION("""COMPUTED_VALUE"""),828.82)</f>
        <v>828.82</v>
      </c>
      <c r="C4356" s="1">
        <f>IFERROR(__xludf.DUMMYFUNCTION("""COMPUTED_VALUE"""),829.56)</f>
        <v>829.56</v>
      </c>
      <c r="D4356" s="1">
        <f>IFERROR(__xludf.DUMMYFUNCTION("""COMPUTED_VALUE"""),819.85)</f>
        <v>819.85</v>
      </c>
      <c r="E4356" s="1">
        <f>IFERROR(__xludf.DUMMYFUNCTION("""COMPUTED_VALUE"""),822.1)</f>
        <v>822.1</v>
      </c>
      <c r="F4356" s="1">
        <f>IFERROR(__xludf.DUMMYFUNCTION("""COMPUTED_VALUE"""),1.2992E8)</f>
        <v>129920000</v>
      </c>
    </row>
    <row r="4357">
      <c r="A4357" s="2">
        <f>IFERROR(__xludf.DUMMYFUNCTION("""COMPUTED_VALUE"""),37687.666666666664)</f>
        <v>37687.66667</v>
      </c>
      <c r="B4357" s="1">
        <f>IFERROR(__xludf.DUMMYFUNCTION("""COMPUTED_VALUE"""),819.82)</f>
        <v>819.82</v>
      </c>
      <c r="C4357" s="1">
        <f>IFERROR(__xludf.DUMMYFUNCTION("""COMPUTED_VALUE"""),829.55)</f>
        <v>829.55</v>
      </c>
      <c r="D4357" s="1">
        <f>IFERROR(__xludf.DUMMYFUNCTION("""COMPUTED_VALUE"""),811.23)</f>
        <v>811.23</v>
      </c>
      <c r="E4357" s="1">
        <f>IFERROR(__xludf.DUMMYFUNCTION("""COMPUTED_VALUE"""),828.89)</f>
        <v>828.89</v>
      </c>
      <c r="F4357" s="1">
        <f>IFERROR(__xludf.DUMMYFUNCTION("""COMPUTED_VALUE"""),1.3685E8)</f>
        <v>136850000</v>
      </c>
    </row>
    <row r="4358">
      <c r="A4358" s="2">
        <f>IFERROR(__xludf.DUMMYFUNCTION("""COMPUTED_VALUE"""),37690.666666666664)</f>
        <v>37690.66667</v>
      </c>
      <c r="B4358" s="1">
        <f>IFERROR(__xludf.DUMMYFUNCTION("""COMPUTED_VALUE"""),826.12)</f>
        <v>826.12</v>
      </c>
      <c r="C4358" s="1">
        <f>IFERROR(__xludf.DUMMYFUNCTION("""COMPUTED_VALUE"""),826.12)</f>
        <v>826.12</v>
      </c>
      <c r="D4358" s="1">
        <f>IFERROR(__xludf.DUMMYFUNCTION("""COMPUTED_VALUE"""),806.57)</f>
        <v>806.57</v>
      </c>
      <c r="E4358" s="1">
        <f>IFERROR(__xludf.DUMMYFUNCTION("""COMPUTED_VALUE"""),807.48)</f>
        <v>807.48</v>
      </c>
      <c r="F4358" s="1">
        <f>IFERROR(__xludf.DUMMYFUNCTION("""COMPUTED_VALUE"""),1.255E8)</f>
        <v>125500000</v>
      </c>
    </row>
    <row r="4359">
      <c r="A4359" s="2">
        <f>IFERROR(__xludf.DUMMYFUNCTION("""COMPUTED_VALUE"""),37691.666666666664)</f>
        <v>37691.66667</v>
      </c>
      <c r="B4359" s="1">
        <f>IFERROR(__xludf.DUMMYFUNCTION("""COMPUTED_VALUE"""),808.34)</f>
        <v>808.34</v>
      </c>
      <c r="C4359" s="1">
        <f>IFERROR(__xludf.DUMMYFUNCTION("""COMPUTED_VALUE"""),814.25)</f>
        <v>814.25</v>
      </c>
      <c r="D4359" s="1">
        <f>IFERROR(__xludf.DUMMYFUNCTION("""COMPUTED_VALUE"""),800.3)</f>
        <v>800.3</v>
      </c>
      <c r="E4359" s="1">
        <f>IFERROR(__xludf.DUMMYFUNCTION("""COMPUTED_VALUE"""),800.73)</f>
        <v>800.73</v>
      </c>
      <c r="F4359" s="1">
        <f>IFERROR(__xludf.DUMMYFUNCTION("""COMPUTED_VALUE"""),1.4277E8)</f>
        <v>142770000</v>
      </c>
    </row>
    <row r="4360">
      <c r="A4360" s="2">
        <f>IFERROR(__xludf.DUMMYFUNCTION("""COMPUTED_VALUE"""),37692.666666666664)</f>
        <v>37692.66667</v>
      </c>
      <c r="B4360" s="1">
        <f>IFERROR(__xludf.DUMMYFUNCTION("""COMPUTED_VALUE"""),799.89)</f>
        <v>799.89</v>
      </c>
      <c r="C4360" s="1">
        <f>IFERROR(__xludf.DUMMYFUNCTION("""COMPUTED_VALUE"""),804.19)</f>
        <v>804.19</v>
      </c>
      <c r="D4360" s="1">
        <f>IFERROR(__xludf.DUMMYFUNCTION("""COMPUTED_VALUE"""),788.9)</f>
        <v>788.9</v>
      </c>
      <c r="E4360" s="1">
        <f>IFERROR(__xludf.DUMMYFUNCTION("""COMPUTED_VALUE"""),804.19)</f>
        <v>804.19</v>
      </c>
      <c r="F4360" s="1">
        <f>IFERROR(__xludf.DUMMYFUNCTION("""COMPUTED_VALUE"""),1.62E8)</f>
        <v>162000000</v>
      </c>
    </row>
    <row r="4361">
      <c r="A4361" s="2">
        <f>IFERROR(__xludf.DUMMYFUNCTION("""COMPUTED_VALUE"""),37693.666666666664)</f>
        <v>37693.66667</v>
      </c>
      <c r="B4361" s="1">
        <f>IFERROR(__xludf.DUMMYFUNCTION("""COMPUTED_VALUE"""),806.48)</f>
        <v>806.48</v>
      </c>
      <c r="C4361" s="1">
        <f>IFERROR(__xludf.DUMMYFUNCTION("""COMPUTED_VALUE"""),832.02)</f>
        <v>832.02</v>
      </c>
      <c r="D4361" s="1">
        <f>IFERROR(__xludf.DUMMYFUNCTION("""COMPUTED_VALUE"""),806.48)</f>
        <v>806.48</v>
      </c>
      <c r="E4361" s="1">
        <f>IFERROR(__xludf.DUMMYFUNCTION("""COMPUTED_VALUE"""),831.9)</f>
        <v>831.9</v>
      </c>
      <c r="F4361" s="1">
        <f>IFERROR(__xludf.DUMMYFUNCTION("""COMPUTED_VALUE"""),1.8163E8)</f>
        <v>181630000</v>
      </c>
    </row>
    <row r="4362">
      <c r="A4362" s="2">
        <f>IFERROR(__xludf.DUMMYFUNCTION("""COMPUTED_VALUE"""),37694.666666666664)</f>
        <v>37694.66667</v>
      </c>
      <c r="B4362" s="1">
        <f>IFERROR(__xludf.DUMMYFUNCTION("""COMPUTED_VALUE"""),831.89)</f>
        <v>831.89</v>
      </c>
      <c r="C4362" s="1">
        <f>IFERROR(__xludf.DUMMYFUNCTION("""COMPUTED_VALUE"""),841.39)</f>
        <v>841.39</v>
      </c>
      <c r="D4362" s="1">
        <f>IFERROR(__xludf.DUMMYFUNCTION("""COMPUTED_VALUE"""),828.26)</f>
        <v>828.26</v>
      </c>
      <c r="E4362" s="1">
        <f>IFERROR(__xludf.DUMMYFUNCTION("""COMPUTED_VALUE"""),833.27)</f>
        <v>833.27</v>
      </c>
      <c r="F4362" s="1">
        <f>IFERROR(__xludf.DUMMYFUNCTION("""COMPUTED_VALUE"""),1.5419E8)</f>
        <v>154190000</v>
      </c>
    </row>
    <row r="4363">
      <c r="A4363" s="2">
        <f>IFERROR(__xludf.DUMMYFUNCTION("""COMPUTED_VALUE"""),37697.666666666664)</f>
        <v>37697.66667</v>
      </c>
      <c r="B4363" s="1">
        <f>IFERROR(__xludf.DUMMYFUNCTION("""COMPUTED_VALUE"""),832.09)</f>
        <v>832.09</v>
      </c>
      <c r="C4363" s="1">
        <f>IFERROR(__xludf.DUMMYFUNCTION("""COMPUTED_VALUE"""),862.79)</f>
        <v>862.79</v>
      </c>
      <c r="D4363" s="1">
        <f>IFERROR(__xludf.DUMMYFUNCTION("""COMPUTED_VALUE"""),827.17)</f>
        <v>827.17</v>
      </c>
      <c r="E4363" s="1">
        <f>IFERROR(__xludf.DUMMYFUNCTION("""COMPUTED_VALUE"""),862.79)</f>
        <v>862.79</v>
      </c>
      <c r="F4363" s="1">
        <f>IFERROR(__xludf.DUMMYFUNCTION("""COMPUTED_VALUE"""),1.70042E8)</f>
        <v>170042000</v>
      </c>
    </row>
    <row r="4364">
      <c r="A4364" s="2">
        <f>IFERROR(__xludf.DUMMYFUNCTION("""COMPUTED_VALUE"""),37698.666666666664)</f>
        <v>37698.66667</v>
      </c>
      <c r="B4364" s="1">
        <f>IFERROR(__xludf.DUMMYFUNCTION("""COMPUTED_VALUE"""),862.78)</f>
        <v>862.78</v>
      </c>
      <c r="C4364" s="1">
        <f>IFERROR(__xludf.DUMMYFUNCTION("""COMPUTED_VALUE"""),866.94)</f>
        <v>866.94</v>
      </c>
      <c r="D4364" s="1">
        <f>IFERROR(__xludf.DUMMYFUNCTION("""COMPUTED_VALUE"""),857.36)</f>
        <v>857.36</v>
      </c>
      <c r="E4364" s="1">
        <f>IFERROR(__xludf.DUMMYFUNCTION("""COMPUTED_VALUE"""),866.45)</f>
        <v>866.45</v>
      </c>
      <c r="F4364" s="1">
        <f>IFERROR(__xludf.DUMMYFUNCTION("""COMPUTED_VALUE"""),1.5551E8)</f>
        <v>155510000</v>
      </c>
    </row>
    <row r="4365">
      <c r="A4365" s="2">
        <f>IFERROR(__xludf.DUMMYFUNCTION("""COMPUTED_VALUE"""),37699.666666666664)</f>
        <v>37699.66667</v>
      </c>
      <c r="B4365" s="1">
        <f>IFERROR(__xludf.DUMMYFUNCTION("""COMPUTED_VALUE"""),865.85)</f>
        <v>865.85</v>
      </c>
      <c r="C4365" s="1">
        <f>IFERROR(__xludf.DUMMYFUNCTION("""COMPUTED_VALUE"""),874.99)</f>
        <v>874.99</v>
      </c>
      <c r="D4365" s="1">
        <f>IFERROR(__xludf.DUMMYFUNCTION("""COMPUTED_VALUE"""),861.21)</f>
        <v>861.21</v>
      </c>
      <c r="E4365" s="1">
        <f>IFERROR(__xludf.DUMMYFUNCTION("""COMPUTED_VALUE"""),874.02)</f>
        <v>874.02</v>
      </c>
      <c r="F4365" s="1">
        <f>IFERROR(__xludf.DUMMYFUNCTION("""COMPUTED_VALUE"""),1.4734E8)</f>
        <v>147340000</v>
      </c>
    </row>
    <row r="4366">
      <c r="A4366" s="2">
        <f>IFERROR(__xludf.DUMMYFUNCTION("""COMPUTED_VALUE"""),37700.666666666664)</f>
        <v>37700.66667</v>
      </c>
      <c r="B4366" s="1">
        <f>IFERROR(__xludf.DUMMYFUNCTION("""COMPUTED_VALUE"""),872.8)</f>
        <v>872.8</v>
      </c>
      <c r="C4366" s="1">
        <f>IFERROR(__xludf.DUMMYFUNCTION("""COMPUTED_VALUE"""),879.6)</f>
        <v>879.6</v>
      </c>
      <c r="D4366" s="1">
        <f>IFERROR(__xludf.DUMMYFUNCTION("""COMPUTED_VALUE"""),859.01)</f>
        <v>859.01</v>
      </c>
      <c r="E4366" s="1">
        <f>IFERROR(__xludf.DUMMYFUNCTION("""COMPUTED_VALUE"""),875.84)</f>
        <v>875.84</v>
      </c>
      <c r="F4366" s="1">
        <f>IFERROR(__xludf.DUMMYFUNCTION("""COMPUTED_VALUE"""),1.4391E8)</f>
        <v>143910000</v>
      </c>
    </row>
    <row r="4367">
      <c r="A4367" s="2">
        <f>IFERROR(__xludf.DUMMYFUNCTION("""COMPUTED_VALUE"""),37701.666666666664)</f>
        <v>37701.66667</v>
      </c>
      <c r="B4367" s="1">
        <f>IFERROR(__xludf.DUMMYFUNCTION("""COMPUTED_VALUE"""),879.12)</f>
        <v>879.12</v>
      </c>
      <c r="C4367" s="1">
        <f>IFERROR(__xludf.DUMMYFUNCTION("""COMPUTED_VALUE"""),895.89)</f>
        <v>895.89</v>
      </c>
      <c r="D4367" s="1">
        <f>IFERROR(__xludf.DUMMYFUNCTION("""COMPUTED_VALUE"""),877.65)</f>
        <v>877.65</v>
      </c>
      <c r="E4367" s="1">
        <f>IFERROR(__xludf.DUMMYFUNCTION("""COMPUTED_VALUE"""),895.89)</f>
        <v>895.89</v>
      </c>
      <c r="F4367" s="1">
        <f>IFERROR(__xludf.DUMMYFUNCTION("""COMPUTED_VALUE"""),1.88371008E8)</f>
        <v>188371008</v>
      </c>
    </row>
    <row r="4368">
      <c r="A4368" s="2">
        <f>IFERROR(__xludf.DUMMYFUNCTION("""COMPUTED_VALUE"""),37704.666666666664)</f>
        <v>37704.66667</v>
      </c>
      <c r="B4368" s="1">
        <f>IFERROR(__xludf.DUMMYFUNCTION("""COMPUTED_VALUE"""),890.91)</f>
        <v>890.91</v>
      </c>
      <c r="C4368" s="1">
        <f>IFERROR(__xludf.DUMMYFUNCTION("""COMPUTED_VALUE"""),890.91)</f>
        <v>890.91</v>
      </c>
      <c r="D4368" s="1">
        <f>IFERROR(__xludf.DUMMYFUNCTION("""COMPUTED_VALUE"""),862.02)</f>
        <v>862.02</v>
      </c>
      <c r="E4368" s="1">
        <f>IFERROR(__xludf.DUMMYFUNCTION("""COMPUTED_VALUE"""),864.23)</f>
        <v>864.23</v>
      </c>
      <c r="F4368" s="1">
        <f>IFERROR(__xludf.DUMMYFUNCTION("""COMPUTED_VALUE"""),1.293E8)</f>
        <v>129300000</v>
      </c>
    </row>
    <row r="4369">
      <c r="A4369" s="2">
        <f>IFERROR(__xludf.DUMMYFUNCTION("""COMPUTED_VALUE"""),37705.666666666664)</f>
        <v>37705.66667</v>
      </c>
      <c r="B4369" s="1">
        <f>IFERROR(__xludf.DUMMYFUNCTION("""COMPUTED_VALUE"""),864.89)</f>
        <v>864.89</v>
      </c>
      <c r="C4369" s="1">
        <f>IFERROR(__xludf.DUMMYFUNCTION("""COMPUTED_VALUE"""),879.87)</f>
        <v>879.87</v>
      </c>
      <c r="D4369" s="1">
        <f>IFERROR(__xludf.DUMMYFUNCTION("""COMPUTED_VALUE"""),862.59)</f>
        <v>862.59</v>
      </c>
      <c r="E4369" s="1">
        <f>IFERROR(__xludf.DUMMYFUNCTION("""COMPUTED_VALUE"""),874.74)</f>
        <v>874.74</v>
      </c>
      <c r="F4369" s="1">
        <f>IFERROR(__xludf.DUMMYFUNCTION("""COMPUTED_VALUE"""),1.3334E8)</f>
        <v>133340000</v>
      </c>
    </row>
    <row r="4370">
      <c r="A4370" s="2">
        <f>IFERROR(__xludf.DUMMYFUNCTION("""COMPUTED_VALUE"""),37706.666666666664)</f>
        <v>37706.66667</v>
      </c>
      <c r="B4370" s="1">
        <f>IFERROR(__xludf.DUMMYFUNCTION("""COMPUTED_VALUE"""),874.54)</f>
        <v>874.54</v>
      </c>
      <c r="C4370" s="1">
        <f>IFERROR(__xludf.DUMMYFUNCTION("""COMPUTED_VALUE"""),875.8)</f>
        <v>875.8</v>
      </c>
      <c r="D4370" s="1">
        <f>IFERROR(__xludf.DUMMYFUNCTION("""COMPUTED_VALUE"""),866.47)</f>
        <v>866.47</v>
      </c>
      <c r="E4370" s="1">
        <f>IFERROR(__xludf.DUMMYFUNCTION("""COMPUTED_VALUE"""),869.95)</f>
        <v>869.95</v>
      </c>
      <c r="F4370" s="1">
        <f>IFERROR(__xludf.DUMMYFUNCTION("""COMPUTED_VALUE"""),1.3197E8)</f>
        <v>131970000</v>
      </c>
    </row>
    <row r="4371">
      <c r="A4371" s="2">
        <f>IFERROR(__xludf.DUMMYFUNCTION("""COMPUTED_VALUE"""),37707.666666666664)</f>
        <v>37707.66667</v>
      </c>
      <c r="B4371" s="1">
        <f>IFERROR(__xludf.DUMMYFUNCTION("""COMPUTED_VALUE"""),868.56)</f>
        <v>868.56</v>
      </c>
      <c r="C4371" s="1">
        <f>IFERROR(__xludf.DUMMYFUNCTION("""COMPUTED_VALUE"""),874.15)</f>
        <v>874.15</v>
      </c>
      <c r="D4371" s="1">
        <f>IFERROR(__xludf.DUMMYFUNCTION("""COMPUTED_VALUE"""),858.09)</f>
        <v>858.09</v>
      </c>
      <c r="E4371" s="1">
        <f>IFERROR(__xludf.DUMMYFUNCTION("""COMPUTED_VALUE"""),868.52)</f>
        <v>868.52</v>
      </c>
      <c r="F4371" s="1">
        <f>IFERROR(__xludf.DUMMYFUNCTION("""COMPUTED_VALUE"""),1.2329E8)</f>
        <v>123290000</v>
      </c>
    </row>
    <row r="4372">
      <c r="A4372" s="2">
        <f>IFERROR(__xludf.DUMMYFUNCTION("""COMPUTED_VALUE"""),37708.666666666664)</f>
        <v>37708.66667</v>
      </c>
      <c r="B4372" s="1">
        <f>IFERROR(__xludf.DUMMYFUNCTION("""COMPUTED_VALUE"""),866.71)</f>
        <v>866.71</v>
      </c>
      <c r="C4372" s="1">
        <f>IFERROR(__xludf.DUMMYFUNCTION("""COMPUTED_VALUE"""),869.88)</f>
        <v>869.88</v>
      </c>
      <c r="D4372" s="1">
        <f>IFERROR(__xludf.DUMMYFUNCTION("""COMPUTED_VALUE"""),860.83)</f>
        <v>860.83</v>
      </c>
      <c r="E4372" s="1">
        <f>IFERROR(__xludf.DUMMYFUNCTION("""COMPUTED_VALUE"""),863.5)</f>
        <v>863.5</v>
      </c>
      <c r="F4372" s="1">
        <f>IFERROR(__xludf.DUMMYFUNCTION("""COMPUTED_VALUE"""),1.227E8)</f>
        <v>122700000</v>
      </c>
    </row>
    <row r="4373">
      <c r="A4373" s="2">
        <f>IFERROR(__xludf.DUMMYFUNCTION("""COMPUTED_VALUE"""),37711.666666666664)</f>
        <v>37711.66667</v>
      </c>
      <c r="B4373" s="1">
        <f>IFERROR(__xludf.DUMMYFUNCTION("""COMPUTED_VALUE"""),863.18)</f>
        <v>863.18</v>
      </c>
      <c r="C4373" s="1">
        <f>IFERROR(__xludf.DUMMYFUNCTION("""COMPUTED_VALUE"""),863.18)</f>
        <v>863.18</v>
      </c>
      <c r="D4373" s="1">
        <f>IFERROR(__xludf.DUMMYFUNCTION("""COMPUTED_VALUE"""),843.68)</f>
        <v>843.68</v>
      </c>
      <c r="E4373" s="1">
        <f>IFERROR(__xludf.DUMMYFUNCTION("""COMPUTED_VALUE"""),848.18)</f>
        <v>848.18</v>
      </c>
      <c r="F4373" s="1">
        <f>IFERROR(__xludf.DUMMYFUNCTION("""COMPUTED_VALUE"""),1.4955E8)</f>
        <v>149550000</v>
      </c>
    </row>
    <row r="4374">
      <c r="A4374" s="2">
        <f>IFERROR(__xludf.DUMMYFUNCTION("""COMPUTED_VALUE"""),37712.666666666664)</f>
        <v>37712.66667</v>
      </c>
      <c r="B4374" s="1">
        <f>IFERROR(__xludf.DUMMYFUNCTION("""COMPUTED_VALUE"""),849.05)</f>
        <v>849.05</v>
      </c>
      <c r="C4374" s="1">
        <f>IFERROR(__xludf.DUMMYFUNCTION("""COMPUTED_VALUE"""),861.28)</f>
        <v>861.28</v>
      </c>
      <c r="D4374" s="1">
        <f>IFERROR(__xludf.DUMMYFUNCTION("""COMPUTED_VALUE"""),847.85)</f>
        <v>847.85</v>
      </c>
      <c r="E4374" s="1">
        <f>IFERROR(__xludf.DUMMYFUNCTION("""COMPUTED_VALUE"""),858.48)</f>
        <v>858.48</v>
      </c>
      <c r="F4374" s="1">
        <f>IFERROR(__xludf.DUMMYFUNCTION("""COMPUTED_VALUE"""),1.4616E8)</f>
        <v>146160000</v>
      </c>
    </row>
    <row r="4375">
      <c r="A4375" s="2">
        <f>IFERROR(__xludf.DUMMYFUNCTION("""COMPUTED_VALUE"""),37713.666666666664)</f>
        <v>37713.66667</v>
      </c>
      <c r="B4375" s="1">
        <f>IFERROR(__xludf.DUMMYFUNCTION("""COMPUTED_VALUE"""),858.48)</f>
        <v>858.48</v>
      </c>
      <c r="C4375" s="1">
        <f>IFERROR(__xludf.DUMMYFUNCTION("""COMPUTED_VALUE"""),884.57)</f>
        <v>884.57</v>
      </c>
      <c r="D4375" s="1">
        <f>IFERROR(__xludf.DUMMYFUNCTION("""COMPUTED_VALUE"""),858.48)</f>
        <v>858.48</v>
      </c>
      <c r="E4375" s="1">
        <f>IFERROR(__xludf.DUMMYFUNCTION("""COMPUTED_VALUE"""),880.9)</f>
        <v>880.9</v>
      </c>
      <c r="F4375" s="1">
        <f>IFERROR(__xludf.DUMMYFUNCTION("""COMPUTED_VALUE"""),1.5898E8)</f>
        <v>158980000</v>
      </c>
    </row>
    <row r="4376">
      <c r="A4376" s="2">
        <f>IFERROR(__xludf.DUMMYFUNCTION("""COMPUTED_VALUE"""),37714.666666666664)</f>
        <v>37714.66667</v>
      </c>
      <c r="B4376" s="1">
        <f>IFERROR(__xludf.DUMMYFUNCTION("""COMPUTED_VALUE"""),882.07)</f>
        <v>882.07</v>
      </c>
      <c r="C4376" s="1">
        <f>IFERROR(__xludf.DUMMYFUNCTION("""COMPUTED_VALUE"""),885.89)</f>
        <v>885.89</v>
      </c>
      <c r="D4376" s="1">
        <f>IFERROR(__xludf.DUMMYFUNCTION("""COMPUTED_VALUE"""),876.12)</f>
        <v>876.12</v>
      </c>
      <c r="E4376" s="1">
        <f>IFERROR(__xludf.DUMMYFUNCTION("""COMPUTED_VALUE"""),876.45)</f>
        <v>876.45</v>
      </c>
      <c r="F4376" s="1">
        <f>IFERROR(__xludf.DUMMYFUNCTION("""COMPUTED_VALUE"""),1.3395E8)</f>
        <v>133950000</v>
      </c>
    </row>
    <row r="4377">
      <c r="A4377" s="2">
        <f>IFERROR(__xludf.DUMMYFUNCTION("""COMPUTED_VALUE"""),37715.666666666664)</f>
        <v>37715.66667</v>
      </c>
      <c r="B4377" s="1">
        <f>IFERROR(__xludf.DUMMYFUNCTION("""COMPUTED_VALUE"""),877.06)</f>
        <v>877.06</v>
      </c>
      <c r="C4377" s="1">
        <f>IFERROR(__xludf.DUMMYFUNCTION("""COMPUTED_VALUE"""),882.73)</f>
        <v>882.73</v>
      </c>
      <c r="D4377" s="1">
        <f>IFERROR(__xludf.DUMMYFUNCTION("""COMPUTED_VALUE"""),874.23)</f>
        <v>874.23</v>
      </c>
      <c r="E4377" s="1">
        <f>IFERROR(__xludf.DUMMYFUNCTION("""COMPUTED_VALUE"""),878.85)</f>
        <v>878.85</v>
      </c>
      <c r="F4377" s="1">
        <f>IFERROR(__xludf.DUMMYFUNCTION("""COMPUTED_VALUE"""),1.2412E8)</f>
        <v>124120000</v>
      </c>
    </row>
    <row r="4378">
      <c r="A4378" s="2">
        <f>IFERROR(__xludf.DUMMYFUNCTION("""COMPUTED_VALUE"""),37718.666666666664)</f>
        <v>37718.66667</v>
      </c>
      <c r="B4378" s="1">
        <f>IFERROR(__xludf.DUMMYFUNCTION("""COMPUTED_VALUE"""),884.48)</f>
        <v>884.48</v>
      </c>
      <c r="C4378" s="1">
        <f>IFERROR(__xludf.DUMMYFUNCTION("""COMPUTED_VALUE"""),904.89)</f>
        <v>904.89</v>
      </c>
      <c r="D4378" s="1">
        <f>IFERROR(__xludf.DUMMYFUNCTION("""COMPUTED_VALUE"""),879.78)</f>
        <v>879.78</v>
      </c>
      <c r="E4378" s="1">
        <f>IFERROR(__xludf.DUMMYFUNCTION("""COMPUTED_VALUE"""),879.93)</f>
        <v>879.93</v>
      </c>
      <c r="F4378" s="1">
        <f>IFERROR(__xludf.DUMMYFUNCTION("""COMPUTED_VALUE"""),1.494E8)</f>
        <v>149400000</v>
      </c>
    </row>
    <row r="4379">
      <c r="A4379" s="2">
        <f>IFERROR(__xludf.DUMMYFUNCTION("""COMPUTED_VALUE"""),37719.666666666664)</f>
        <v>37719.66667</v>
      </c>
      <c r="B4379" s="1">
        <f>IFERROR(__xludf.DUMMYFUNCTION("""COMPUTED_VALUE"""),880.01)</f>
        <v>880.01</v>
      </c>
      <c r="C4379" s="1">
        <f>IFERROR(__xludf.DUMMYFUNCTION("""COMPUTED_VALUE"""),883.11)</f>
        <v>883.11</v>
      </c>
      <c r="D4379" s="1">
        <f>IFERROR(__xludf.DUMMYFUNCTION("""COMPUTED_VALUE"""),874.68)</f>
        <v>874.68</v>
      </c>
      <c r="E4379" s="1">
        <f>IFERROR(__xludf.DUMMYFUNCTION("""COMPUTED_VALUE"""),878.29)</f>
        <v>878.29</v>
      </c>
      <c r="F4379" s="1">
        <f>IFERROR(__xludf.DUMMYFUNCTION("""COMPUTED_VALUE"""),1.2354E8)</f>
        <v>123540000</v>
      </c>
    </row>
    <row r="4380">
      <c r="A4380" s="2">
        <f>IFERROR(__xludf.DUMMYFUNCTION("""COMPUTED_VALUE"""),37720.666666666664)</f>
        <v>37720.66667</v>
      </c>
      <c r="B4380" s="1">
        <f>IFERROR(__xludf.DUMMYFUNCTION("""COMPUTED_VALUE"""),878.65)</f>
        <v>878.65</v>
      </c>
      <c r="C4380" s="1">
        <f>IFERROR(__xludf.DUMMYFUNCTION("""COMPUTED_VALUE"""),887.35)</f>
        <v>887.35</v>
      </c>
      <c r="D4380" s="1">
        <f>IFERROR(__xludf.DUMMYFUNCTION("""COMPUTED_VALUE"""),865.72)</f>
        <v>865.72</v>
      </c>
      <c r="E4380" s="1">
        <f>IFERROR(__xludf.DUMMYFUNCTION("""COMPUTED_VALUE"""),865.99)</f>
        <v>865.99</v>
      </c>
      <c r="F4380" s="1">
        <f>IFERROR(__xludf.DUMMYFUNCTION("""COMPUTED_VALUE"""),1.2937E8)</f>
        <v>129370000</v>
      </c>
    </row>
    <row r="4381">
      <c r="A4381" s="2">
        <f>IFERROR(__xludf.DUMMYFUNCTION("""COMPUTED_VALUE"""),37721.666666666664)</f>
        <v>37721.66667</v>
      </c>
      <c r="B4381" s="1">
        <f>IFERROR(__xludf.DUMMYFUNCTION("""COMPUTED_VALUE"""),866.61)</f>
        <v>866.61</v>
      </c>
      <c r="C4381" s="1">
        <f>IFERROR(__xludf.DUMMYFUNCTION("""COMPUTED_VALUE"""),871.78)</f>
        <v>871.78</v>
      </c>
      <c r="D4381" s="1">
        <f>IFERROR(__xludf.DUMMYFUNCTION("""COMPUTED_VALUE"""),862.76)</f>
        <v>862.76</v>
      </c>
      <c r="E4381" s="1">
        <f>IFERROR(__xludf.DUMMYFUNCTION("""COMPUTED_VALUE"""),871.58)</f>
        <v>871.58</v>
      </c>
      <c r="F4381" s="1">
        <f>IFERROR(__xludf.DUMMYFUNCTION("""COMPUTED_VALUE"""),1.2753E8)</f>
        <v>127530000</v>
      </c>
    </row>
    <row r="4382">
      <c r="A4382" s="2">
        <f>IFERROR(__xludf.DUMMYFUNCTION("""COMPUTED_VALUE"""),37722.666666666664)</f>
        <v>37722.66667</v>
      </c>
      <c r="B4382" s="1">
        <f>IFERROR(__xludf.DUMMYFUNCTION("""COMPUTED_VALUE"""),871.58)</f>
        <v>871.58</v>
      </c>
      <c r="C4382" s="1">
        <f>IFERROR(__xludf.DUMMYFUNCTION("""COMPUTED_VALUE"""),883.34)</f>
        <v>883.34</v>
      </c>
      <c r="D4382" s="1">
        <f>IFERROR(__xludf.DUMMYFUNCTION("""COMPUTED_VALUE"""),865.92)</f>
        <v>865.92</v>
      </c>
      <c r="E4382" s="1">
        <f>IFERROR(__xludf.DUMMYFUNCTION("""COMPUTED_VALUE"""),868.3)</f>
        <v>868.3</v>
      </c>
      <c r="F4382" s="1">
        <f>IFERROR(__xludf.DUMMYFUNCTION("""COMPUTED_VALUE"""),1.1416E8)</f>
        <v>114160000</v>
      </c>
    </row>
    <row r="4383">
      <c r="A4383" s="2">
        <f>IFERROR(__xludf.DUMMYFUNCTION("""COMPUTED_VALUE"""),37725.666666666664)</f>
        <v>37725.66667</v>
      </c>
      <c r="B4383" s="1">
        <f>IFERROR(__xludf.DUMMYFUNCTION("""COMPUTED_VALUE"""),868.51)</f>
        <v>868.51</v>
      </c>
      <c r="C4383" s="1">
        <f>IFERROR(__xludf.DUMMYFUNCTION("""COMPUTED_VALUE"""),885.26)</f>
        <v>885.26</v>
      </c>
      <c r="D4383" s="1">
        <f>IFERROR(__xludf.DUMMYFUNCTION("""COMPUTED_VALUE"""),868.51)</f>
        <v>868.51</v>
      </c>
      <c r="E4383" s="1">
        <f>IFERROR(__xludf.DUMMYFUNCTION("""COMPUTED_VALUE"""),885.23)</f>
        <v>885.23</v>
      </c>
      <c r="F4383" s="1">
        <f>IFERROR(__xludf.DUMMYFUNCTION("""COMPUTED_VALUE"""),1.131E8)</f>
        <v>113100000</v>
      </c>
    </row>
    <row r="4384">
      <c r="A4384" s="2">
        <f>IFERROR(__xludf.DUMMYFUNCTION("""COMPUTED_VALUE"""),37726.666666666664)</f>
        <v>37726.66667</v>
      </c>
      <c r="B4384" s="1">
        <f>IFERROR(__xludf.DUMMYFUNCTION("""COMPUTED_VALUE"""),884.78)</f>
        <v>884.78</v>
      </c>
      <c r="C4384" s="1">
        <f>IFERROR(__xludf.DUMMYFUNCTION("""COMPUTED_VALUE"""),891.27)</f>
        <v>891.27</v>
      </c>
      <c r="D4384" s="1">
        <f>IFERROR(__xludf.DUMMYFUNCTION("""COMPUTED_VALUE"""),881.85)</f>
        <v>881.85</v>
      </c>
      <c r="E4384" s="1">
        <f>IFERROR(__xludf.DUMMYFUNCTION("""COMPUTED_VALUE"""),890.81)</f>
        <v>890.81</v>
      </c>
      <c r="F4384" s="1">
        <f>IFERROR(__xludf.DUMMYFUNCTION("""COMPUTED_VALUE"""),1.4602E8)</f>
        <v>146020000</v>
      </c>
    </row>
    <row r="4385">
      <c r="A4385" s="2">
        <f>IFERROR(__xludf.DUMMYFUNCTION("""COMPUTED_VALUE"""),37727.666666666664)</f>
        <v>37727.66667</v>
      </c>
      <c r="B4385" s="1">
        <f>IFERROR(__xludf.DUMMYFUNCTION("""COMPUTED_VALUE"""),890.81)</f>
        <v>890.81</v>
      </c>
      <c r="C4385" s="1">
        <f>IFERROR(__xludf.DUMMYFUNCTION("""COMPUTED_VALUE"""),896.77)</f>
        <v>896.77</v>
      </c>
      <c r="D4385" s="1">
        <f>IFERROR(__xludf.DUMMYFUNCTION("""COMPUTED_VALUE"""),877.93)</f>
        <v>877.93</v>
      </c>
      <c r="E4385" s="1">
        <f>IFERROR(__xludf.DUMMYFUNCTION("""COMPUTED_VALUE"""),879.91)</f>
        <v>879.91</v>
      </c>
      <c r="F4385" s="1">
        <f>IFERROR(__xludf.DUMMYFUNCTION("""COMPUTED_VALUE"""),1.5876E8)</f>
        <v>158760000</v>
      </c>
    </row>
    <row r="4386">
      <c r="A4386" s="2">
        <f>IFERROR(__xludf.DUMMYFUNCTION("""COMPUTED_VALUE"""),37728.666666666664)</f>
        <v>37728.66667</v>
      </c>
      <c r="B4386" s="1">
        <f>IFERROR(__xludf.DUMMYFUNCTION("""COMPUTED_VALUE"""),879.2)</f>
        <v>879.2</v>
      </c>
      <c r="C4386" s="1">
        <f>IFERROR(__xludf.DUMMYFUNCTION("""COMPUTED_VALUE"""),893.83)</f>
        <v>893.83</v>
      </c>
      <c r="D4386" s="1">
        <f>IFERROR(__xludf.DUMMYFUNCTION("""COMPUTED_VALUE"""),879.2)</f>
        <v>879.2</v>
      </c>
      <c r="E4386" s="1">
        <f>IFERROR(__xludf.DUMMYFUNCTION("""COMPUTED_VALUE"""),893.58)</f>
        <v>893.58</v>
      </c>
      <c r="F4386" s="1">
        <f>IFERROR(__xludf.DUMMYFUNCTION("""COMPUTED_VALUE"""),1.4306E8)</f>
        <v>143060000</v>
      </c>
    </row>
    <row r="4387">
      <c r="A4387" s="2">
        <f>IFERROR(__xludf.DUMMYFUNCTION("""COMPUTED_VALUE"""),37732.666666666664)</f>
        <v>37732.66667</v>
      </c>
      <c r="B4387" s="1">
        <f>IFERROR(__xludf.DUMMYFUNCTION("""COMPUTED_VALUE"""),893.66)</f>
        <v>893.66</v>
      </c>
      <c r="C4387" s="1">
        <f>IFERROR(__xludf.DUMMYFUNCTION("""COMPUTED_VALUE"""),898.01)</f>
        <v>898.01</v>
      </c>
      <c r="D4387" s="1">
        <f>IFERROR(__xludf.DUMMYFUNCTION("""COMPUTED_VALUE"""),888.17)</f>
        <v>888.17</v>
      </c>
      <c r="E4387" s="1">
        <f>IFERROR(__xludf.DUMMYFUNCTION("""COMPUTED_VALUE"""),892.01)</f>
        <v>892.01</v>
      </c>
      <c r="F4387" s="1">
        <f>IFERROR(__xludf.DUMMYFUNCTION("""COMPUTED_VALUE"""),1.1187E8)</f>
        <v>111870000</v>
      </c>
    </row>
    <row r="4388">
      <c r="A4388" s="2">
        <f>IFERROR(__xludf.DUMMYFUNCTION("""COMPUTED_VALUE"""),37733.666666666664)</f>
        <v>37733.66667</v>
      </c>
      <c r="B4388" s="1">
        <f>IFERROR(__xludf.DUMMYFUNCTION("""COMPUTED_VALUE"""),890.63)</f>
        <v>890.63</v>
      </c>
      <c r="C4388" s="1">
        <f>IFERROR(__xludf.DUMMYFUNCTION("""COMPUTED_VALUE"""),911.74)</f>
        <v>911.74</v>
      </c>
      <c r="D4388" s="1">
        <f>IFERROR(__xludf.DUMMYFUNCTION("""COMPUTED_VALUE"""),886.7)</f>
        <v>886.7</v>
      </c>
      <c r="E4388" s="1">
        <f>IFERROR(__xludf.DUMMYFUNCTION("""COMPUTED_VALUE"""),911.37)</f>
        <v>911.37</v>
      </c>
      <c r="F4388" s="1">
        <f>IFERROR(__xludf.DUMMYFUNCTION("""COMPUTED_VALUE"""),1.6312E8)</f>
        <v>163120000</v>
      </c>
    </row>
    <row r="4389">
      <c r="A4389" s="2">
        <f>IFERROR(__xludf.DUMMYFUNCTION("""COMPUTED_VALUE"""),37734.666666666664)</f>
        <v>37734.66667</v>
      </c>
      <c r="B4389" s="1">
        <f>IFERROR(__xludf.DUMMYFUNCTION("""COMPUTED_VALUE"""),911.5)</f>
        <v>911.5</v>
      </c>
      <c r="C4389" s="1">
        <f>IFERROR(__xludf.DUMMYFUNCTION("""COMPUTED_VALUE"""),919.74)</f>
        <v>919.74</v>
      </c>
      <c r="D4389" s="1">
        <f>IFERROR(__xludf.DUMMYFUNCTION("""COMPUTED_VALUE"""),909.89)</f>
        <v>909.89</v>
      </c>
      <c r="E4389" s="1">
        <f>IFERROR(__xludf.DUMMYFUNCTION("""COMPUTED_VALUE"""),919.02)</f>
        <v>919.02</v>
      </c>
      <c r="F4389" s="1">
        <f>IFERROR(__xludf.DUMMYFUNCTION("""COMPUTED_VALUE"""),1.6672E8)</f>
        <v>166720000</v>
      </c>
    </row>
    <row r="4390">
      <c r="A4390" s="2">
        <f>IFERROR(__xludf.DUMMYFUNCTION("""COMPUTED_VALUE"""),37735.666666666664)</f>
        <v>37735.66667</v>
      </c>
      <c r="B4390" s="1">
        <f>IFERROR(__xludf.DUMMYFUNCTION("""COMPUTED_VALUE"""),917.21)</f>
        <v>917.21</v>
      </c>
      <c r="C4390" s="1">
        <f>IFERROR(__xludf.DUMMYFUNCTION("""COMPUTED_VALUE"""),917.21)</f>
        <v>917.21</v>
      </c>
      <c r="D4390" s="1">
        <f>IFERROR(__xludf.DUMMYFUNCTION("""COMPUTED_VALUE"""),906.69)</f>
        <v>906.69</v>
      </c>
      <c r="E4390" s="1">
        <f>IFERROR(__xludf.DUMMYFUNCTION("""COMPUTED_VALUE"""),911.43)</f>
        <v>911.43</v>
      </c>
      <c r="F4390" s="1">
        <f>IFERROR(__xludf.DUMMYFUNCTION("""COMPUTED_VALUE"""),1.6481E8)</f>
        <v>164810000</v>
      </c>
    </row>
    <row r="4391">
      <c r="A4391" s="2">
        <f>IFERROR(__xludf.DUMMYFUNCTION("""COMPUTED_VALUE"""),37736.666666666664)</f>
        <v>37736.66667</v>
      </c>
      <c r="B4391" s="1">
        <f>IFERROR(__xludf.DUMMYFUNCTION("""COMPUTED_VALUE"""),910.57)</f>
        <v>910.57</v>
      </c>
      <c r="C4391" s="1">
        <f>IFERROR(__xludf.DUMMYFUNCTION("""COMPUTED_VALUE"""),911.13)</f>
        <v>911.13</v>
      </c>
      <c r="D4391" s="1">
        <f>IFERROR(__xludf.DUMMYFUNCTION("""COMPUTED_VALUE"""),897.52)</f>
        <v>897.52</v>
      </c>
      <c r="E4391" s="1">
        <f>IFERROR(__xludf.DUMMYFUNCTION("""COMPUTED_VALUE"""),898.81)</f>
        <v>898.81</v>
      </c>
      <c r="F4391" s="1">
        <f>IFERROR(__xludf.DUMMYFUNCTION("""COMPUTED_VALUE"""),1.3358E8)</f>
        <v>133580000</v>
      </c>
    </row>
    <row r="4392">
      <c r="A4392" s="2">
        <f>IFERROR(__xludf.DUMMYFUNCTION("""COMPUTED_VALUE"""),37739.666666666664)</f>
        <v>37739.66667</v>
      </c>
      <c r="B4392" s="1">
        <f>IFERROR(__xludf.DUMMYFUNCTION("""COMPUTED_VALUE"""),899.19)</f>
        <v>899.19</v>
      </c>
      <c r="C4392" s="1">
        <f>IFERROR(__xludf.DUMMYFUNCTION("""COMPUTED_VALUE"""),918.15)</f>
        <v>918.15</v>
      </c>
      <c r="D4392" s="1">
        <f>IFERROR(__xludf.DUMMYFUNCTION("""COMPUTED_VALUE"""),899.19)</f>
        <v>899.19</v>
      </c>
      <c r="E4392" s="1">
        <f>IFERROR(__xludf.DUMMYFUNCTION("""COMPUTED_VALUE"""),914.84)</f>
        <v>914.84</v>
      </c>
      <c r="F4392" s="1">
        <f>IFERROR(__xludf.DUMMYFUNCTION("""COMPUTED_VALUE"""),1.273E8)</f>
        <v>127300000</v>
      </c>
    </row>
    <row r="4393">
      <c r="A4393" s="2">
        <f>IFERROR(__xludf.DUMMYFUNCTION("""COMPUTED_VALUE"""),37740.666666666664)</f>
        <v>37740.66667</v>
      </c>
      <c r="B4393" s="1">
        <f>IFERROR(__xludf.DUMMYFUNCTION("""COMPUTED_VALUE"""),914.84)</f>
        <v>914.84</v>
      </c>
      <c r="C4393" s="1">
        <f>IFERROR(__xludf.DUMMYFUNCTION("""COMPUTED_VALUE"""),924.24)</f>
        <v>924.24</v>
      </c>
      <c r="D4393" s="1">
        <f>IFERROR(__xludf.DUMMYFUNCTION("""COMPUTED_VALUE"""),911.1)</f>
        <v>911.1</v>
      </c>
      <c r="E4393" s="1">
        <f>IFERROR(__xludf.DUMMYFUNCTION("""COMPUTED_VALUE"""),917.84)</f>
        <v>917.84</v>
      </c>
      <c r="F4393" s="1">
        <f>IFERROR(__xludf.DUMMYFUNCTION("""COMPUTED_VALUE"""),1.5256E8)</f>
        <v>152560000</v>
      </c>
    </row>
    <row r="4394">
      <c r="A4394" s="2">
        <f>IFERROR(__xludf.DUMMYFUNCTION("""COMPUTED_VALUE"""),37741.666666666664)</f>
        <v>37741.66667</v>
      </c>
      <c r="B4394" s="1">
        <f>IFERROR(__xludf.DUMMYFUNCTION("""COMPUTED_VALUE"""),917.34)</f>
        <v>917.34</v>
      </c>
      <c r="C4394" s="1">
        <f>IFERROR(__xludf.DUMMYFUNCTION("""COMPUTED_VALUE"""),922.01)</f>
        <v>922.01</v>
      </c>
      <c r="D4394" s="1">
        <f>IFERROR(__xludf.DUMMYFUNCTION("""COMPUTED_VALUE"""),911.7)</f>
        <v>911.7</v>
      </c>
      <c r="E4394" s="1">
        <f>IFERROR(__xludf.DUMMYFUNCTION("""COMPUTED_VALUE"""),916.92)</f>
        <v>916.92</v>
      </c>
      <c r="F4394" s="1">
        <f>IFERROR(__xludf.DUMMYFUNCTION("""COMPUTED_VALUE"""),1.78851008E8)</f>
        <v>178851008</v>
      </c>
    </row>
    <row r="4395">
      <c r="A4395" s="2">
        <f>IFERROR(__xludf.DUMMYFUNCTION("""COMPUTED_VALUE"""),37742.666666666664)</f>
        <v>37742.66667</v>
      </c>
      <c r="B4395" s="1">
        <f>IFERROR(__xludf.DUMMYFUNCTION("""COMPUTED_VALUE"""),916.8)</f>
        <v>916.8</v>
      </c>
      <c r="C4395" s="1">
        <f>IFERROR(__xludf.DUMMYFUNCTION("""COMPUTED_VALUE"""),919.68)</f>
        <v>919.68</v>
      </c>
      <c r="D4395" s="1">
        <f>IFERROR(__xludf.DUMMYFUNCTION("""COMPUTED_VALUE"""),902.83)</f>
        <v>902.83</v>
      </c>
      <c r="E4395" s="1">
        <f>IFERROR(__xludf.DUMMYFUNCTION("""COMPUTED_VALUE"""),916.3)</f>
        <v>916.3</v>
      </c>
      <c r="F4395" s="1">
        <f>IFERROR(__xludf.DUMMYFUNCTION("""COMPUTED_VALUE"""),1.3975E8)</f>
        <v>139750000</v>
      </c>
    </row>
    <row r="4396">
      <c r="A4396" s="2">
        <f>IFERROR(__xludf.DUMMYFUNCTION("""COMPUTED_VALUE"""),37743.666666666664)</f>
        <v>37743.66667</v>
      </c>
      <c r="B4396" s="1">
        <f>IFERROR(__xludf.DUMMYFUNCTION("""COMPUTED_VALUE"""),915.08)</f>
        <v>915.08</v>
      </c>
      <c r="C4396" s="1">
        <f>IFERROR(__xludf.DUMMYFUNCTION("""COMPUTED_VALUE"""),930.56)</f>
        <v>930.56</v>
      </c>
      <c r="D4396" s="1">
        <f>IFERROR(__xludf.DUMMYFUNCTION("""COMPUTED_VALUE"""),912.35)</f>
        <v>912.35</v>
      </c>
      <c r="E4396" s="1">
        <f>IFERROR(__xludf.DUMMYFUNCTION("""COMPUTED_VALUE"""),930.08)</f>
        <v>930.08</v>
      </c>
      <c r="F4396" s="1">
        <f>IFERROR(__xludf.DUMMYFUNCTION("""COMPUTED_VALUE"""),1.5543E8)</f>
        <v>155430000</v>
      </c>
    </row>
    <row r="4397">
      <c r="A4397" s="2">
        <f>IFERROR(__xludf.DUMMYFUNCTION("""COMPUTED_VALUE"""),37746.666666666664)</f>
        <v>37746.66667</v>
      </c>
      <c r="B4397" s="1">
        <f>IFERROR(__xludf.DUMMYFUNCTION("""COMPUTED_VALUE"""),930.57)</f>
        <v>930.57</v>
      </c>
      <c r="C4397" s="1">
        <f>IFERROR(__xludf.DUMMYFUNCTION("""COMPUTED_VALUE"""),933.88)</f>
        <v>933.88</v>
      </c>
      <c r="D4397" s="1">
        <f>IFERROR(__xludf.DUMMYFUNCTION("""COMPUTED_VALUE"""),924.55)</f>
        <v>924.55</v>
      </c>
      <c r="E4397" s="1">
        <f>IFERROR(__xludf.DUMMYFUNCTION("""COMPUTED_VALUE"""),926.55)</f>
        <v>926.55</v>
      </c>
      <c r="F4397" s="1">
        <f>IFERROR(__xludf.DUMMYFUNCTION("""COMPUTED_VALUE"""),1.4463E8)</f>
        <v>144630000</v>
      </c>
    </row>
    <row r="4398">
      <c r="A4398" s="2">
        <f>IFERROR(__xludf.DUMMYFUNCTION("""COMPUTED_VALUE"""),37747.666666666664)</f>
        <v>37747.66667</v>
      </c>
      <c r="B4398" s="1">
        <f>IFERROR(__xludf.DUMMYFUNCTION("""COMPUTED_VALUE"""),926.38)</f>
        <v>926.38</v>
      </c>
      <c r="C4398" s="1">
        <f>IFERROR(__xludf.DUMMYFUNCTION("""COMPUTED_VALUE"""),939.61)</f>
        <v>939.61</v>
      </c>
      <c r="D4398" s="1">
        <f>IFERROR(__xludf.DUMMYFUNCTION("""COMPUTED_VALUE"""),926.38)</f>
        <v>926.38</v>
      </c>
      <c r="E4398" s="1">
        <f>IFERROR(__xludf.DUMMYFUNCTION("""COMPUTED_VALUE"""),934.39)</f>
        <v>934.39</v>
      </c>
      <c r="F4398" s="1">
        <f>IFERROR(__xludf.DUMMYFUNCTION("""COMPUTED_VALUE"""),1.6496E8)</f>
        <v>164960000</v>
      </c>
    </row>
    <row r="4399">
      <c r="A4399" s="2">
        <f>IFERROR(__xludf.DUMMYFUNCTION("""COMPUTED_VALUE"""),37748.666666666664)</f>
        <v>37748.66667</v>
      </c>
      <c r="B4399" s="1">
        <f>IFERROR(__xludf.DUMMYFUNCTION("""COMPUTED_VALUE"""),932.75)</f>
        <v>932.75</v>
      </c>
      <c r="C4399" s="1">
        <f>IFERROR(__xludf.DUMMYFUNCTION("""COMPUTED_VALUE"""),937.22)</f>
        <v>937.22</v>
      </c>
      <c r="D4399" s="1">
        <f>IFERROR(__xludf.DUMMYFUNCTION("""COMPUTED_VALUE"""),926.41)</f>
        <v>926.41</v>
      </c>
      <c r="E4399" s="1">
        <f>IFERROR(__xludf.DUMMYFUNCTION("""COMPUTED_VALUE"""),929.62)</f>
        <v>929.62</v>
      </c>
      <c r="F4399" s="1">
        <f>IFERROR(__xludf.DUMMYFUNCTION("""COMPUTED_VALUE"""),1.5319E8)</f>
        <v>153190000</v>
      </c>
    </row>
    <row r="4400">
      <c r="A4400" s="2">
        <f>IFERROR(__xludf.DUMMYFUNCTION("""COMPUTED_VALUE"""),37749.666666666664)</f>
        <v>37749.66667</v>
      </c>
      <c r="B4400" s="1">
        <f>IFERROR(__xludf.DUMMYFUNCTION("""COMPUTED_VALUE"""),929.62)</f>
        <v>929.62</v>
      </c>
      <c r="C4400" s="1">
        <f>IFERROR(__xludf.DUMMYFUNCTION("""COMPUTED_VALUE"""),929.62)</f>
        <v>929.62</v>
      </c>
      <c r="D4400" s="1">
        <f>IFERROR(__xludf.DUMMYFUNCTION("""COMPUTED_VALUE"""),919.72)</f>
        <v>919.72</v>
      </c>
      <c r="E4400" s="1">
        <f>IFERROR(__xludf.DUMMYFUNCTION("""COMPUTED_VALUE"""),920.27)</f>
        <v>920.27</v>
      </c>
      <c r="F4400" s="1">
        <f>IFERROR(__xludf.DUMMYFUNCTION("""COMPUTED_VALUE"""),1.3796E8)</f>
        <v>137960000</v>
      </c>
    </row>
    <row r="4401">
      <c r="A4401" s="2">
        <f>IFERROR(__xludf.DUMMYFUNCTION("""COMPUTED_VALUE"""),37750.666666666664)</f>
        <v>37750.66667</v>
      </c>
      <c r="B4401" s="1">
        <f>IFERROR(__xludf.DUMMYFUNCTION("""COMPUTED_VALUE"""),921.85)</f>
        <v>921.85</v>
      </c>
      <c r="C4401" s="1">
        <f>IFERROR(__xludf.DUMMYFUNCTION("""COMPUTED_VALUE"""),933.77)</f>
        <v>933.77</v>
      </c>
      <c r="D4401" s="1">
        <f>IFERROR(__xludf.DUMMYFUNCTION("""COMPUTED_VALUE"""),921.85)</f>
        <v>921.85</v>
      </c>
      <c r="E4401" s="1">
        <f>IFERROR(__xludf.DUMMYFUNCTION("""COMPUTED_VALUE"""),933.41)</f>
        <v>933.41</v>
      </c>
      <c r="F4401" s="1">
        <f>IFERROR(__xludf.DUMMYFUNCTION("""COMPUTED_VALUE"""),1.3261E8)</f>
        <v>132610000</v>
      </c>
    </row>
    <row r="4402">
      <c r="A4402" s="2">
        <f>IFERROR(__xludf.DUMMYFUNCTION("""COMPUTED_VALUE"""),37753.666666666664)</f>
        <v>37753.66667</v>
      </c>
      <c r="B4402" s="1">
        <f>IFERROR(__xludf.DUMMYFUNCTION("""COMPUTED_VALUE"""),933.05)</f>
        <v>933.05</v>
      </c>
      <c r="C4402" s="1">
        <f>IFERROR(__xludf.DUMMYFUNCTION("""COMPUTED_VALUE"""),946.84)</f>
        <v>946.84</v>
      </c>
      <c r="D4402" s="1">
        <f>IFERROR(__xludf.DUMMYFUNCTION("""COMPUTED_VALUE"""),929.3)</f>
        <v>929.3</v>
      </c>
      <c r="E4402" s="1">
        <f>IFERROR(__xludf.DUMMYFUNCTION("""COMPUTED_VALUE"""),945.11)</f>
        <v>945.11</v>
      </c>
      <c r="F4402" s="1">
        <f>IFERROR(__xludf.DUMMYFUNCTION("""COMPUTED_VALUE"""),1.3788E8)</f>
        <v>137880000</v>
      </c>
    </row>
    <row r="4403">
      <c r="A4403" s="2">
        <f>IFERROR(__xludf.DUMMYFUNCTION("""COMPUTED_VALUE"""),37754.666666666664)</f>
        <v>37754.66667</v>
      </c>
      <c r="B4403" s="1">
        <f>IFERROR(__xludf.DUMMYFUNCTION("""COMPUTED_VALUE"""),945.11)</f>
        <v>945.11</v>
      </c>
      <c r="C4403" s="1">
        <f>IFERROR(__xludf.DUMMYFUNCTION("""COMPUTED_VALUE"""),947.51)</f>
        <v>947.51</v>
      </c>
      <c r="D4403" s="1">
        <f>IFERROR(__xludf.DUMMYFUNCTION("""COMPUTED_VALUE"""),938.91)</f>
        <v>938.91</v>
      </c>
      <c r="E4403" s="1">
        <f>IFERROR(__xludf.DUMMYFUNCTION("""COMPUTED_VALUE"""),942.3)</f>
        <v>942.3</v>
      </c>
      <c r="F4403" s="1">
        <f>IFERROR(__xludf.DUMMYFUNCTION("""COMPUTED_VALUE"""),1.4181E8)</f>
        <v>141810000</v>
      </c>
    </row>
    <row r="4404">
      <c r="A4404" s="2">
        <f>IFERROR(__xludf.DUMMYFUNCTION("""COMPUTED_VALUE"""),37755.666666666664)</f>
        <v>37755.66667</v>
      </c>
      <c r="B4404" s="1">
        <f>IFERROR(__xludf.DUMMYFUNCTION("""COMPUTED_VALUE"""),943.18)</f>
        <v>943.18</v>
      </c>
      <c r="C4404" s="1">
        <f>IFERROR(__xludf.DUMMYFUNCTION("""COMPUTED_VALUE"""),947.29)</f>
        <v>947.29</v>
      </c>
      <c r="D4404" s="1">
        <f>IFERROR(__xludf.DUMMYFUNCTION("""COMPUTED_VALUE"""),935.24)</f>
        <v>935.24</v>
      </c>
      <c r="E4404" s="1">
        <f>IFERROR(__xludf.DUMMYFUNCTION("""COMPUTED_VALUE"""),939.28)</f>
        <v>939.28</v>
      </c>
      <c r="F4404" s="1">
        <f>IFERROR(__xludf.DUMMYFUNCTION("""COMPUTED_VALUE"""),1.4018E8)</f>
        <v>140180000</v>
      </c>
    </row>
    <row r="4405">
      <c r="A4405" s="2">
        <f>IFERROR(__xludf.DUMMYFUNCTION("""COMPUTED_VALUE"""),37756.666666666664)</f>
        <v>37756.66667</v>
      </c>
      <c r="B4405" s="1">
        <f>IFERROR(__xludf.DUMMYFUNCTION("""COMPUTED_VALUE"""),940.47)</f>
        <v>940.47</v>
      </c>
      <c r="C4405" s="1">
        <f>IFERROR(__xludf.DUMMYFUNCTION("""COMPUTED_VALUE"""),948.23)</f>
        <v>948.23</v>
      </c>
      <c r="D4405" s="1">
        <f>IFERROR(__xludf.DUMMYFUNCTION("""COMPUTED_VALUE"""),938.79)</f>
        <v>938.79</v>
      </c>
      <c r="E4405" s="1">
        <f>IFERROR(__xludf.DUMMYFUNCTION("""COMPUTED_VALUE"""),946.67)</f>
        <v>946.67</v>
      </c>
      <c r="F4405" s="1">
        <f>IFERROR(__xludf.DUMMYFUNCTION("""COMPUTED_VALUE"""),1.5087E8)</f>
        <v>150870000</v>
      </c>
    </row>
    <row r="4406">
      <c r="A4406" s="2">
        <f>IFERROR(__xludf.DUMMYFUNCTION("""COMPUTED_VALUE"""),37757.666666666664)</f>
        <v>37757.66667</v>
      </c>
      <c r="B4406" s="1">
        <f>IFERROR(__xludf.DUMMYFUNCTION("""COMPUTED_VALUE"""),946.5)</f>
        <v>946.5</v>
      </c>
      <c r="C4406" s="1">
        <f>IFERROR(__xludf.DUMMYFUNCTION("""COMPUTED_VALUE"""),948.65)</f>
        <v>948.65</v>
      </c>
      <c r="D4406" s="1">
        <f>IFERROR(__xludf.DUMMYFUNCTION("""COMPUTED_VALUE"""),938.6)</f>
        <v>938.6</v>
      </c>
      <c r="E4406" s="1">
        <f>IFERROR(__xludf.DUMMYFUNCTION("""COMPUTED_VALUE"""),944.3)</f>
        <v>944.3</v>
      </c>
      <c r="F4406" s="1">
        <f>IFERROR(__xludf.DUMMYFUNCTION("""COMPUTED_VALUE"""),1.5055E8)</f>
        <v>150550000</v>
      </c>
    </row>
    <row r="4407">
      <c r="A4407" s="2">
        <f>IFERROR(__xludf.DUMMYFUNCTION("""COMPUTED_VALUE"""),37760.666666666664)</f>
        <v>37760.66667</v>
      </c>
      <c r="B4407" s="1">
        <f>IFERROR(__xludf.DUMMYFUNCTION("""COMPUTED_VALUE"""),942.46)</f>
        <v>942.46</v>
      </c>
      <c r="C4407" s="1">
        <f>IFERROR(__xludf.DUMMYFUNCTION("""COMPUTED_VALUE"""),942.46)</f>
        <v>942.46</v>
      </c>
      <c r="D4407" s="1">
        <f>IFERROR(__xludf.DUMMYFUNCTION("""COMPUTED_VALUE"""),920.23)</f>
        <v>920.23</v>
      </c>
      <c r="E4407" s="1">
        <f>IFERROR(__xludf.DUMMYFUNCTION("""COMPUTED_VALUE"""),920.77)</f>
        <v>920.77</v>
      </c>
      <c r="F4407" s="1">
        <f>IFERROR(__xludf.DUMMYFUNCTION("""COMPUTED_VALUE"""),1.3757E8)</f>
        <v>137570000</v>
      </c>
    </row>
    <row r="4408">
      <c r="A4408" s="2">
        <f>IFERROR(__xludf.DUMMYFUNCTION("""COMPUTED_VALUE"""),37761.666666666664)</f>
        <v>37761.66667</v>
      </c>
      <c r="B4408" s="1">
        <f>IFERROR(__xludf.DUMMYFUNCTION("""COMPUTED_VALUE"""),921.62)</f>
        <v>921.62</v>
      </c>
      <c r="C4408" s="1">
        <f>IFERROR(__xludf.DUMMYFUNCTION("""COMPUTED_VALUE"""),925.34)</f>
        <v>925.34</v>
      </c>
      <c r="D4408" s="1">
        <f>IFERROR(__xludf.DUMMYFUNCTION("""COMPUTED_VALUE"""),912.05)</f>
        <v>912.05</v>
      </c>
      <c r="E4408" s="1">
        <f>IFERROR(__xludf.DUMMYFUNCTION("""COMPUTED_VALUE"""),919.73)</f>
        <v>919.73</v>
      </c>
      <c r="F4408" s="1">
        <f>IFERROR(__xludf.DUMMYFUNCTION("""COMPUTED_VALUE"""),1.5053E8)</f>
        <v>150530000</v>
      </c>
    </row>
    <row r="4409">
      <c r="A4409" s="2">
        <f>IFERROR(__xludf.DUMMYFUNCTION("""COMPUTED_VALUE"""),37762.666666666664)</f>
        <v>37762.66667</v>
      </c>
      <c r="B4409" s="1">
        <f>IFERROR(__xludf.DUMMYFUNCTION("""COMPUTED_VALUE"""),919.01)</f>
        <v>919.01</v>
      </c>
      <c r="C4409" s="1">
        <f>IFERROR(__xludf.DUMMYFUNCTION("""COMPUTED_VALUE"""),923.85)</f>
        <v>923.85</v>
      </c>
      <c r="D4409" s="1">
        <f>IFERROR(__xludf.DUMMYFUNCTION("""COMPUTED_VALUE"""),914.91)</f>
        <v>914.91</v>
      </c>
      <c r="E4409" s="1">
        <f>IFERROR(__xludf.DUMMYFUNCTION("""COMPUTED_VALUE"""),923.42)</f>
        <v>923.42</v>
      </c>
      <c r="F4409" s="1">
        <f>IFERROR(__xludf.DUMMYFUNCTION("""COMPUTED_VALUE"""),1.4578E8)</f>
        <v>145780000</v>
      </c>
    </row>
    <row r="4410">
      <c r="A4410" s="2">
        <f>IFERROR(__xludf.DUMMYFUNCTION("""COMPUTED_VALUE"""),37763.666666666664)</f>
        <v>37763.66667</v>
      </c>
      <c r="B4410" s="1">
        <f>IFERROR(__xludf.DUMMYFUNCTION("""COMPUTED_VALUE"""),923.53)</f>
        <v>923.53</v>
      </c>
      <c r="C4410" s="1">
        <f>IFERROR(__xludf.DUMMYFUNCTION("""COMPUTED_VALUE"""),935.3)</f>
        <v>935.3</v>
      </c>
      <c r="D4410" s="1">
        <f>IFERROR(__xludf.DUMMYFUNCTION("""COMPUTED_VALUE"""),922.54)</f>
        <v>922.54</v>
      </c>
      <c r="E4410" s="1">
        <f>IFERROR(__xludf.DUMMYFUNCTION("""COMPUTED_VALUE"""),931.87)</f>
        <v>931.87</v>
      </c>
      <c r="F4410" s="1">
        <f>IFERROR(__xludf.DUMMYFUNCTION("""COMPUTED_VALUE"""),1.4485E8)</f>
        <v>144850000</v>
      </c>
    </row>
    <row r="4411">
      <c r="A4411" s="2">
        <f>IFERROR(__xludf.DUMMYFUNCTION("""COMPUTED_VALUE"""),37764.666666666664)</f>
        <v>37764.66667</v>
      </c>
      <c r="B4411" s="1">
        <f>IFERROR(__xludf.DUMMYFUNCTION("""COMPUTED_VALUE"""),931.68)</f>
        <v>931.68</v>
      </c>
      <c r="C4411" s="1">
        <f>IFERROR(__xludf.DUMMYFUNCTION("""COMPUTED_VALUE"""),935.2)</f>
        <v>935.2</v>
      </c>
      <c r="D4411" s="1">
        <f>IFERROR(__xludf.DUMMYFUNCTION("""COMPUTED_VALUE"""),927.42)</f>
        <v>927.42</v>
      </c>
      <c r="E4411" s="1">
        <f>IFERROR(__xludf.DUMMYFUNCTION("""COMPUTED_VALUE"""),933.22)</f>
        <v>933.22</v>
      </c>
      <c r="F4411" s="1">
        <f>IFERROR(__xludf.DUMMYFUNCTION("""COMPUTED_VALUE"""),1.201E8)</f>
        <v>120100000</v>
      </c>
    </row>
    <row r="4412">
      <c r="A4412" s="2">
        <f>IFERROR(__xludf.DUMMYFUNCTION("""COMPUTED_VALUE"""),37768.666666666664)</f>
        <v>37768.66667</v>
      </c>
      <c r="B4412" s="1">
        <f>IFERROR(__xludf.DUMMYFUNCTION("""COMPUTED_VALUE"""),932.16)</f>
        <v>932.16</v>
      </c>
      <c r="C4412" s="1">
        <f>IFERROR(__xludf.DUMMYFUNCTION("""COMPUTED_VALUE"""),952.76)</f>
        <v>952.76</v>
      </c>
      <c r="D4412" s="1">
        <f>IFERROR(__xludf.DUMMYFUNCTION("""COMPUTED_VALUE"""),927.33)</f>
        <v>927.33</v>
      </c>
      <c r="E4412" s="1">
        <f>IFERROR(__xludf.DUMMYFUNCTION("""COMPUTED_VALUE"""),951.48)</f>
        <v>951.48</v>
      </c>
      <c r="F4412" s="1">
        <f>IFERROR(__xludf.DUMMYFUNCTION("""COMPUTED_VALUE"""),1.532E8)</f>
        <v>153200000</v>
      </c>
    </row>
    <row r="4413">
      <c r="A4413" s="2">
        <f>IFERROR(__xludf.DUMMYFUNCTION("""COMPUTED_VALUE"""),37769.666666666664)</f>
        <v>37769.66667</v>
      </c>
      <c r="B4413" s="1">
        <f>IFERROR(__xludf.DUMMYFUNCTION("""COMPUTED_VALUE"""),951.78)</f>
        <v>951.78</v>
      </c>
      <c r="C4413" s="1">
        <f>IFERROR(__xludf.DUMMYFUNCTION("""COMPUTED_VALUE"""),959.39)</f>
        <v>959.39</v>
      </c>
      <c r="D4413" s="1">
        <f>IFERROR(__xludf.DUMMYFUNCTION("""COMPUTED_VALUE"""),950.12)</f>
        <v>950.12</v>
      </c>
      <c r="E4413" s="1">
        <f>IFERROR(__xludf.DUMMYFUNCTION("""COMPUTED_VALUE"""),953.22)</f>
        <v>953.22</v>
      </c>
      <c r="F4413" s="1">
        <f>IFERROR(__xludf.DUMMYFUNCTION("""COMPUTED_VALUE"""),1.559E8)</f>
        <v>155900000</v>
      </c>
    </row>
    <row r="4414">
      <c r="A4414" s="2">
        <f>IFERROR(__xludf.DUMMYFUNCTION("""COMPUTED_VALUE"""),37770.666666666664)</f>
        <v>37770.66667</v>
      </c>
      <c r="B4414" s="1">
        <f>IFERROR(__xludf.DUMMYFUNCTION("""COMPUTED_VALUE"""),953.22)</f>
        <v>953.22</v>
      </c>
      <c r="C4414" s="1">
        <f>IFERROR(__xludf.DUMMYFUNCTION("""COMPUTED_VALUE"""),962.08)</f>
        <v>962.08</v>
      </c>
      <c r="D4414" s="1">
        <f>IFERROR(__xludf.DUMMYFUNCTION("""COMPUTED_VALUE"""),946.23)</f>
        <v>946.23</v>
      </c>
      <c r="E4414" s="1">
        <f>IFERROR(__xludf.DUMMYFUNCTION("""COMPUTED_VALUE"""),949.64)</f>
        <v>949.64</v>
      </c>
      <c r="F4414" s="1">
        <f>IFERROR(__xludf.DUMMYFUNCTION("""COMPUTED_VALUE"""),1.6858E8)</f>
        <v>168580000</v>
      </c>
    </row>
    <row r="4415">
      <c r="A4415" s="2">
        <f>IFERROR(__xludf.DUMMYFUNCTION("""COMPUTED_VALUE"""),37771.666666666664)</f>
        <v>37771.66667</v>
      </c>
      <c r="B4415" s="1">
        <f>IFERROR(__xludf.DUMMYFUNCTION("""COMPUTED_VALUE"""),950.7)</f>
        <v>950.7</v>
      </c>
      <c r="C4415" s="1">
        <f>IFERROR(__xludf.DUMMYFUNCTION("""COMPUTED_VALUE"""),965.38)</f>
        <v>965.38</v>
      </c>
      <c r="D4415" s="1">
        <f>IFERROR(__xludf.DUMMYFUNCTION("""COMPUTED_VALUE"""),950.7)</f>
        <v>950.7</v>
      </c>
      <c r="E4415" s="1">
        <f>IFERROR(__xludf.DUMMYFUNCTION("""COMPUTED_VALUE"""),963.59)</f>
        <v>963.59</v>
      </c>
      <c r="F4415" s="1">
        <f>IFERROR(__xludf.DUMMYFUNCTION("""COMPUTED_VALUE"""),1.6888E8)</f>
        <v>168880000</v>
      </c>
    </row>
    <row r="4416">
      <c r="A4416" s="2">
        <f>IFERROR(__xludf.DUMMYFUNCTION("""COMPUTED_VALUE"""),37774.666666666664)</f>
        <v>37774.66667</v>
      </c>
      <c r="B4416" s="1">
        <f>IFERROR(__xludf.DUMMYFUNCTION("""COMPUTED_VALUE"""),965.31)</f>
        <v>965.31</v>
      </c>
      <c r="C4416" s="1">
        <f>IFERROR(__xludf.DUMMYFUNCTION("""COMPUTED_VALUE"""),979.11)</f>
        <v>979.11</v>
      </c>
      <c r="D4416" s="1">
        <f>IFERROR(__xludf.DUMMYFUNCTION("""COMPUTED_VALUE"""),965.31)</f>
        <v>965.31</v>
      </c>
      <c r="E4416" s="1">
        <f>IFERROR(__xludf.DUMMYFUNCTION("""COMPUTED_VALUE"""),967.0)</f>
        <v>967</v>
      </c>
      <c r="F4416" s="1">
        <f>IFERROR(__xludf.DUMMYFUNCTION("""COMPUTED_VALUE"""),1.6625E8)</f>
        <v>166250000</v>
      </c>
    </row>
    <row r="4417">
      <c r="A4417" s="2">
        <f>IFERROR(__xludf.DUMMYFUNCTION("""COMPUTED_VALUE"""),37775.666666666664)</f>
        <v>37775.66667</v>
      </c>
      <c r="B4417" s="1">
        <f>IFERROR(__xludf.DUMMYFUNCTION("""COMPUTED_VALUE"""),967.07)</f>
        <v>967.07</v>
      </c>
      <c r="C4417" s="1">
        <f>IFERROR(__xludf.DUMMYFUNCTION("""COMPUTED_VALUE"""),973.02)</f>
        <v>973.02</v>
      </c>
      <c r="D4417" s="1">
        <f>IFERROR(__xludf.DUMMYFUNCTION("""COMPUTED_VALUE"""),964.47)</f>
        <v>964.47</v>
      </c>
      <c r="E4417" s="1">
        <f>IFERROR(__xludf.DUMMYFUNCTION("""COMPUTED_VALUE"""),971.56)</f>
        <v>971.56</v>
      </c>
      <c r="F4417" s="1">
        <f>IFERROR(__xludf.DUMMYFUNCTION("""COMPUTED_VALUE"""),1.4502E8)</f>
        <v>145020000</v>
      </c>
    </row>
    <row r="4418">
      <c r="A4418" s="2">
        <f>IFERROR(__xludf.DUMMYFUNCTION("""COMPUTED_VALUE"""),37776.666666666664)</f>
        <v>37776.66667</v>
      </c>
      <c r="B4418" s="1">
        <f>IFERROR(__xludf.DUMMYFUNCTION("""COMPUTED_VALUE"""),971.69)</f>
        <v>971.69</v>
      </c>
      <c r="C4418" s="1">
        <f>IFERROR(__xludf.DUMMYFUNCTION("""COMPUTED_VALUE"""),987.85)</f>
        <v>987.85</v>
      </c>
      <c r="D4418" s="1">
        <f>IFERROR(__xludf.DUMMYFUNCTION("""COMPUTED_VALUE"""),970.72)</f>
        <v>970.72</v>
      </c>
      <c r="E4418" s="1">
        <f>IFERROR(__xludf.DUMMYFUNCTION("""COMPUTED_VALUE"""),986.24)</f>
        <v>986.24</v>
      </c>
      <c r="F4418" s="1">
        <f>IFERROR(__xludf.DUMMYFUNCTION("""COMPUTED_VALUE"""),1.6187E8)</f>
        <v>161870000</v>
      </c>
    </row>
    <row r="4419">
      <c r="A4419" s="2">
        <f>IFERROR(__xludf.DUMMYFUNCTION("""COMPUTED_VALUE"""),37777.666666666664)</f>
        <v>37777.66667</v>
      </c>
      <c r="B4419" s="1">
        <f>IFERROR(__xludf.DUMMYFUNCTION("""COMPUTED_VALUE"""),983.94)</f>
        <v>983.94</v>
      </c>
      <c r="C4419" s="1">
        <f>IFERROR(__xludf.DUMMYFUNCTION("""COMPUTED_VALUE"""),990.14)</f>
        <v>990.14</v>
      </c>
      <c r="D4419" s="1">
        <f>IFERROR(__xludf.DUMMYFUNCTION("""COMPUTED_VALUE"""),978.13)</f>
        <v>978.13</v>
      </c>
      <c r="E4419" s="1">
        <f>IFERROR(__xludf.DUMMYFUNCTION("""COMPUTED_VALUE"""),990.14)</f>
        <v>990.14</v>
      </c>
      <c r="F4419" s="1">
        <f>IFERROR(__xludf.DUMMYFUNCTION("""COMPUTED_VALUE"""),1.6931E8)</f>
        <v>169310000</v>
      </c>
    </row>
    <row r="4420">
      <c r="A4420" s="2">
        <f>IFERROR(__xludf.DUMMYFUNCTION("""COMPUTED_VALUE"""),37778.666666666664)</f>
        <v>37778.66667</v>
      </c>
      <c r="B4420" s="1">
        <f>IFERROR(__xludf.DUMMYFUNCTION("""COMPUTED_VALUE"""),990.14)</f>
        <v>990.14</v>
      </c>
      <c r="C4420" s="1">
        <f>IFERROR(__xludf.DUMMYFUNCTION("""COMPUTED_VALUE"""),1007.69)</f>
        <v>1007.69</v>
      </c>
      <c r="D4420" s="1">
        <f>IFERROR(__xludf.DUMMYFUNCTION("""COMPUTED_VALUE"""),986.01)</f>
        <v>986.01</v>
      </c>
      <c r="E4420" s="1">
        <f>IFERROR(__xludf.DUMMYFUNCTION("""COMPUTED_VALUE"""),987.76)</f>
        <v>987.76</v>
      </c>
      <c r="F4420" s="1">
        <f>IFERROR(__xludf.DUMMYFUNCTION("""COMPUTED_VALUE"""),1.8372E8)</f>
        <v>183720000</v>
      </c>
    </row>
    <row r="4421">
      <c r="A4421" s="2">
        <f>IFERROR(__xludf.DUMMYFUNCTION("""COMPUTED_VALUE"""),37781.666666666664)</f>
        <v>37781.66667</v>
      </c>
      <c r="B4421" s="1">
        <f>IFERROR(__xludf.DUMMYFUNCTION("""COMPUTED_VALUE"""),986.82)</f>
        <v>986.82</v>
      </c>
      <c r="C4421" s="1">
        <f>IFERROR(__xludf.DUMMYFUNCTION("""COMPUTED_VALUE"""),986.82)</f>
        <v>986.82</v>
      </c>
      <c r="D4421" s="1">
        <f>IFERROR(__xludf.DUMMYFUNCTION("""COMPUTED_VALUE"""),972.59)</f>
        <v>972.59</v>
      </c>
      <c r="E4421" s="1">
        <f>IFERROR(__xludf.DUMMYFUNCTION("""COMPUTED_VALUE"""),975.93)</f>
        <v>975.93</v>
      </c>
      <c r="F4421" s="1">
        <f>IFERROR(__xludf.DUMMYFUNCTION("""COMPUTED_VALUE"""),1.307E8)</f>
        <v>130700000</v>
      </c>
    </row>
    <row r="4422">
      <c r="A4422" s="2">
        <f>IFERROR(__xludf.DUMMYFUNCTION("""COMPUTED_VALUE"""),37782.666666666664)</f>
        <v>37782.66667</v>
      </c>
      <c r="B4422" s="1">
        <f>IFERROR(__xludf.DUMMYFUNCTION("""COMPUTED_VALUE"""),975.93)</f>
        <v>975.93</v>
      </c>
      <c r="C4422" s="1">
        <f>IFERROR(__xludf.DUMMYFUNCTION("""COMPUTED_VALUE"""),984.84)</f>
        <v>984.84</v>
      </c>
      <c r="D4422" s="1">
        <f>IFERROR(__xludf.DUMMYFUNCTION("""COMPUTED_VALUE"""),975.93)</f>
        <v>975.93</v>
      </c>
      <c r="E4422" s="1">
        <f>IFERROR(__xludf.DUMMYFUNCTION("""COMPUTED_VALUE"""),984.84)</f>
        <v>984.84</v>
      </c>
      <c r="F4422" s="1">
        <f>IFERROR(__xludf.DUMMYFUNCTION("""COMPUTED_VALUE"""),1.2754E8)</f>
        <v>127540000</v>
      </c>
    </row>
    <row r="4423">
      <c r="A4423" s="2">
        <f>IFERROR(__xludf.DUMMYFUNCTION("""COMPUTED_VALUE"""),37783.666666666664)</f>
        <v>37783.66667</v>
      </c>
      <c r="B4423" s="1">
        <f>IFERROR(__xludf.DUMMYFUNCTION("""COMPUTED_VALUE"""),984.84)</f>
        <v>984.84</v>
      </c>
      <c r="C4423" s="1">
        <f>IFERROR(__xludf.DUMMYFUNCTION("""COMPUTED_VALUE"""),997.48)</f>
        <v>997.48</v>
      </c>
      <c r="D4423" s="1">
        <f>IFERROR(__xludf.DUMMYFUNCTION("""COMPUTED_VALUE"""),981.61)</f>
        <v>981.61</v>
      </c>
      <c r="E4423" s="1">
        <f>IFERROR(__xludf.DUMMYFUNCTION("""COMPUTED_VALUE"""),997.48)</f>
        <v>997.48</v>
      </c>
      <c r="F4423" s="1">
        <f>IFERROR(__xludf.DUMMYFUNCTION("""COMPUTED_VALUE"""),1.52E8)</f>
        <v>152000000</v>
      </c>
    </row>
    <row r="4424">
      <c r="A4424" s="2">
        <f>IFERROR(__xludf.DUMMYFUNCTION("""COMPUTED_VALUE"""),37784.666666666664)</f>
        <v>37784.66667</v>
      </c>
      <c r="B4424" s="1">
        <f>IFERROR(__xludf.DUMMYFUNCTION("""COMPUTED_VALUE"""),997.48)</f>
        <v>997.48</v>
      </c>
      <c r="C4424" s="1">
        <f>IFERROR(__xludf.DUMMYFUNCTION("""COMPUTED_VALUE"""),1002.74)</f>
        <v>1002.74</v>
      </c>
      <c r="D4424" s="1">
        <f>IFERROR(__xludf.DUMMYFUNCTION("""COMPUTED_VALUE"""),991.27)</f>
        <v>991.27</v>
      </c>
      <c r="E4424" s="1">
        <f>IFERROR(__xludf.DUMMYFUNCTION("""COMPUTED_VALUE"""),998.51)</f>
        <v>998.51</v>
      </c>
      <c r="F4424" s="1">
        <f>IFERROR(__xludf.DUMMYFUNCTION("""COMPUTED_VALUE"""),1.5531E8)</f>
        <v>155310000</v>
      </c>
    </row>
    <row r="4425">
      <c r="A4425" s="2">
        <f>IFERROR(__xludf.DUMMYFUNCTION("""COMPUTED_VALUE"""),37785.666666666664)</f>
        <v>37785.66667</v>
      </c>
      <c r="B4425" s="1">
        <f>IFERROR(__xludf.DUMMYFUNCTION("""COMPUTED_VALUE"""),999.02)</f>
        <v>999.02</v>
      </c>
      <c r="C4425" s="1">
        <f>IFERROR(__xludf.DUMMYFUNCTION("""COMPUTED_VALUE"""),1000.92)</f>
        <v>1000.92</v>
      </c>
      <c r="D4425" s="1">
        <f>IFERROR(__xludf.DUMMYFUNCTION("""COMPUTED_VALUE"""),984.27)</f>
        <v>984.27</v>
      </c>
      <c r="E4425" s="1">
        <f>IFERROR(__xludf.DUMMYFUNCTION("""COMPUTED_VALUE"""),988.61)</f>
        <v>988.61</v>
      </c>
      <c r="F4425" s="1">
        <f>IFERROR(__xludf.DUMMYFUNCTION("""COMPUTED_VALUE"""),1.2716E8)</f>
        <v>127160000</v>
      </c>
    </row>
    <row r="4426">
      <c r="A4426" s="2">
        <f>IFERROR(__xludf.DUMMYFUNCTION("""COMPUTED_VALUE"""),37788.666666666664)</f>
        <v>37788.66667</v>
      </c>
      <c r="B4426" s="1">
        <f>IFERROR(__xludf.DUMMYFUNCTION("""COMPUTED_VALUE"""),988.61)</f>
        <v>988.61</v>
      </c>
      <c r="C4426" s="1">
        <f>IFERROR(__xludf.DUMMYFUNCTION("""COMPUTED_VALUE"""),1010.86)</f>
        <v>1010.86</v>
      </c>
      <c r="D4426" s="1">
        <f>IFERROR(__xludf.DUMMYFUNCTION("""COMPUTED_VALUE"""),988.61)</f>
        <v>988.61</v>
      </c>
      <c r="E4426" s="1">
        <f>IFERROR(__xludf.DUMMYFUNCTION("""COMPUTED_VALUE"""),1010.74)</f>
        <v>1010.74</v>
      </c>
      <c r="F4426" s="1">
        <f>IFERROR(__xludf.DUMMYFUNCTION("""COMPUTED_VALUE"""),1.3459E8)</f>
        <v>134590000</v>
      </c>
    </row>
    <row r="4427">
      <c r="A4427" s="2">
        <f>IFERROR(__xludf.DUMMYFUNCTION("""COMPUTED_VALUE"""),37789.666666666664)</f>
        <v>37789.66667</v>
      </c>
      <c r="B4427" s="1">
        <f>IFERROR(__xludf.DUMMYFUNCTION("""COMPUTED_VALUE"""),1011.35)</f>
        <v>1011.35</v>
      </c>
      <c r="C4427" s="1">
        <f>IFERROR(__xludf.DUMMYFUNCTION("""COMPUTED_VALUE"""),1015.33)</f>
        <v>1015.33</v>
      </c>
      <c r="D4427" s="1">
        <f>IFERROR(__xludf.DUMMYFUNCTION("""COMPUTED_VALUE"""),1007.04)</f>
        <v>1007.04</v>
      </c>
      <c r="E4427" s="1">
        <f>IFERROR(__xludf.DUMMYFUNCTION("""COMPUTED_VALUE"""),1011.66)</f>
        <v>1011.66</v>
      </c>
      <c r="F4427" s="1">
        <f>IFERROR(__xludf.DUMMYFUNCTION("""COMPUTED_VALUE"""),1.4797E8)</f>
        <v>147970000</v>
      </c>
    </row>
    <row r="4428">
      <c r="A4428" s="2">
        <f>IFERROR(__xludf.DUMMYFUNCTION("""COMPUTED_VALUE"""),37790.666666666664)</f>
        <v>37790.66667</v>
      </c>
      <c r="B4428" s="1">
        <f>IFERROR(__xludf.DUMMYFUNCTION("""COMPUTED_VALUE"""),1011.14)</f>
        <v>1011.14</v>
      </c>
      <c r="C4428" s="1">
        <f>IFERROR(__xludf.DUMMYFUNCTION("""COMPUTED_VALUE"""),1015.12)</f>
        <v>1015.12</v>
      </c>
      <c r="D4428" s="1">
        <f>IFERROR(__xludf.DUMMYFUNCTION("""COMPUTED_VALUE"""),1004.61)</f>
        <v>1004.61</v>
      </c>
      <c r="E4428" s="1">
        <f>IFERROR(__xludf.DUMMYFUNCTION("""COMPUTED_VALUE"""),1010.09)</f>
        <v>1010.09</v>
      </c>
      <c r="F4428" s="1">
        <f>IFERROR(__xludf.DUMMYFUNCTION("""COMPUTED_VALUE"""),1.4889E8)</f>
        <v>148890000</v>
      </c>
    </row>
    <row r="4429">
      <c r="A4429" s="2">
        <f>IFERROR(__xludf.DUMMYFUNCTION("""COMPUTED_VALUE"""),37791.666666666664)</f>
        <v>37791.66667</v>
      </c>
      <c r="B4429" s="1">
        <f>IFERROR(__xludf.DUMMYFUNCTION("""COMPUTED_VALUE"""),1010.05)</f>
        <v>1010.05</v>
      </c>
      <c r="C4429" s="1">
        <f>IFERROR(__xludf.DUMMYFUNCTION("""COMPUTED_VALUE"""),1011.22)</f>
        <v>1011.22</v>
      </c>
      <c r="D4429" s="1">
        <f>IFERROR(__xludf.DUMMYFUNCTION("""COMPUTED_VALUE"""),993.08)</f>
        <v>993.08</v>
      </c>
      <c r="E4429" s="1">
        <f>IFERROR(__xludf.DUMMYFUNCTION("""COMPUTED_VALUE"""),994.7)</f>
        <v>994.7</v>
      </c>
      <c r="F4429" s="1">
        <f>IFERROR(__xludf.DUMMYFUNCTION("""COMPUTED_VALUE"""),1.5301E8)</f>
        <v>153010000</v>
      </c>
    </row>
    <row r="4430">
      <c r="A4430" s="2">
        <f>IFERROR(__xludf.DUMMYFUNCTION("""COMPUTED_VALUE"""),37792.666666666664)</f>
        <v>37792.66667</v>
      </c>
      <c r="B4430" s="1">
        <f>IFERROR(__xludf.DUMMYFUNCTION("""COMPUTED_VALUE"""),996.13)</f>
        <v>996.13</v>
      </c>
      <c r="C4430" s="1">
        <f>IFERROR(__xludf.DUMMYFUNCTION("""COMPUTED_VALUE"""),1002.09)</f>
        <v>1002.09</v>
      </c>
      <c r="D4430" s="1">
        <f>IFERROR(__xludf.DUMMYFUNCTION("""COMPUTED_VALUE"""),993.36)</f>
        <v>993.36</v>
      </c>
      <c r="E4430" s="1">
        <f>IFERROR(__xludf.DUMMYFUNCTION("""COMPUTED_VALUE"""),995.69)</f>
        <v>995.69</v>
      </c>
      <c r="F4430" s="1">
        <f>IFERROR(__xludf.DUMMYFUNCTION("""COMPUTED_VALUE"""),1.698E8)</f>
        <v>169800000</v>
      </c>
    </row>
    <row r="4431">
      <c r="A4431" s="2">
        <f>IFERROR(__xludf.DUMMYFUNCTION("""COMPUTED_VALUE"""),37795.666666666664)</f>
        <v>37795.66667</v>
      </c>
      <c r="B4431" s="1">
        <f>IFERROR(__xludf.DUMMYFUNCTION("""COMPUTED_VALUE"""),995.25)</f>
        <v>995.25</v>
      </c>
      <c r="C4431" s="1">
        <f>IFERROR(__xludf.DUMMYFUNCTION("""COMPUTED_VALUE"""),995.25)</f>
        <v>995.25</v>
      </c>
      <c r="D4431" s="1">
        <f>IFERROR(__xludf.DUMMYFUNCTION("""COMPUTED_VALUE"""),977.4)</f>
        <v>977.4</v>
      </c>
      <c r="E4431" s="1">
        <f>IFERROR(__xludf.DUMMYFUNCTION("""COMPUTED_VALUE"""),981.64)</f>
        <v>981.64</v>
      </c>
      <c r="F4431" s="1">
        <f>IFERROR(__xludf.DUMMYFUNCTION("""COMPUTED_VALUE"""),1.3981E8)</f>
        <v>139810000</v>
      </c>
    </row>
    <row r="4432">
      <c r="A4432" s="2">
        <f>IFERROR(__xludf.DUMMYFUNCTION("""COMPUTED_VALUE"""),37796.666666666664)</f>
        <v>37796.66667</v>
      </c>
      <c r="B4432" s="1">
        <f>IFERROR(__xludf.DUMMYFUNCTION("""COMPUTED_VALUE"""),980.68)</f>
        <v>980.68</v>
      </c>
      <c r="C4432" s="1">
        <f>IFERROR(__xludf.DUMMYFUNCTION("""COMPUTED_VALUE"""),987.84)</f>
        <v>987.84</v>
      </c>
      <c r="D4432" s="1">
        <f>IFERROR(__xludf.DUMMYFUNCTION("""COMPUTED_VALUE"""),979.08)</f>
        <v>979.08</v>
      </c>
      <c r="E4432" s="1">
        <f>IFERROR(__xludf.DUMMYFUNCTION("""COMPUTED_VALUE"""),983.45)</f>
        <v>983.45</v>
      </c>
      <c r="F4432" s="1">
        <f>IFERROR(__xludf.DUMMYFUNCTION("""COMPUTED_VALUE"""),1.3883E8)</f>
        <v>138830000</v>
      </c>
    </row>
    <row r="4433">
      <c r="A4433" s="2">
        <f>IFERROR(__xludf.DUMMYFUNCTION("""COMPUTED_VALUE"""),37797.666666666664)</f>
        <v>37797.66667</v>
      </c>
      <c r="B4433" s="1">
        <f>IFERROR(__xludf.DUMMYFUNCTION("""COMPUTED_VALUE"""),983.58)</f>
        <v>983.58</v>
      </c>
      <c r="C4433" s="1">
        <f>IFERROR(__xludf.DUMMYFUNCTION("""COMPUTED_VALUE"""),991.64)</f>
        <v>991.64</v>
      </c>
      <c r="D4433" s="1">
        <f>IFERROR(__xludf.DUMMYFUNCTION("""COMPUTED_VALUE"""),974.86)</f>
        <v>974.86</v>
      </c>
      <c r="E4433" s="1">
        <f>IFERROR(__xludf.DUMMYFUNCTION("""COMPUTED_VALUE"""),975.32)</f>
        <v>975.32</v>
      </c>
      <c r="F4433" s="1">
        <f>IFERROR(__xludf.DUMMYFUNCTION("""COMPUTED_VALUE"""),1.4592E8)</f>
        <v>145920000</v>
      </c>
    </row>
    <row r="4434">
      <c r="A4434" s="2">
        <f>IFERROR(__xludf.DUMMYFUNCTION("""COMPUTED_VALUE"""),37798.666666666664)</f>
        <v>37798.66667</v>
      </c>
      <c r="B4434" s="1">
        <f>IFERROR(__xludf.DUMMYFUNCTION("""COMPUTED_VALUE"""),976.42)</f>
        <v>976.42</v>
      </c>
      <c r="C4434" s="1">
        <f>IFERROR(__xludf.DUMMYFUNCTION("""COMPUTED_VALUE"""),986.53)</f>
        <v>986.53</v>
      </c>
      <c r="D4434" s="1">
        <f>IFERROR(__xludf.DUMMYFUNCTION("""COMPUTED_VALUE"""),973.8)</f>
        <v>973.8</v>
      </c>
      <c r="E4434" s="1">
        <f>IFERROR(__xludf.DUMMYFUNCTION("""COMPUTED_VALUE"""),985.82)</f>
        <v>985.82</v>
      </c>
      <c r="F4434" s="1">
        <f>IFERROR(__xludf.DUMMYFUNCTION("""COMPUTED_VALUE"""),1.3874E8)</f>
        <v>138740000</v>
      </c>
    </row>
    <row r="4435">
      <c r="A4435" s="2">
        <f>IFERROR(__xludf.DUMMYFUNCTION("""COMPUTED_VALUE"""),37799.666666666664)</f>
        <v>37799.66667</v>
      </c>
      <c r="B4435" s="1">
        <f>IFERROR(__xludf.DUMMYFUNCTION("""COMPUTED_VALUE"""),985.82)</f>
        <v>985.82</v>
      </c>
      <c r="C4435" s="1">
        <f>IFERROR(__xludf.DUMMYFUNCTION("""COMPUTED_VALUE"""),988.88)</f>
        <v>988.88</v>
      </c>
      <c r="D4435" s="1">
        <f>IFERROR(__xludf.DUMMYFUNCTION("""COMPUTED_VALUE"""),974.03)</f>
        <v>974.03</v>
      </c>
      <c r="E4435" s="1">
        <f>IFERROR(__xludf.DUMMYFUNCTION("""COMPUTED_VALUE"""),976.22)</f>
        <v>976.22</v>
      </c>
      <c r="F4435" s="1">
        <f>IFERROR(__xludf.DUMMYFUNCTION("""COMPUTED_VALUE"""),1.2678E8)</f>
        <v>126780000</v>
      </c>
    </row>
    <row r="4436">
      <c r="A4436" s="2">
        <f>IFERROR(__xludf.DUMMYFUNCTION("""COMPUTED_VALUE"""),37802.666666666664)</f>
        <v>37802.66667</v>
      </c>
      <c r="B4436" s="1">
        <f>IFERROR(__xludf.DUMMYFUNCTION("""COMPUTED_VALUE"""),977.35)</f>
        <v>977.35</v>
      </c>
      <c r="C4436" s="1">
        <f>IFERROR(__xludf.DUMMYFUNCTION("""COMPUTED_VALUE"""),983.61)</f>
        <v>983.61</v>
      </c>
      <c r="D4436" s="1">
        <f>IFERROR(__xludf.DUMMYFUNCTION("""COMPUTED_VALUE"""),973.6)</f>
        <v>973.6</v>
      </c>
      <c r="E4436" s="1">
        <f>IFERROR(__xludf.DUMMYFUNCTION("""COMPUTED_VALUE"""),974.5)</f>
        <v>974.5</v>
      </c>
      <c r="F4436" s="1">
        <f>IFERROR(__xludf.DUMMYFUNCTION("""COMPUTED_VALUE"""),1.5872E8)</f>
        <v>158720000</v>
      </c>
    </row>
    <row r="4437">
      <c r="A4437" s="2">
        <f>IFERROR(__xludf.DUMMYFUNCTION("""COMPUTED_VALUE"""),37803.666666666664)</f>
        <v>37803.66667</v>
      </c>
      <c r="B4437" s="1">
        <f>IFERROR(__xludf.DUMMYFUNCTION("""COMPUTED_VALUE"""),973.83)</f>
        <v>973.83</v>
      </c>
      <c r="C4437" s="1">
        <f>IFERROR(__xludf.DUMMYFUNCTION("""COMPUTED_VALUE"""),983.26)</f>
        <v>983.26</v>
      </c>
      <c r="D4437" s="1">
        <f>IFERROR(__xludf.DUMMYFUNCTION("""COMPUTED_VALUE"""),962.1)</f>
        <v>962.1</v>
      </c>
      <c r="E4437" s="1">
        <f>IFERROR(__xludf.DUMMYFUNCTION("""COMPUTED_VALUE"""),982.32)</f>
        <v>982.32</v>
      </c>
      <c r="F4437" s="1">
        <f>IFERROR(__xludf.DUMMYFUNCTION("""COMPUTED_VALUE"""),1.4602E8)</f>
        <v>146020000</v>
      </c>
    </row>
    <row r="4438">
      <c r="A4438" s="2">
        <f>IFERROR(__xludf.DUMMYFUNCTION("""COMPUTED_VALUE"""),37804.666666666664)</f>
        <v>37804.66667</v>
      </c>
      <c r="B4438" s="1">
        <f>IFERROR(__xludf.DUMMYFUNCTION("""COMPUTED_VALUE"""),983.34)</f>
        <v>983.34</v>
      </c>
      <c r="C4438" s="1">
        <f>IFERROR(__xludf.DUMMYFUNCTION("""COMPUTED_VALUE"""),993.78)</f>
        <v>993.78</v>
      </c>
      <c r="D4438" s="1">
        <f>IFERROR(__xludf.DUMMYFUNCTION("""COMPUTED_VALUE"""),983.34)</f>
        <v>983.34</v>
      </c>
      <c r="E4438" s="1">
        <f>IFERROR(__xludf.DUMMYFUNCTION("""COMPUTED_VALUE"""),993.75)</f>
        <v>993.75</v>
      </c>
      <c r="F4438" s="1">
        <f>IFERROR(__xludf.DUMMYFUNCTION("""COMPUTED_VALUE"""),1.5193E8)</f>
        <v>151930000</v>
      </c>
    </row>
    <row r="4439">
      <c r="A4439" s="2">
        <f>IFERROR(__xludf.DUMMYFUNCTION("""COMPUTED_VALUE"""),37805.666666666664)</f>
        <v>37805.66667</v>
      </c>
      <c r="B4439" s="1">
        <f>IFERROR(__xludf.DUMMYFUNCTION("""COMPUTED_VALUE"""),992.55)</f>
        <v>992.55</v>
      </c>
      <c r="C4439" s="1">
        <f>IFERROR(__xludf.DUMMYFUNCTION("""COMPUTED_VALUE"""),995.0)</f>
        <v>995</v>
      </c>
      <c r="D4439" s="1">
        <f>IFERROR(__xludf.DUMMYFUNCTION("""COMPUTED_VALUE"""),983.34)</f>
        <v>983.34</v>
      </c>
      <c r="E4439" s="1">
        <f>IFERROR(__xludf.DUMMYFUNCTION("""COMPUTED_VALUE"""),985.7)</f>
        <v>985.7</v>
      </c>
      <c r="F4439" s="1">
        <f>IFERROR(__xludf.DUMMYFUNCTION("""COMPUTED_VALUE"""),3.759E7)</f>
        <v>37590000</v>
      </c>
    </row>
    <row r="4440">
      <c r="A4440" s="2">
        <f>IFERROR(__xludf.DUMMYFUNCTION("""COMPUTED_VALUE"""),37809.666666666664)</f>
        <v>37809.66667</v>
      </c>
      <c r="B4440" s="1">
        <f>IFERROR(__xludf.DUMMYFUNCTION("""COMPUTED_VALUE"""),985.7)</f>
        <v>985.7</v>
      </c>
      <c r="C4440" s="1">
        <f>IFERROR(__xludf.DUMMYFUNCTION("""COMPUTED_VALUE"""),1005.56)</f>
        <v>1005.56</v>
      </c>
      <c r="D4440" s="1">
        <f>IFERROR(__xludf.DUMMYFUNCTION("""COMPUTED_VALUE"""),985.7)</f>
        <v>985.7</v>
      </c>
      <c r="E4440" s="1">
        <f>IFERROR(__xludf.DUMMYFUNCTION("""COMPUTED_VALUE"""),1004.42)</f>
        <v>1004.42</v>
      </c>
      <c r="F4440" s="1">
        <f>IFERROR(__xludf.DUMMYFUNCTION("""COMPUTED_VALUE"""),1.4291E8)</f>
        <v>142910000</v>
      </c>
    </row>
    <row r="4441">
      <c r="A4441" s="2">
        <f>IFERROR(__xludf.DUMMYFUNCTION("""COMPUTED_VALUE"""),37810.666666666664)</f>
        <v>37810.66667</v>
      </c>
      <c r="B4441" s="1">
        <f>IFERROR(__xludf.DUMMYFUNCTION("""COMPUTED_VALUE"""),1004.44)</f>
        <v>1004.44</v>
      </c>
      <c r="C4441" s="1">
        <f>IFERROR(__xludf.DUMMYFUNCTION("""COMPUTED_VALUE"""),1008.92)</f>
        <v>1008.92</v>
      </c>
      <c r="D4441" s="1">
        <f>IFERROR(__xludf.DUMMYFUNCTION("""COMPUTED_VALUE"""),998.73)</f>
        <v>998.73</v>
      </c>
      <c r="E4441" s="1">
        <f>IFERROR(__xludf.DUMMYFUNCTION("""COMPUTED_VALUE"""),1007.84)</f>
        <v>1007.84</v>
      </c>
      <c r="F4441" s="1">
        <f>IFERROR(__xludf.DUMMYFUNCTION("""COMPUTED_VALUE"""),1.5657E8)</f>
        <v>156570000</v>
      </c>
    </row>
    <row r="4442">
      <c r="A4442" s="2">
        <f>IFERROR(__xludf.DUMMYFUNCTION("""COMPUTED_VALUE"""),37811.666666666664)</f>
        <v>37811.66667</v>
      </c>
      <c r="B4442" s="1">
        <f>IFERROR(__xludf.DUMMYFUNCTION("""COMPUTED_VALUE"""),1007.76)</f>
        <v>1007.76</v>
      </c>
      <c r="C4442" s="1">
        <f>IFERROR(__xludf.DUMMYFUNCTION("""COMPUTED_VALUE"""),1010.43)</f>
        <v>1010.43</v>
      </c>
      <c r="D4442" s="1">
        <f>IFERROR(__xludf.DUMMYFUNCTION("""COMPUTED_VALUE"""),998.17)</f>
        <v>998.17</v>
      </c>
      <c r="E4442" s="1">
        <f>IFERROR(__xludf.DUMMYFUNCTION("""COMPUTED_VALUE"""),1002.21)</f>
        <v>1002.21</v>
      </c>
      <c r="F4442" s="1">
        <f>IFERROR(__xludf.DUMMYFUNCTION("""COMPUTED_VALUE"""),1.618E8)</f>
        <v>161800000</v>
      </c>
    </row>
    <row r="4443">
      <c r="A4443" s="2">
        <f>IFERROR(__xludf.DUMMYFUNCTION("""COMPUTED_VALUE"""),37812.666666666664)</f>
        <v>37812.66667</v>
      </c>
      <c r="B4443" s="1">
        <f>IFERROR(__xludf.DUMMYFUNCTION("""COMPUTED_VALUE"""),1000.24)</f>
        <v>1000.24</v>
      </c>
      <c r="C4443" s="1">
        <f>IFERROR(__xludf.DUMMYFUNCTION("""COMPUTED_VALUE"""),1000.24)</f>
        <v>1000.24</v>
      </c>
      <c r="D4443" s="1">
        <f>IFERROR(__xludf.DUMMYFUNCTION("""COMPUTED_VALUE"""),983.63)</f>
        <v>983.63</v>
      </c>
      <c r="E4443" s="1">
        <f>IFERROR(__xludf.DUMMYFUNCTION("""COMPUTED_VALUE"""),988.7)</f>
        <v>988.7</v>
      </c>
      <c r="F4443" s="1">
        <f>IFERROR(__xludf.DUMMYFUNCTION("""COMPUTED_VALUE"""),1.4657E8)</f>
        <v>146570000</v>
      </c>
    </row>
    <row r="4444">
      <c r="A4444" s="2">
        <f>IFERROR(__xludf.DUMMYFUNCTION("""COMPUTED_VALUE"""),37813.666666666664)</f>
        <v>37813.66667</v>
      </c>
      <c r="B4444" s="1">
        <f>IFERROR(__xludf.DUMMYFUNCTION("""COMPUTED_VALUE"""),989.53)</f>
        <v>989.53</v>
      </c>
      <c r="C4444" s="1">
        <f>IFERROR(__xludf.DUMMYFUNCTION("""COMPUTED_VALUE"""),1000.86)</f>
        <v>1000.86</v>
      </c>
      <c r="D4444" s="1">
        <f>IFERROR(__xludf.DUMMYFUNCTION("""COMPUTED_VALUE"""),989.53)</f>
        <v>989.53</v>
      </c>
      <c r="E4444" s="1">
        <f>IFERROR(__xludf.DUMMYFUNCTION("""COMPUTED_VALUE"""),998.14)</f>
        <v>998.14</v>
      </c>
      <c r="F4444" s="1">
        <f>IFERROR(__xludf.DUMMYFUNCTION("""COMPUTED_VALUE"""),1.2127E8)</f>
        <v>121270000</v>
      </c>
    </row>
    <row r="4445">
      <c r="A4445" s="2">
        <f>IFERROR(__xludf.DUMMYFUNCTION("""COMPUTED_VALUE"""),37816.666666666664)</f>
        <v>37816.66667</v>
      </c>
      <c r="B4445" s="1">
        <f>IFERROR(__xludf.DUMMYFUNCTION("""COMPUTED_VALUE"""),1001.08)</f>
        <v>1001.08</v>
      </c>
      <c r="C4445" s="1">
        <f>IFERROR(__xludf.DUMMYFUNCTION("""COMPUTED_VALUE"""),1015.41)</f>
        <v>1015.41</v>
      </c>
      <c r="D4445" s="1">
        <f>IFERROR(__xludf.DUMMYFUNCTION("""COMPUTED_VALUE"""),1001.08)</f>
        <v>1001.08</v>
      </c>
      <c r="E4445" s="1">
        <f>IFERROR(__xludf.DUMMYFUNCTION("""COMPUTED_VALUE"""),1003.86)</f>
        <v>1003.86</v>
      </c>
      <c r="F4445" s="1">
        <f>IFERROR(__xludf.DUMMYFUNCTION("""COMPUTED_VALUE"""),1.4489E8)</f>
        <v>144890000</v>
      </c>
    </row>
    <row r="4446">
      <c r="A4446" s="2">
        <f>IFERROR(__xludf.DUMMYFUNCTION("""COMPUTED_VALUE"""),37817.666666666664)</f>
        <v>37817.66667</v>
      </c>
      <c r="B4446" s="1">
        <f>IFERROR(__xludf.DUMMYFUNCTION("""COMPUTED_VALUE"""),1003.86)</f>
        <v>1003.86</v>
      </c>
      <c r="C4446" s="1">
        <f>IFERROR(__xludf.DUMMYFUNCTION("""COMPUTED_VALUE"""),1009.61)</f>
        <v>1009.61</v>
      </c>
      <c r="D4446" s="1">
        <f>IFERROR(__xludf.DUMMYFUNCTION("""COMPUTED_VALUE"""),996.67)</f>
        <v>996.67</v>
      </c>
      <c r="E4446" s="1">
        <f>IFERROR(__xludf.DUMMYFUNCTION("""COMPUTED_VALUE"""),1000.42)</f>
        <v>1000.42</v>
      </c>
      <c r="F4446" s="1">
        <f>IFERROR(__xludf.DUMMYFUNCTION("""COMPUTED_VALUE"""),1.5186E8)</f>
        <v>151860000</v>
      </c>
    </row>
    <row r="4447">
      <c r="A4447" s="2">
        <f>IFERROR(__xludf.DUMMYFUNCTION("""COMPUTED_VALUE"""),37818.666666666664)</f>
        <v>37818.66667</v>
      </c>
      <c r="B4447" s="1">
        <f>IFERROR(__xludf.DUMMYFUNCTION("""COMPUTED_VALUE"""),1002.64)</f>
        <v>1002.64</v>
      </c>
      <c r="C4447" s="1">
        <f>IFERROR(__xludf.DUMMYFUNCTION("""COMPUTED_VALUE"""),1003.47)</f>
        <v>1003.47</v>
      </c>
      <c r="D4447" s="1">
        <f>IFERROR(__xludf.DUMMYFUNCTION("""COMPUTED_VALUE"""),989.3)</f>
        <v>989.3</v>
      </c>
      <c r="E4447" s="1">
        <f>IFERROR(__xludf.DUMMYFUNCTION("""COMPUTED_VALUE"""),994.09)</f>
        <v>994.09</v>
      </c>
      <c r="F4447" s="1">
        <f>IFERROR(__xludf.DUMMYFUNCTION("""COMPUTED_VALUE"""),1.662E8)</f>
        <v>166200000</v>
      </c>
    </row>
    <row r="4448">
      <c r="A4448" s="2">
        <f>IFERROR(__xludf.DUMMYFUNCTION("""COMPUTED_VALUE"""),37819.666666666664)</f>
        <v>37819.66667</v>
      </c>
      <c r="B4448" s="1">
        <f>IFERROR(__xludf.DUMMYFUNCTION("""COMPUTED_VALUE"""),994.0)</f>
        <v>994</v>
      </c>
      <c r="C4448" s="1">
        <f>IFERROR(__xludf.DUMMYFUNCTION("""COMPUTED_VALUE"""),994.0)</f>
        <v>994</v>
      </c>
      <c r="D4448" s="1">
        <f>IFERROR(__xludf.DUMMYFUNCTION("""COMPUTED_VALUE"""),978.6)</f>
        <v>978.6</v>
      </c>
      <c r="E4448" s="1">
        <f>IFERROR(__xludf.DUMMYFUNCTION("""COMPUTED_VALUE"""),981.73)</f>
        <v>981.73</v>
      </c>
      <c r="F4448" s="1">
        <f>IFERROR(__xludf.DUMMYFUNCTION("""COMPUTED_VALUE"""),1.6614E8)</f>
        <v>166140000</v>
      </c>
    </row>
    <row r="4449">
      <c r="A4449" s="2">
        <f>IFERROR(__xludf.DUMMYFUNCTION("""COMPUTED_VALUE"""),37820.666666666664)</f>
        <v>37820.66667</v>
      </c>
      <c r="B4449" s="1">
        <f>IFERROR(__xludf.DUMMYFUNCTION("""COMPUTED_VALUE"""),981.73)</f>
        <v>981.73</v>
      </c>
      <c r="C4449" s="1">
        <f>IFERROR(__xludf.DUMMYFUNCTION("""COMPUTED_VALUE"""),994.25)</f>
        <v>994.25</v>
      </c>
      <c r="D4449" s="1">
        <f>IFERROR(__xludf.DUMMYFUNCTION("""COMPUTED_VALUE"""),981.7)</f>
        <v>981.7</v>
      </c>
      <c r="E4449" s="1">
        <f>IFERROR(__xludf.DUMMYFUNCTION("""COMPUTED_VALUE"""),993.32)</f>
        <v>993.32</v>
      </c>
      <c r="F4449" s="1">
        <f>IFERROR(__xludf.DUMMYFUNCTION("""COMPUTED_VALUE"""),1.3652E8)</f>
        <v>136520000</v>
      </c>
    </row>
    <row r="4450">
      <c r="A4450" s="2">
        <f>IFERROR(__xludf.DUMMYFUNCTION("""COMPUTED_VALUE"""),37823.666666666664)</f>
        <v>37823.66667</v>
      </c>
      <c r="B4450" s="1">
        <f>IFERROR(__xludf.DUMMYFUNCTION("""COMPUTED_VALUE"""),992.91)</f>
        <v>992.91</v>
      </c>
      <c r="C4450" s="1">
        <f>IFERROR(__xludf.DUMMYFUNCTION("""COMPUTED_VALUE"""),992.91)</f>
        <v>992.91</v>
      </c>
      <c r="D4450" s="1">
        <f>IFERROR(__xludf.DUMMYFUNCTION("""COMPUTED_VALUE"""),975.63)</f>
        <v>975.63</v>
      </c>
      <c r="E4450" s="1">
        <f>IFERROR(__xludf.DUMMYFUNCTION("""COMPUTED_VALUE"""),978.8)</f>
        <v>978.8</v>
      </c>
      <c r="F4450" s="1">
        <f>IFERROR(__xludf.DUMMYFUNCTION("""COMPUTED_VALUE"""),1.2542E8)</f>
        <v>125420000</v>
      </c>
    </row>
    <row r="4451">
      <c r="A4451" s="2">
        <f>IFERROR(__xludf.DUMMYFUNCTION("""COMPUTED_VALUE"""),37824.666666666664)</f>
        <v>37824.66667</v>
      </c>
      <c r="B4451" s="1">
        <f>IFERROR(__xludf.DUMMYFUNCTION("""COMPUTED_VALUE"""),980.42)</f>
        <v>980.42</v>
      </c>
      <c r="C4451" s="1">
        <f>IFERROR(__xludf.DUMMYFUNCTION("""COMPUTED_VALUE"""),990.29)</f>
        <v>990.29</v>
      </c>
      <c r="D4451" s="1">
        <f>IFERROR(__xludf.DUMMYFUNCTION("""COMPUTED_VALUE"""),976.08)</f>
        <v>976.08</v>
      </c>
      <c r="E4451" s="1">
        <f>IFERROR(__xludf.DUMMYFUNCTION("""COMPUTED_VALUE"""),988.11)</f>
        <v>988.11</v>
      </c>
      <c r="F4451" s="1">
        <f>IFERROR(__xludf.DUMMYFUNCTION("""COMPUTED_VALUE"""),1.4397E8)</f>
        <v>143970000</v>
      </c>
    </row>
    <row r="4452">
      <c r="A4452" s="2">
        <f>IFERROR(__xludf.DUMMYFUNCTION("""COMPUTED_VALUE"""),37825.666666666664)</f>
        <v>37825.66667</v>
      </c>
      <c r="B4452" s="1">
        <f>IFERROR(__xludf.DUMMYFUNCTION("""COMPUTED_VALUE"""),988.68)</f>
        <v>988.68</v>
      </c>
      <c r="C4452" s="1">
        <f>IFERROR(__xludf.DUMMYFUNCTION("""COMPUTED_VALUE"""),989.86)</f>
        <v>989.86</v>
      </c>
      <c r="D4452" s="1">
        <f>IFERROR(__xludf.DUMMYFUNCTION("""COMPUTED_VALUE"""),979.79)</f>
        <v>979.79</v>
      </c>
      <c r="E4452" s="1">
        <f>IFERROR(__xludf.DUMMYFUNCTION("""COMPUTED_VALUE"""),988.61)</f>
        <v>988.61</v>
      </c>
      <c r="F4452" s="1">
        <f>IFERROR(__xludf.DUMMYFUNCTION("""COMPUTED_VALUE"""),1.3627E8)</f>
        <v>136270000</v>
      </c>
    </row>
    <row r="4453">
      <c r="A4453" s="2">
        <f>IFERROR(__xludf.DUMMYFUNCTION("""COMPUTED_VALUE"""),37826.666666666664)</f>
        <v>37826.66667</v>
      </c>
      <c r="B4453" s="1">
        <f>IFERROR(__xludf.DUMMYFUNCTION("""COMPUTED_VALUE"""),988.61)</f>
        <v>988.61</v>
      </c>
      <c r="C4453" s="1">
        <f>IFERROR(__xludf.DUMMYFUNCTION("""COMPUTED_VALUE"""),998.89)</f>
        <v>998.89</v>
      </c>
      <c r="D4453" s="1">
        <f>IFERROR(__xludf.DUMMYFUNCTION("""COMPUTED_VALUE"""),981.07)</f>
        <v>981.07</v>
      </c>
      <c r="E4453" s="1">
        <f>IFERROR(__xludf.DUMMYFUNCTION("""COMPUTED_VALUE"""),981.6)</f>
        <v>981.6</v>
      </c>
      <c r="F4453" s="1">
        <f>IFERROR(__xludf.DUMMYFUNCTION("""COMPUTED_VALUE"""),1.559E8)</f>
        <v>155900000</v>
      </c>
    </row>
    <row r="4454">
      <c r="A4454" s="2">
        <f>IFERROR(__xludf.DUMMYFUNCTION("""COMPUTED_VALUE"""),37827.666666666664)</f>
        <v>37827.66667</v>
      </c>
      <c r="B4454" s="1">
        <f>IFERROR(__xludf.DUMMYFUNCTION("""COMPUTED_VALUE"""),981.81)</f>
        <v>981.81</v>
      </c>
      <c r="C4454" s="1">
        <f>IFERROR(__xludf.DUMMYFUNCTION("""COMPUTED_VALUE"""),998.71)</f>
        <v>998.71</v>
      </c>
      <c r="D4454" s="1">
        <f>IFERROR(__xludf.DUMMYFUNCTION("""COMPUTED_VALUE"""),977.42)</f>
        <v>977.42</v>
      </c>
      <c r="E4454" s="1">
        <f>IFERROR(__xludf.DUMMYFUNCTION("""COMPUTED_VALUE"""),998.68)</f>
        <v>998.68</v>
      </c>
      <c r="F4454" s="1">
        <f>IFERROR(__xludf.DUMMYFUNCTION("""COMPUTED_VALUE"""),1.3975E8)</f>
        <v>139750000</v>
      </c>
    </row>
    <row r="4455">
      <c r="A4455" s="2">
        <f>IFERROR(__xludf.DUMMYFUNCTION("""COMPUTED_VALUE"""),37830.666666666664)</f>
        <v>37830.66667</v>
      </c>
      <c r="B4455" s="1">
        <f>IFERROR(__xludf.DUMMYFUNCTION("""COMPUTED_VALUE"""),999.0)</f>
        <v>999</v>
      </c>
      <c r="C4455" s="1">
        <f>IFERROR(__xludf.DUMMYFUNCTION("""COMPUTED_VALUE"""),1000.68)</f>
        <v>1000.68</v>
      </c>
      <c r="D4455" s="1">
        <f>IFERROR(__xludf.DUMMYFUNCTION("""COMPUTED_VALUE"""),993.59)</f>
        <v>993.59</v>
      </c>
      <c r="E4455" s="1">
        <f>IFERROR(__xludf.DUMMYFUNCTION("""COMPUTED_VALUE"""),996.52)</f>
        <v>996.52</v>
      </c>
      <c r="F4455" s="1">
        <f>IFERROR(__xludf.DUMMYFUNCTION("""COMPUTED_VALUE"""),1.3286E8)</f>
        <v>132860000</v>
      </c>
    </row>
    <row r="4456">
      <c r="A4456" s="2">
        <f>IFERROR(__xludf.DUMMYFUNCTION("""COMPUTED_VALUE"""),37831.666666666664)</f>
        <v>37831.66667</v>
      </c>
      <c r="B4456" s="1">
        <f>IFERROR(__xludf.DUMMYFUNCTION("""COMPUTED_VALUE"""),996.52)</f>
        <v>996.52</v>
      </c>
      <c r="C4456" s="1">
        <f>IFERROR(__xludf.DUMMYFUNCTION("""COMPUTED_VALUE"""),998.64)</f>
        <v>998.64</v>
      </c>
      <c r="D4456" s="1">
        <f>IFERROR(__xludf.DUMMYFUNCTION("""COMPUTED_VALUE"""),984.15)</f>
        <v>984.15</v>
      </c>
      <c r="E4456" s="1">
        <f>IFERROR(__xludf.DUMMYFUNCTION("""COMPUTED_VALUE"""),989.28)</f>
        <v>989.28</v>
      </c>
      <c r="F4456" s="1">
        <f>IFERROR(__xludf.DUMMYFUNCTION("""COMPUTED_VALUE"""),1.5089E8)</f>
        <v>150890000</v>
      </c>
    </row>
    <row r="4457">
      <c r="A4457" s="2">
        <f>IFERROR(__xludf.DUMMYFUNCTION("""COMPUTED_VALUE"""),37832.666666666664)</f>
        <v>37832.66667</v>
      </c>
      <c r="B4457" s="1">
        <f>IFERROR(__xludf.DUMMYFUNCTION("""COMPUTED_VALUE"""),989.5)</f>
        <v>989.5</v>
      </c>
      <c r="C4457" s="1">
        <f>IFERROR(__xludf.DUMMYFUNCTION("""COMPUTED_VALUE"""),992.62)</f>
        <v>992.62</v>
      </c>
      <c r="D4457" s="1">
        <f>IFERROR(__xludf.DUMMYFUNCTION("""COMPUTED_VALUE"""),985.96)</f>
        <v>985.96</v>
      </c>
      <c r="E4457" s="1">
        <f>IFERROR(__xludf.DUMMYFUNCTION("""COMPUTED_VALUE"""),987.49)</f>
        <v>987.49</v>
      </c>
      <c r="F4457" s="1">
        <f>IFERROR(__xludf.DUMMYFUNCTION("""COMPUTED_VALUE"""),1.3919E8)</f>
        <v>139190000</v>
      </c>
    </row>
    <row r="4458">
      <c r="A4458" s="2">
        <f>IFERROR(__xludf.DUMMYFUNCTION("""COMPUTED_VALUE"""),37833.666666666664)</f>
        <v>37833.66667</v>
      </c>
      <c r="B4458" s="1">
        <f>IFERROR(__xludf.DUMMYFUNCTION("""COMPUTED_VALUE"""),990.12)</f>
        <v>990.12</v>
      </c>
      <c r="C4458" s="1">
        <f>IFERROR(__xludf.DUMMYFUNCTION("""COMPUTED_VALUE"""),1004.59)</f>
        <v>1004.59</v>
      </c>
      <c r="D4458" s="1">
        <f>IFERROR(__xludf.DUMMYFUNCTION("""COMPUTED_VALUE"""),988.85)</f>
        <v>988.85</v>
      </c>
      <c r="E4458" s="1">
        <f>IFERROR(__xludf.DUMMYFUNCTION("""COMPUTED_VALUE"""),990.31)</f>
        <v>990.31</v>
      </c>
      <c r="F4458" s="1">
        <f>IFERROR(__xludf.DUMMYFUNCTION("""COMPUTED_VALUE"""),1.608E8)</f>
        <v>160800000</v>
      </c>
    </row>
    <row r="4459">
      <c r="A4459" s="2">
        <f>IFERROR(__xludf.DUMMYFUNCTION("""COMPUTED_VALUE"""),37834.666666666664)</f>
        <v>37834.66667</v>
      </c>
      <c r="B4459" s="1">
        <f>IFERROR(__xludf.DUMMYFUNCTION("""COMPUTED_VALUE"""),989.73)</f>
        <v>989.73</v>
      </c>
      <c r="C4459" s="1">
        <f>IFERROR(__xludf.DUMMYFUNCTION("""COMPUTED_VALUE"""),989.9)</f>
        <v>989.9</v>
      </c>
      <c r="D4459" s="1">
        <f>IFERROR(__xludf.DUMMYFUNCTION("""COMPUTED_VALUE"""),978.86)</f>
        <v>978.86</v>
      </c>
      <c r="E4459" s="1">
        <f>IFERROR(__xludf.DUMMYFUNCTION("""COMPUTED_VALUE"""),980.15)</f>
        <v>980.15</v>
      </c>
      <c r="F4459" s="1">
        <f>IFERROR(__xludf.DUMMYFUNCTION("""COMPUTED_VALUE"""),1.3906E8)</f>
        <v>139060000</v>
      </c>
    </row>
    <row r="4460">
      <c r="A4460" s="2">
        <f>IFERROR(__xludf.DUMMYFUNCTION("""COMPUTED_VALUE"""),37837.666666666664)</f>
        <v>37837.66667</v>
      </c>
      <c r="B4460" s="1">
        <f>IFERROR(__xludf.DUMMYFUNCTION("""COMPUTED_VALUE"""),979.92)</f>
        <v>979.92</v>
      </c>
      <c r="C4460" s="1">
        <f>IFERROR(__xludf.DUMMYFUNCTION("""COMPUTED_VALUE"""),985.75)</f>
        <v>985.75</v>
      </c>
      <c r="D4460" s="1">
        <f>IFERROR(__xludf.DUMMYFUNCTION("""COMPUTED_VALUE"""),966.79)</f>
        <v>966.79</v>
      </c>
      <c r="E4460" s="1">
        <f>IFERROR(__xludf.DUMMYFUNCTION("""COMPUTED_VALUE"""),982.82)</f>
        <v>982.82</v>
      </c>
      <c r="F4460" s="1">
        <f>IFERROR(__xludf.DUMMYFUNCTION("""COMPUTED_VALUE"""),1.3187E8)</f>
        <v>131870000</v>
      </c>
    </row>
    <row r="4461">
      <c r="A4461" s="2">
        <f>IFERROR(__xludf.DUMMYFUNCTION("""COMPUTED_VALUE"""),37838.666666666664)</f>
        <v>37838.66667</v>
      </c>
      <c r="B4461" s="1">
        <f>IFERROR(__xludf.DUMMYFUNCTION("""COMPUTED_VALUE"""),982.41)</f>
        <v>982.41</v>
      </c>
      <c r="C4461" s="1">
        <f>IFERROR(__xludf.DUMMYFUNCTION("""COMPUTED_VALUE"""),982.61)</f>
        <v>982.61</v>
      </c>
      <c r="D4461" s="1">
        <f>IFERROR(__xludf.DUMMYFUNCTION("""COMPUTED_VALUE"""),964.97)</f>
        <v>964.97</v>
      </c>
      <c r="E4461" s="1">
        <f>IFERROR(__xludf.DUMMYFUNCTION("""COMPUTED_VALUE"""),965.46)</f>
        <v>965.46</v>
      </c>
      <c r="F4461" s="1">
        <f>IFERROR(__xludf.DUMMYFUNCTION("""COMPUTED_VALUE"""),1.3517E8)</f>
        <v>135170000</v>
      </c>
    </row>
    <row r="4462">
      <c r="A4462" s="2">
        <f>IFERROR(__xludf.DUMMYFUNCTION("""COMPUTED_VALUE"""),37839.666666666664)</f>
        <v>37839.66667</v>
      </c>
      <c r="B4462" s="1">
        <f>IFERROR(__xludf.DUMMYFUNCTION("""COMPUTED_VALUE"""),964.25)</f>
        <v>964.25</v>
      </c>
      <c r="C4462" s="1">
        <f>IFERROR(__xludf.DUMMYFUNCTION("""COMPUTED_VALUE"""),975.74)</f>
        <v>975.74</v>
      </c>
      <c r="D4462" s="1">
        <f>IFERROR(__xludf.DUMMYFUNCTION("""COMPUTED_VALUE"""),960.84)</f>
        <v>960.84</v>
      </c>
      <c r="E4462" s="1">
        <f>IFERROR(__xludf.DUMMYFUNCTION("""COMPUTED_VALUE"""),967.08)</f>
        <v>967.08</v>
      </c>
      <c r="F4462" s="1">
        <f>IFERROR(__xludf.DUMMYFUNCTION("""COMPUTED_VALUE"""),1.491E8)</f>
        <v>149100000</v>
      </c>
    </row>
    <row r="4463">
      <c r="A4463" s="2">
        <f>IFERROR(__xludf.DUMMYFUNCTION("""COMPUTED_VALUE"""),37840.666666666664)</f>
        <v>37840.66667</v>
      </c>
      <c r="B4463" s="1">
        <f>IFERROR(__xludf.DUMMYFUNCTION("""COMPUTED_VALUE"""),966.93)</f>
        <v>966.93</v>
      </c>
      <c r="C4463" s="1">
        <f>IFERROR(__xludf.DUMMYFUNCTION("""COMPUTED_VALUE"""),974.89)</f>
        <v>974.89</v>
      </c>
      <c r="D4463" s="1">
        <f>IFERROR(__xludf.DUMMYFUNCTION("""COMPUTED_VALUE"""),963.82)</f>
        <v>963.82</v>
      </c>
      <c r="E4463" s="1">
        <f>IFERROR(__xludf.DUMMYFUNCTION("""COMPUTED_VALUE"""),974.12)</f>
        <v>974.12</v>
      </c>
      <c r="F4463" s="1">
        <f>IFERROR(__xludf.DUMMYFUNCTION("""COMPUTED_VALUE"""),1.3893E8)</f>
        <v>138930000</v>
      </c>
    </row>
    <row r="4464">
      <c r="A4464" s="2">
        <f>IFERROR(__xludf.DUMMYFUNCTION("""COMPUTED_VALUE"""),37841.666666666664)</f>
        <v>37841.66667</v>
      </c>
      <c r="B4464" s="1">
        <f>IFERROR(__xludf.DUMMYFUNCTION("""COMPUTED_VALUE"""),974.12)</f>
        <v>974.12</v>
      </c>
      <c r="C4464" s="1">
        <f>IFERROR(__xludf.DUMMYFUNCTION("""COMPUTED_VALUE"""),980.57)</f>
        <v>980.57</v>
      </c>
      <c r="D4464" s="1">
        <f>IFERROR(__xludf.DUMMYFUNCTION("""COMPUTED_VALUE"""),973.83)</f>
        <v>973.83</v>
      </c>
      <c r="E4464" s="1">
        <f>IFERROR(__xludf.DUMMYFUNCTION("""COMPUTED_VALUE"""),977.59)</f>
        <v>977.59</v>
      </c>
      <c r="F4464" s="1">
        <f>IFERROR(__xludf.DUMMYFUNCTION("""COMPUTED_VALUE"""),1.0866E8)</f>
        <v>108660000</v>
      </c>
    </row>
    <row r="4465">
      <c r="A4465" s="2">
        <f>IFERROR(__xludf.DUMMYFUNCTION("""COMPUTED_VALUE"""),37844.666666666664)</f>
        <v>37844.66667</v>
      </c>
      <c r="B4465" s="1">
        <f>IFERROR(__xludf.DUMMYFUNCTION("""COMPUTED_VALUE"""),977.59)</f>
        <v>977.59</v>
      </c>
      <c r="C4465" s="1">
        <f>IFERROR(__xludf.DUMMYFUNCTION("""COMPUTED_VALUE"""),985.46)</f>
        <v>985.46</v>
      </c>
      <c r="D4465" s="1">
        <f>IFERROR(__xludf.DUMMYFUNCTION("""COMPUTED_VALUE"""),974.21)</f>
        <v>974.21</v>
      </c>
      <c r="E4465" s="1">
        <f>IFERROR(__xludf.DUMMYFUNCTION("""COMPUTED_VALUE"""),980.59)</f>
        <v>980.59</v>
      </c>
      <c r="F4465" s="1">
        <f>IFERROR(__xludf.DUMMYFUNCTION("""COMPUTED_VALUE"""),1.0222E8)</f>
        <v>102220000</v>
      </c>
    </row>
    <row r="4466">
      <c r="A4466" s="2">
        <f>IFERROR(__xludf.DUMMYFUNCTION("""COMPUTED_VALUE"""),37845.666666666664)</f>
        <v>37845.66667</v>
      </c>
      <c r="B4466" s="1">
        <f>IFERROR(__xludf.DUMMYFUNCTION("""COMPUTED_VALUE"""),981.34)</f>
        <v>981.34</v>
      </c>
      <c r="C4466" s="1">
        <f>IFERROR(__xludf.DUMMYFUNCTION("""COMPUTED_VALUE"""),990.41)</f>
        <v>990.41</v>
      </c>
      <c r="D4466" s="1">
        <f>IFERROR(__xludf.DUMMYFUNCTION("""COMPUTED_VALUE"""),979.9)</f>
        <v>979.9</v>
      </c>
      <c r="E4466" s="1">
        <f>IFERROR(__xludf.DUMMYFUNCTION("""COMPUTED_VALUE"""),990.35)</f>
        <v>990.35</v>
      </c>
      <c r="F4466" s="1">
        <f>IFERROR(__xludf.DUMMYFUNCTION("""COMPUTED_VALUE"""),1.1323E8)</f>
        <v>113230000</v>
      </c>
    </row>
    <row r="4467">
      <c r="A4467" s="2">
        <f>IFERROR(__xludf.DUMMYFUNCTION("""COMPUTED_VALUE"""),37846.666666666664)</f>
        <v>37846.66667</v>
      </c>
      <c r="B4467" s="1">
        <f>IFERROR(__xludf.DUMMYFUNCTION("""COMPUTED_VALUE"""),991.2)</f>
        <v>991.2</v>
      </c>
      <c r="C4467" s="1">
        <f>IFERROR(__xludf.DUMMYFUNCTION("""COMPUTED_VALUE"""),992.5)</f>
        <v>992.5</v>
      </c>
      <c r="D4467" s="1">
        <f>IFERROR(__xludf.DUMMYFUNCTION("""COMPUTED_VALUE"""),980.85)</f>
        <v>980.85</v>
      </c>
      <c r="E4467" s="1">
        <f>IFERROR(__xludf.DUMMYFUNCTION("""COMPUTED_VALUE"""),984.03)</f>
        <v>984.03</v>
      </c>
      <c r="F4467" s="1">
        <f>IFERROR(__xludf.DUMMYFUNCTION("""COMPUTED_VALUE"""),1.2088E8)</f>
        <v>120880000</v>
      </c>
    </row>
    <row r="4468">
      <c r="A4468" s="2">
        <f>IFERROR(__xludf.DUMMYFUNCTION("""COMPUTED_VALUE"""),37847.666666666664)</f>
        <v>37847.66667</v>
      </c>
      <c r="B4468" s="1">
        <f>IFERROR(__xludf.DUMMYFUNCTION("""COMPUTED_VALUE"""),984.3)</f>
        <v>984.3</v>
      </c>
      <c r="C4468" s="1">
        <f>IFERROR(__xludf.DUMMYFUNCTION("""COMPUTED_VALUE"""),991.91)</f>
        <v>991.91</v>
      </c>
      <c r="D4468" s="1">
        <f>IFERROR(__xludf.DUMMYFUNCTION("""COMPUTED_VALUE"""),980.36)</f>
        <v>980.36</v>
      </c>
      <c r="E4468" s="1">
        <f>IFERROR(__xludf.DUMMYFUNCTION("""COMPUTED_VALUE"""),990.51)</f>
        <v>990.51</v>
      </c>
      <c r="F4468" s="1">
        <f>IFERROR(__xludf.DUMMYFUNCTION("""COMPUTED_VALUE"""),1.1868E8)</f>
        <v>118680000</v>
      </c>
    </row>
    <row r="4469">
      <c r="A4469" s="2">
        <f>IFERROR(__xludf.DUMMYFUNCTION("""COMPUTED_VALUE"""),37848.666666666664)</f>
        <v>37848.66667</v>
      </c>
      <c r="B4469" s="1">
        <f>IFERROR(__xludf.DUMMYFUNCTION("""COMPUTED_VALUE"""),990.19)</f>
        <v>990.19</v>
      </c>
      <c r="C4469" s="1">
        <f>IFERROR(__xludf.DUMMYFUNCTION("""COMPUTED_VALUE"""),992.39)</f>
        <v>992.39</v>
      </c>
      <c r="D4469" s="1">
        <f>IFERROR(__xludf.DUMMYFUNCTION("""COMPUTED_VALUE"""),986.44)</f>
        <v>986.44</v>
      </c>
      <c r="E4469" s="1">
        <f>IFERROR(__xludf.DUMMYFUNCTION("""COMPUTED_VALUE"""),990.67)</f>
        <v>990.67</v>
      </c>
      <c r="F4469" s="1">
        <f>IFERROR(__xludf.DUMMYFUNCTION("""COMPUTED_VALUE"""),6.3637E7)</f>
        <v>63637000</v>
      </c>
    </row>
    <row r="4470">
      <c r="A4470" s="2">
        <f>IFERROR(__xludf.DUMMYFUNCTION("""COMPUTED_VALUE"""),37851.666666666664)</f>
        <v>37851.66667</v>
      </c>
      <c r="B4470" s="1">
        <f>IFERROR(__xludf.DUMMYFUNCTION("""COMPUTED_VALUE"""),991.47)</f>
        <v>991.47</v>
      </c>
      <c r="C4470" s="1">
        <f>IFERROR(__xludf.DUMMYFUNCTION("""COMPUTED_VALUE"""),1000.35)</f>
        <v>1000.35</v>
      </c>
      <c r="D4470" s="1">
        <f>IFERROR(__xludf.DUMMYFUNCTION("""COMPUTED_VALUE"""),991.47)</f>
        <v>991.47</v>
      </c>
      <c r="E4470" s="1">
        <f>IFERROR(__xludf.DUMMYFUNCTION("""COMPUTED_VALUE"""),999.74)</f>
        <v>999.74</v>
      </c>
      <c r="F4470" s="1">
        <f>IFERROR(__xludf.DUMMYFUNCTION("""COMPUTED_VALUE"""),1.1276E8)</f>
        <v>112760000</v>
      </c>
    </row>
    <row r="4471">
      <c r="A4471" s="2">
        <f>IFERROR(__xludf.DUMMYFUNCTION("""COMPUTED_VALUE"""),37852.666666666664)</f>
        <v>37852.66667</v>
      </c>
      <c r="B4471" s="1">
        <f>IFERROR(__xludf.DUMMYFUNCTION("""COMPUTED_VALUE"""),1000.65)</f>
        <v>1000.65</v>
      </c>
      <c r="C4471" s="1">
        <f>IFERROR(__xludf.DUMMYFUNCTION("""COMPUTED_VALUE"""),1003.3)</f>
        <v>1003.3</v>
      </c>
      <c r="D4471" s="1">
        <f>IFERROR(__xludf.DUMMYFUNCTION("""COMPUTED_VALUE"""),995.3)</f>
        <v>995.3</v>
      </c>
      <c r="E4471" s="1">
        <f>IFERROR(__xludf.DUMMYFUNCTION("""COMPUTED_VALUE"""),1002.35)</f>
        <v>1002.35</v>
      </c>
      <c r="F4471" s="1">
        <f>IFERROR(__xludf.DUMMYFUNCTION("""COMPUTED_VALUE"""),1.3006E8)</f>
        <v>130060000</v>
      </c>
    </row>
    <row r="4472">
      <c r="A4472" s="2">
        <f>IFERROR(__xludf.DUMMYFUNCTION("""COMPUTED_VALUE"""),37853.666666666664)</f>
        <v>37853.66667</v>
      </c>
      <c r="B4472" s="1">
        <f>IFERROR(__xludf.DUMMYFUNCTION("""COMPUTED_VALUE"""),1000.84)</f>
        <v>1000.84</v>
      </c>
      <c r="C4472" s="1">
        <f>IFERROR(__xludf.DUMMYFUNCTION("""COMPUTED_VALUE"""),1003.54)</f>
        <v>1003.54</v>
      </c>
      <c r="D4472" s="1">
        <f>IFERROR(__xludf.DUMMYFUNCTION("""COMPUTED_VALUE"""),996.62)</f>
        <v>996.62</v>
      </c>
      <c r="E4472" s="1">
        <f>IFERROR(__xludf.DUMMYFUNCTION("""COMPUTED_VALUE"""),1000.3)</f>
        <v>1000.3</v>
      </c>
      <c r="F4472" s="1">
        <f>IFERROR(__xludf.DUMMYFUNCTION("""COMPUTED_VALUE"""),1.2108E8)</f>
        <v>121080000</v>
      </c>
    </row>
    <row r="4473">
      <c r="A4473" s="2">
        <f>IFERROR(__xludf.DUMMYFUNCTION("""COMPUTED_VALUE"""),37854.666666666664)</f>
        <v>37854.66667</v>
      </c>
      <c r="B4473" s="1">
        <f>IFERROR(__xludf.DUMMYFUNCTION("""COMPUTED_VALUE"""),1001.67)</f>
        <v>1001.67</v>
      </c>
      <c r="C4473" s="1">
        <f>IFERROR(__xludf.DUMMYFUNCTION("""COMPUTED_VALUE"""),1009.53)</f>
        <v>1009.53</v>
      </c>
      <c r="D4473" s="1">
        <f>IFERROR(__xludf.DUMMYFUNCTION("""COMPUTED_VALUE"""),999.33)</f>
        <v>999.33</v>
      </c>
      <c r="E4473" s="1">
        <f>IFERROR(__xludf.DUMMYFUNCTION("""COMPUTED_VALUE"""),1003.27)</f>
        <v>1003.27</v>
      </c>
      <c r="F4473" s="1">
        <f>IFERROR(__xludf.DUMMYFUNCTION("""COMPUTED_VALUE"""),1.4071E8)</f>
        <v>140710000</v>
      </c>
    </row>
    <row r="4474">
      <c r="A4474" s="2">
        <f>IFERROR(__xludf.DUMMYFUNCTION("""COMPUTED_VALUE"""),37855.666666666664)</f>
        <v>37855.66667</v>
      </c>
      <c r="B4474" s="1">
        <f>IFERROR(__xludf.DUMMYFUNCTION("""COMPUTED_VALUE"""),1005.43)</f>
        <v>1005.43</v>
      </c>
      <c r="C4474" s="1">
        <f>IFERROR(__xludf.DUMMYFUNCTION("""COMPUTED_VALUE"""),1011.01)</f>
        <v>1011.01</v>
      </c>
      <c r="D4474" s="1">
        <f>IFERROR(__xludf.DUMMYFUNCTION("""COMPUTED_VALUE"""),992.62)</f>
        <v>992.62</v>
      </c>
      <c r="E4474" s="1">
        <f>IFERROR(__xludf.DUMMYFUNCTION("""COMPUTED_VALUE"""),993.06)</f>
        <v>993.06</v>
      </c>
      <c r="F4474" s="1">
        <f>IFERROR(__xludf.DUMMYFUNCTION("""COMPUTED_VALUE"""),1.3089E8)</f>
        <v>130890000</v>
      </c>
    </row>
    <row r="4475">
      <c r="A4475" s="2">
        <f>IFERROR(__xludf.DUMMYFUNCTION("""COMPUTED_VALUE"""),37858.666666666664)</f>
        <v>37858.66667</v>
      </c>
      <c r="B4475" s="1">
        <f>IFERROR(__xludf.DUMMYFUNCTION("""COMPUTED_VALUE"""),992.94)</f>
        <v>992.94</v>
      </c>
      <c r="C4475" s="1">
        <f>IFERROR(__xludf.DUMMYFUNCTION("""COMPUTED_VALUE"""),993.71)</f>
        <v>993.71</v>
      </c>
      <c r="D4475" s="1">
        <f>IFERROR(__xludf.DUMMYFUNCTION("""COMPUTED_VALUE"""),987.91)</f>
        <v>987.91</v>
      </c>
      <c r="E4475" s="1">
        <f>IFERROR(__xludf.DUMMYFUNCTION("""COMPUTED_VALUE"""),993.71)</f>
        <v>993.71</v>
      </c>
      <c r="F4475" s="1">
        <f>IFERROR(__xludf.DUMMYFUNCTION("""COMPUTED_VALUE"""),4.717E7)</f>
        <v>47170000</v>
      </c>
    </row>
    <row r="4476">
      <c r="A4476" s="2">
        <f>IFERROR(__xludf.DUMMYFUNCTION("""COMPUTED_VALUE"""),37859.666666666664)</f>
        <v>37859.66667</v>
      </c>
      <c r="B4476" s="1">
        <f>IFERROR(__xludf.DUMMYFUNCTION("""COMPUTED_VALUE"""),992.47)</f>
        <v>992.47</v>
      </c>
      <c r="C4476" s="1">
        <f>IFERROR(__xludf.DUMMYFUNCTION("""COMPUTED_VALUE"""),997.93)</f>
        <v>997.93</v>
      </c>
      <c r="D4476" s="1">
        <f>IFERROR(__xludf.DUMMYFUNCTION("""COMPUTED_VALUE"""),983.57)</f>
        <v>983.57</v>
      </c>
      <c r="E4476" s="1">
        <f>IFERROR(__xludf.DUMMYFUNCTION("""COMPUTED_VALUE"""),996.73)</f>
        <v>996.73</v>
      </c>
      <c r="F4476" s="1">
        <f>IFERROR(__xludf.DUMMYFUNCTION("""COMPUTED_VALUE"""),1.1787E8)</f>
        <v>117870000</v>
      </c>
    </row>
    <row r="4477">
      <c r="A4477" s="2">
        <f>IFERROR(__xludf.DUMMYFUNCTION("""COMPUTED_VALUE"""),37860.666666666664)</f>
        <v>37860.66667</v>
      </c>
      <c r="B4477" s="1">
        <f>IFERROR(__xludf.DUMMYFUNCTION("""COMPUTED_VALUE"""),995.95)</f>
        <v>995.95</v>
      </c>
      <c r="C4477" s="1">
        <f>IFERROR(__xludf.DUMMYFUNCTION("""COMPUTED_VALUE"""),998.05)</f>
        <v>998.05</v>
      </c>
      <c r="D4477" s="1">
        <f>IFERROR(__xludf.DUMMYFUNCTION("""COMPUTED_VALUE"""),993.33)</f>
        <v>993.33</v>
      </c>
      <c r="E4477" s="1">
        <f>IFERROR(__xludf.DUMMYFUNCTION("""COMPUTED_VALUE"""),996.79)</f>
        <v>996.79</v>
      </c>
      <c r="F4477" s="1">
        <f>IFERROR(__xludf.DUMMYFUNCTION("""COMPUTED_VALUE"""),1.0514E8)</f>
        <v>105140000</v>
      </c>
    </row>
    <row r="4478">
      <c r="A4478" s="2">
        <f>IFERROR(__xludf.DUMMYFUNCTION("""COMPUTED_VALUE"""),37861.666666666664)</f>
        <v>37861.66667</v>
      </c>
      <c r="B4478" s="1">
        <f>IFERROR(__xludf.DUMMYFUNCTION("""COMPUTED_VALUE"""),997.43)</f>
        <v>997.43</v>
      </c>
      <c r="C4478" s="1">
        <f>IFERROR(__xludf.DUMMYFUNCTION("""COMPUTED_VALUE"""),1004.12)</f>
        <v>1004.12</v>
      </c>
      <c r="D4478" s="1">
        <f>IFERROR(__xludf.DUMMYFUNCTION("""COMPUTED_VALUE"""),991.42)</f>
        <v>991.42</v>
      </c>
      <c r="E4478" s="1">
        <f>IFERROR(__xludf.DUMMYFUNCTION("""COMPUTED_VALUE"""),1002.84)</f>
        <v>1002.84</v>
      </c>
      <c r="F4478" s="1">
        <f>IFERROR(__xludf.DUMMYFUNCTION("""COMPUTED_VALUE"""),1.1652E8)</f>
        <v>116520000</v>
      </c>
    </row>
    <row r="4479">
      <c r="A4479" s="2">
        <f>IFERROR(__xludf.DUMMYFUNCTION("""COMPUTED_VALUE"""),37862.666666666664)</f>
        <v>37862.66667</v>
      </c>
      <c r="B4479" s="1">
        <f>IFERROR(__xludf.DUMMYFUNCTION("""COMPUTED_VALUE"""),1002.2)</f>
        <v>1002.2</v>
      </c>
      <c r="C4479" s="1">
        <f>IFERROR(__xludf.DUMMYFUNCTION("""COMPUTED_VALUE"""),1008.85)</f>
        <v>1008.85</v>
      </c>
      <c r="D4479" s="1">
        <f>IFERROR(__xludf.DUMMYFUNCTION("""COMPUTED_VALUE"""),999.52)</f>
        <v>999.52</v>
      </c>
      <c r="E4479" s="1">
        <f>IFERROR(__xludf.DUMMYFUNCTION("""COMPUTED_VALUE"""),1008.01)</f>
        <v>1008.01</v>
      </c>
      <c r="F4479" s="1">
        <f>IFERROR(__xludf.DUMMYFUNCTION("""COMPUTED_VALUE"""),4.451E7)</f>
        <v>44510000</v>
      </c>
    </row>
    <row r="4480">
      <c r="A4480" s="2">
        <f>IFERROR(__xludf.DUMMYFUNCTION("""COMPUTED_VALUE"""),37866.666666666664)</f>
        <v>37866.66667</v>
      </c>
      <c r="B4480" s="1">
        <f>IFERROR(__xludf.DUMMYFUNCTION("""COMPUTED_VALUE"""),1008.96)</f>
        <v>1008.96</v>
      </c>
      <c r="C4480" s="1">
        <f>IFERROR(__xludf.DUMMYFUNCTION("""COMPUTED_VALUE"""),1022.59)</f>
        <v>1022.59</v>
      </c>
      <c r="D4480" s="1">
        <f>IFERROR(__xludf.DUMMYFUNCTION("""COMPUTED_VALUE"""),1005.67)</f>
        <v>1005.67</v>
      </c>
      <c r="E4480" s="1">
        <f>IFERROR(__xludf.DUMMYFUNCTION("""COMPUTED_VALUE"""),1021.99)</f>
        <v>1021.99</v>
      </c>
      <c r="F4480" s="1">
        <f>IFERROR(__xludf.DUMMYFUNCTION("""COMPUTED_VALUE"""),1.4705E8)</f>
        <v>147050000</v>
      </c>
    </row>
    <row r="4481">
      <c r="A4481" s="2">
        <f>IFERROR(__xludf.DUMMYFUNCTION("""COMPUTED_VALUE"""),37867.666666666664)</f>
        <v>37867.66667</v>
      </c>
      <c r="B4481" s="1">
        <f>IFERROR(__xludf.DUMMYFUNCTION("""COMPUTED_VALUE"""),1023.33)</f>
        <v>1023.33</v>
      </c>
      <c r="C4481" s="1">
        <f>IFERROR(__xludf.DUMMYFUNCTION("""COMPUTED_VALUE"""),1029.34)</f>
        <v>1029.34</v>
      </c>
      <c r="D4481" s="1">
        <f>IFERROR(__xludf.DUMMYFUNCTION("""COMPUTED_VALUE"""),1022.45)</f>
        <v>1022.45</v>
      </c>
      <c r="E4481" s="1">
        <f>IFERROR(__xludf.DUMMYFUNCTION("""COMPUTED_VALUE"""),1026.27)</f>
        <v>1026.27</v>
      </c>
      <c r="F4481" s="1">
        <f>IFERROR(__xludf.DUMMYFUNCTION("""COMPUTED_VALUE"""),1.6756E8)</f>
        <v>167560000</v>
      </c>
    </row>
    <row r="4482">
      <c r="A4482" s="2">
        <f>IFERROR(__xludf.DUMMYFUNCTION("""COMPUTED_VALUE"""),37868.666666666664)</f>
        <v>37868.66667</v>
      </c>
      <c r="B4482" s="1">
        <f>IFERROR(__xludf.DUMMYFUNCTION("""COMPUTED_VALUE"""),1026.27)</f>
        <v>1026.27</v>
      </c>
      <c r="C4482" s="1">
        <f>IFERROR(__xludf.DUMMYFUNCTION("""COMPUTED_VALUE"""),1029.17)</f>
        <v>1029.17</v>
      </c>
      <c r="D4482" s="1">
        <f>IFERROR(__xludf.DUMMYFUNCTION("""COMPUTED_VALUE"""),1022.19)</f>
        <v>1022.19</v>
      </c>
      <c r="E4482" s="1">
        <f>IFERROR(__xludf.DUMMYFUNCTION("""COMPUTED_VALUE"""),1027.97)</f>
        <v>1027.97</v>
      </c>
      <c r="F4482" s="1">
        <f>IFERROR(__xludf.DUMMYFUNCTION("""COMPUTED_VALUE"""),1.4539E8)</f>
        <v>145390000</v>
      </c>
    </row>
    <row r="4483">
      <c r="A4483" s="2">
        <f>IFERROR(__xludf.DUMMYFUNCTION("""COMPUTED_VALUE"""),37869.666666666664)</f>
        <v>37869.66667</v>
      </c>
      <c r="B4483" s="1">
        <f>IFERROR(__xludf.DUMMYFUNCTION("""COMPUTED_VALUE"""),1027.11)</f>
        <v>1027.11</v>
      </c>
      <c r="C4483" s="1">
        <f>IFERROR(__xludf.DUMMYFUNCTION("""COMPUTED_VALUE"""),1029.21)</f>
        <v>1029.21</v>
      </c>
      <c r="D4483" s="1">
        <f>IFERROR(__xludf.DUMMYFUNCTION("""COMPUTED_VALUE"""),1018.19)</f>
        <v>1018.19</v>
      </c>
      <c r="E4483" s="1">
        <f>IFERROR(__xludf.DUMMYFUNCTION("""COMPUTED_VALUE"""),1021.39)</f>
        <v>1021.39</v>
      </c>
      <c r="F4483" s="1">
        <f>IFERROR(__xludf.DUMMYFUNCTION("""COMPUTED_VALUE"""),1.4652E8)</f>
        <v>146520000</v>
      </c>
    </row>
    <row r="4484">
      <c r="A4484" s="2">
        <f>IFERROR(__xludf.DUMMYFUNCTION("""COMPUTED_VALUE"""),37872.666666666664)</f>
        <v>37872.66667</v>
      </c>
      <c r="B4484" s="1">
        <f>IFERROR(__xludf.DUMMYFUNCTION("""COMPUTED_VALUE"""),1021.93)</f>
        <v>1021.93</v>
      </c>
      <c r="C4484" s="1">
        <f>IFERROR(__xludf.DUMMYFUNCTION("""COMPUTED_VALUE"""),1032.41)</f>
        <v>1032.41</v>
      </c>
      <c r="D4484" s="1">
        <f>IFERROR(__xludf.DUMMYFUNCTION("""COMPUTED_VALUE"""),1021.93)</f>
        <v>1021.93</v>
      </c>
      <c r="E4484" s="1">
        <f>IFERROR(__xludf.DUMMYFUNCTION("""COMPUTED_VALUE"""),1031.64)</f>
        <v>1031.64</v>
      </c>
      <c r="F4484" s="1">
        <f>IFERROR(__xludf.DUMMYFUNCTION("""COMPUTED_VALUE"""),1.2993E8)</f>
        <v>129930000</v>
      </c>
    </row>
    <row r="4485">
      <c r="A4485" s="2">
        <f>IFERROR(__xludf.DUMMYFUNCTION("""COMPUTED_VALUE"""),37873.666666666664)</f>
        <v>37873.66667</v>
      </c>
      <c r="B4485" s="1">
        <f>IFERROR(__xludf.DUMMYFUNCTION("""COMPUTED_VALUE"""),1031.15)</f>
        <v>1031.15</v>
      </c>
      <c r="C4485" s="1">
        <f>IFERROR(__xludf.DUMMYFUNCTION("""COMPUTED_VALUE"""),1031.15)</f>
        <v>1031.15</v>
      </c>
      <c r="D4485" s="1">
        <f>IFERROR(__xludf.DUMMYFUNCTION("""COMPUTED_VALUE"""),1021.14)</f>
        <v>1021.14</v>
      </c>
      <c r="E4485" s="1">
        <f>IFERROR(__xludf.DUMMYFUNCTION("""COMPUTED_VALUE"""),1023.17)</f>
        <v>1023.17</v>
      </c>
      <c r="F4485" s="1">
        <f>IFERROR(__xludf.DUMMYFUNCTION("""COMPUTED_VALUE"""),1.4148E8)</f>
        <v>141480000</v>
      </c>
    </row>
    <row r="4486">
      <c r="A4486" s="2">
        <f>IFERROR(__xludf.DUMMYFUNCTION("""COMPUTED_VALUE"""),37874.666666666664)</f>
        <v>37874.66667</v>
      </c>
      <c r="B4486" s="1">
        <f>IFERROR(__xludf.DUMMYFUNCTION("""COMPUTED_VALUE"""),1021.51)</f>
        <v>1021.51</v>
      </c>
      <c r="C4486" s="1">
        <f>IFERROR(__xludf.DUMMYFUNCTION("""COMPUTED_VALUE"""),1021.51)</f>
        <v>1021.51</v>
      </c>
      <c r="D4486" s="1">
        <f>IFERROR(__xludf.DUMMYFUNCTION("""COMPUTED_VALUE"""),1009.74)</f>
        <v>1009.74</v>
      </c>
      <c r="E4486" s="1">
        <f>IFERROR(__xludf.DUMMYFUNCTION("""COMPUTED_VALUE"""),1010.92)</f>
        <v>1010.92</v>
      </c>
      <c r="F4486" s="1">
        <f>IFERROR(__xludf.DUMMYFUNCTION("""COMPUTED_VALUE"""),1.5821E8)</f>
        <v>158210000</v>
      </c>
    </row>
    <row r="4487">
      <c r="A4487" s="2">
        <f>IFERROR(__xludf.DUMMYFUNCTION("""COMPUTED_VALUE"""),37875.666666666664)</f>
        <v>37875.66667</v>
      </c>
      <c r="B4487" s="1">
        <f>IFERROR(__xludf.DUMMYFUNCTION("""COMPUTED_VALUE"""),1011.58)</f>
        <v>1011.58</v>
      </c>
      <c r="C4487" s="1">
        <f>IFERROR(__xludf.DUMMYFUNCTION("""COMPUTED_VALUE"""),1020.88)</f>
        <v>1020.88</v>
      </c>
      <c r="D4487" s="1">
        <f>IFERROR(__xludf.DUMMYFUNCTION("""COMPUTED_VALUE"""),1011.58)</f>
        <v>1011.58</v>
      </c>
      <c r="E4487" s="1">
        <f>IFERROR(__xludf.DUMMYFUNCTION("""COMPUTED_VALUE"""),1016.42)</f>
        <v>1016.42</v>
      </c>
      <c r="F4487" s="1">
        <f>IFERROR(__xludf.DUMMYFUNCTION("""COMPUTED_VALUE"""),1.3359E8)</f>
        <v>133590000</v>
      </c>
    </row>
    <row r="4488">
      <c r="A4488" s="2">
        <f>IFERROR(__xludf.DUMMYFUNCTION("""COMPUTED_VALUE"""),37876.666666666664)</f>
        <v>37876.66667</v>
      </c>
      <c r="B4488" s="1">
        <f>IFERROR(__xludf.DUMMYFUNCTION("""COMPUTED_VALUE"""),1014.55)</f>
        <v>1014.55</v>
      </c>
      <c r="C4488" s="1">
        <f>IFERROR(__xludf.DUMMYFUNCTION("""COMPUTED_VALUE"""),1019.65)</f>
        <v>1019.65</v>
      </c>
      <c r="D4488" s="1">
        <f>IFERROR(__xludf.DUMMYFUNCTION("""COMPUTED_VALUE"""),1007.71)</f>
        <v>1007.71</v>
      </c>
      <c r="E4488" s="1">
        <f>IFERROR(__xludf.DUMMYFUNCTION("""COMPUTED_VALUE"""),1018.63)</f>
        <v>1018.63</v>
      </c>
      <c r="F4488" s="1">
        <f>IFERROR(__xludf.DUMMYFUNCTION("""COMPUTED_VALUE"""),1.2367E8)</f>
        <v>123670000</v>
      </c>
    </row>
    <row r="4489">
      <c r="A4489" s="2">
        <f>IFERROR(__xludf.DUMMYFUNCTION("""COMPUTED_VALUE"""),37879.666666666664)</f>
        <v>37879.66667</v>
      </c>
      <c r="B4489" s="1">
        <f>IFERROR(__xludf.DUMMYFUNCTION("""COMPUTED_VALUE"""),1018.68)</f>
        <v>1018.68</v>
      </c>
      <c r="C4489" s="1">
        <f>IFERROR(__xludf.DUMMYFUNCTION("""COMPUTED_VALUE"""),1019.79)</f>
        <v>1019.79</v>
      </c>
      <c r="D4489" s="1">
        <f>IFERROR(__xludf.DUMMYFUNCTION("""COMPUTED_VALUE"""),1013.59)</f>
        <v>1013.59</v>
      </c>
      <c r="E4489" s="1">
        <f>IFERROR(__xludf.DUMMYFUNCTION("""COMPUTED_VALUE"""),1014.81)</f>
        <v>1014.81</v>
      </c>
      <c r="F4489" s="1">
        <f>IFERROR(__xludf.DUMMYFUNCTION("""COMPUTED_VALUE"""),1.1513E8)</f>
        <v>115130000</v>
      </c>
    </row>
    <row r="4490">
      <c r="A4490" s="2">
        <f>IFERROR(__xludf.DUMMYFUNCTION("""COMPUTED_VALUE"""),37880.666666666664)</f>
        <v>37880.66667</v>
      </c>
      <c r="B4490" s="1">
        <f>IFERROR(__xludf.DUMMYFUNCTION("""COMPUTED_VALUE"""),1015.03)</f>
        <v>1015.03</v>
      </c>
      <c r="C4490" s="1">
        <f>IFERROR(__xludf.DUMMYFUNCTION("""COMPUTED_VALUE"""),1029.66)</f>
        <v>1029.66</v>
      </c>
      <c r="D4490" s="1">
        <f>IFERROR(__xludf.DUMMYFUNCTION("""COMPUTED_VALUE"""),1015.03)</f>
        <v>1015.03</v>
      </c>
      <c r="E4490" s="1">
        <f>IFERROR(__xludf.DUMMYFUNCTION("""COMPUTED_VALUE"""),1029.2)</f>
        <v>1029.2</v>
      </c>
      <c r="F4490" s="1">
        <f>IFERROR(__xludf.DUMMYFUNCTION("""COMPUTED_VALUE"""),1.4032E8)</f>
        <v>140320000</v>
      </c>
    </row>
    <row r="4491">
      <c r="A4491" s="2">
        <f>IFERROR(__xludf.DUMMYFUNCTION("""COMPUTED_VALUE"""),37881.666666666664)</f>
        <v>37881.66667</v>
      </c>
      <c r="B4491" s="1">
        <f>IFERROR(__xludf.DUMMYFUNCTION("""COMPUTED_VALUE"""),1028.98)</f>
        <v>1028.98</v>
      </c>
      <c r="C4491" s="1">
        <f>IFERROR(__xludf.DUMMYFUNCTION("""COMPUTED_VALUE"""),1031.34)</f>
        <v>1031.34</v>
      </c>
      <c r="D4491" s="1">
        <f>IFERROR(__xludf.DUMMYFUNCTION("""COMPUTED_VALUE"""),1024.53)</f>
        <v>1024.53</v>
      </c>
      <c r="E4491" s="1">
        <f>IFERROR(__xludf.DUMMYFUNCTION("""COMPUTED_VALUE"""),1025.97)</f>
        <v>1025.97</v>
      </c>
      <c r="F4491" s="1">
        <f>IFERROR(__xludf.DUMMYFUNCTION("""COMPUTED_VALUE"""),1.33821E8)</f>
        <v>133821000</v>
      </c>
    </row>
    <row r="4492">
      <c r="A4492" s="2">
        <f>IFERROR(__xludf.DUMMYFUNCTION("""COMPUTED_VALUE"""),37882.666666666664)</f>
        <v>37882.66667</v>
      </c>
      <c r="B4492" s="1">
        <f>IFERROR(__xludf.DUMMYFUNCTION("""COMPUTED_VALUE"""),1025.84)</f>
        <v>1025.84</v>
      </c>
      <c r="C4492" s="1">
        <f>IFERROR(__xludf.DUMMYFUNCTION("""COMPUTED_VALUE"""),1040.16)</f>
        <v>1040.16</v>
      </c>
      <c r="D4492" s="1">
        <f>IFERROR(__xludf.DUMMYFUNCTION("""COMPUTED_VALUE"""),1025.75)</f>
        <v>1025.75</v>
      </c>
      <c r="E4492" s="1">
        <f>IFERROR(__xludf.DUMMYFUNCTION("""COMPUTED_VALUE"""),1039.58)</f>
        <v>1039.58</v>
      </c>
      <c r="F4492" s="1">
        <f>IFERROR(__xludf.DUMMYFUNCTION("""COMPUTED_VALUE"""),1.4988E8)</f>
        <v>149880000</v>
      </c>
    </row>
    <row r="4493">
      <c r="A4493" s="2">
        <f>IFERROR(__xludf.DUMMYFUNCTION("""COMPUTED_VALUE"""),37883.666666666664)</f>
        <v>37883.66667</v>
      </c>
      <c r="B4493" s="1">
        <f>IFERROR(__xludf.DUMMYFUNCTION("""COMPUTED_VALUE"""),1039.58)</f>
        <v>1039.58</v>
      </c>
      <c r="C4493" s="1">
        <f>IFERROR(__xludf.DUMMYFUNCTION("""COMPUTED_VALUE"""),1040.29)</f>
        <v>1040.29</v>
      </c>
      <c r="D4493" s="1">
        <f>IFERROR(__xludf.DUMMYFUNCTION("""COMPUTED_VALUE"""),1031.89)</f>
        <v>1031.89</v>
      </c>
      <c r="E4493" s="1">
        <f>IFERROR(__xludf.DUMMYFUNCTION("""COMPUTED_VALUE"""),1036.3)</f>
        <v>1036.3</v>
      </c>
      <c r="F4493" s="1">
        <f>IFERROR(__xludf.DUMMYFUNCTION("""COMPUTED_VALUE"""),1.5186E8)</f>
        <v>151860000</v>
      </c>
    </row>
    <row r="4494">
      <c r="A4494" s="2">
        <f>IFERROR(__xludf.DUMMYFUNCTION("""COMPUTED_VALUE"""),37886.666666666664)</f>
        <v>37886.66667</v>
      </c>
      <c r="B4494" s="1">
        <f>IFERROR(__xludf.DUMMYFUNCTION("""COMPUTED_VALUE"""),1036.3)</f>
        <v>1036.3</v>
      </c>
      <c r="C4494" s="1">
        <f>IFERROR(__xludf.DUMMYFUNCTION("""COMPUTED_VALUE"""),1036.3)</f>
        <v>1036.3</v>
      </c>
      <c r="D4494" s="1">
        <f>IFERROR(__xludf.DUMMYFUNCTION("""COMPUTED_VALUE"""),1018.3)</f>
        <v>1018.3</v>
      </c>
      <c r="E4494" s="1">
        <f>IFERROR(__xludf.DUMMYFUNCTION("""COMPUTED_VALUE"""),1022.82)</f>
        <v>1022.82</v>
      </c>
      <c r="F4494" s="1">
        <f>IFERROR(__xludf.DUMMYFUNCTION("""COMPUTED_VALUE"""),1.2788E8)</f>
        <v>127880000</v>
      </c>
    </row>
    <row r="4495">
      <c r="A4495" s="2">
        <f>IFERROR(__xludf.DUMMYFUNCTION("""COMPUTED_VALUE"""),37887.666666666664)</f>
        <v>37887.66667</v>
      </c>
      <c r="B4495" s="1">
        <f>IFERROR(__xludf.DUMMYFUNCTION("""COMPUTED_VALUE"""),1022.82)</f>
        <v>1022.82</v>
      </c>
      <c r="C4495" s="1">
        <f>IFERROR(__xludf.DUMMYFUNCTION("""COMPUTED_VALUE"""),1030.12)</f>
        <v>1030.12</v>
      </c>
      <c r="D4495" s="1">
        <f>IFERROR(__xludf.DUMMYFUNCTION("""COMPUTED_VALUE"""),1021.54)</f>
        <v>1021.54</v>
      </c>
      <c r="E4495" s="1">
        <f>IFERROR(__xludf.DUMMYFUNCTION("""COMPUTED_VALUE"""),1029.03)</f>
        <v>1029.03</v>
      </c>
      <c r="F4495" s="1">
        <f>IFERROR(__xludf.DUMMYFUNCTION("""COMPUTED_VALUE"""),1.3017E8)</f>
        <v>130170000</v>
      </c>
    </row>
    <row r="4496">
      <c r="A4496" s="2">
        <f>IFERROR(__xludf.DUMMYFUNCTION("""COMPUTED_VALUE"""),37888.666666666664)</f>
        <v>37888.66667</v>
      </c>
      <c r="B4496" s="1">
        <f>IFERROR(__xludf.DUMMYFUNCTION("""COMPUTED_VALUE"""),1029.16)</f>
        <v>1029.16</v>
      </c>
      <c r="C4496" s="1">
        <f>IFERROR(__xludf.DUMMYFUNCTION("""COMPUTED_VALUE"""),1029.83)</f>
        <v>1029.83</v>
      </c>
      <c r="D4496" s="1">
        <f>IFERROR(__xludf.DUMMYFUNCTION("""COMPUTED_VALUE"""),1008.93)</f>
        <v>1008.93</v>
      </c>
      <c r="E4496" s="1">
        <f>IFERROR(__xludf.DUMMYFUNCTION("""COMPUTED_VALUE"""),1009.38)</f>
        <v>1009.38</v>
      </c>
      <c r="F4496" s="1">
        <f>IFERROR(__xludf.DUMMYFUNCTION("""COMPUTED_VALUE"""),1.556E8)</f>
        <v>155600000</v>
      </c>
    </row>
    <row r="4497">
      <c r="A4497" s="2">
        <f>IFERROR(__xludf.DUMMYFUNCTION("""COMPUTED_VALUE"""),37889.666666666664)</f>
        <v>37889.66667</v>
      </c>
      <c r="B4497" s="1">
        <f>IFERROR(__xludf.DUMMYFUNCTION("""COMPUTED_VALUE"""),1010.19)</f>
        <v>1010.19</v>
      </c>
      <c r="C4497" s="1">
        <f>IFERROR(__xludf.DUMMYFUNCTION("""COMPUTED_VALUE"""),1015.97)</f>
        <v>1015.97</v>
      </c>
      <c r="D4497" s="1">
        <f>IFERROR(__xludf.DUMMYFUNCTION("""COMPUTED_VALUE"""),1003.26)</f>
        <v>1003.26</v>
      </c>
      <c r="E4497" s="1">
        <f>IFERROR(__xludf.DUMMYFUNCTION("""COMPUTED_VALUE"""),1003.27)</f>
        <v>1003.27</v>
      </c>
      <c r="F4497" s="1">
        <f>IFERROR(__xludf.DUMMYFUNCTION("""COMPUTED_VALUE"""),1.53E8)</f>
        <v>153000000</v>
      </c>
    </row>
    <row r="4498">
      <c r="A4498" s="2">
        <f>IFERROR(__xludf.DUMMYFUNCTION("""COMPUTED_VALUE"""),37890.666666666664)</f>
        <v>37890.66667</v>
      </c>
      <c r="B4498" s="1">
        <f>IFERROR(__xludf.DUMMYFUNCTION("""COMPUTED_VALUE"""),1003.45)</f>
        <v>1003.45</v>
      </c>
      <c r="C4498" s="1">
        <f>IFERROR(__xludf.DUMMYFUNCTION("""COMPUTED_VALUE"""),1003.45)</f>
        <v>1003.45</v>
      </c>
      <c r="D4498" s="1">
        <f>IFERROR(__xludf.DUMMYFUNCTION("""COMPUTED_VALUE"""),996.08)</f>
        <v>996.08</v>
      </c>
      <c r="E4498" s="1">
        <f>IFERROR(__xludf.DUMMYFUNCTION("""COMPUTED_VALUE"""),996.85)</f>
        <v>996.85</v>
      </c>
      <c r="F4498" s="1">
        <f>IFERROR(__xludf.DUMMYFUNCTION("""COMPUTED_VALUE"""),1.4725E8)</f>
        <v>147250000</v>
      </c>
    </row>
    <row r="4499">
      <c r="A4499" s="2">
        <f>IFERROR(__xludf.DUMMYFUNCTION("""COMPUTED_VALUE"""),37893.666666666664)</f>
        <v>37893.66667</v>
      </c>
      <c r="B4499" s="1">
        <f>IFERROR(__xludf.DUMMYFUNCTION("""COMPUTED_VALUE"""),998.09)</f>
        <v>998.09</v>
      </c>
      <c r="C4499" s="1">
        <f>IFERROR(__xludf.DUMMYFUNCTION("""COMPUTED_VALUE"""),1006.89)</f>
        <v>1006.89</v>
      </c>
      <c r="D4499" s="1">
        <f>IFERROR(__xludf.DUMMYFUNCTION("""COMPUTED_VALUE"""),995.31)</f>
        <v>995.31</v>
      </c>
      <c r="E4499" s="1">
        <f>IFERROR(__xludf.DUMMYFUNCTION("""COMPUTED_VALUE"""),1006.58)</f>
        <v>1006.58</v>
      </c>
      <c r="F4499" s="1">
        <f>IFERROR(__xludf.DUMMYFUNCTION("""COMPUTED_VALUE"""),1.3665E8)</f>
        <v>136650000</v>
      </c>
    </row>
    <row r="4500">
      <c r="A4500" s="2">
        <f>IFERROR(__xludf.DUMMYFUNCTION("""COMPUTED_VALUE"""),37894.666666666664)</f>
        <v>37894.66667</v>
      </c>
      <c r="B4500" s="1">
        <f>IFERROR(__xludf.DUMMYFUNCTION("""COMPUTED_VALUE"""),1005.14)</f>
        <v>1005.14</v>
      </c>
      <c r="C4500" s="1">
        <f>IFERROR(__xludf.DUMMYFUNCTION("""COMPUTED_VALUE"""),1005.14)</f>
        <v>1005.14</v>
      </c>
      <c r="D4500" s="1">
        <f>IFERROR(__xludf.DUMMYFUNCTION("""COMPUTED_VALUE"""),990.36)</f>
        <v>990.36</v>
      </c>
      <c r="E4500" s="1">
        <f>IFERROR(__xludf.DUMMYFUNCTION("""COMPUTED_VALUE"""),995.97)</f>
        <v>995.97</v>
      </c>
      <c r="F4500" s="1">
        <f>IFERROR(__xludf.DUMMYFUNCTION("""COMPUTED_VALUE"""),1.5905E8)</f>
        <v>159050000</v>
      </c>
    </row>
    <row r="4501">
      <c r="A4501" s="2">
        <f>IFERROR(__xludf.DUMMYFUNCTION("""COMPUTED_VALUE"""),37895.666666666664)</f>
        <v>37895.66667</v>
      </c>
      <c r="B4501" s="1">
        <f>IFERROR(__xludf.DUMMYFUNCTION("""COMPUTED_VALUE"""),997.12)</f>
        <v>997.12</v>
      </c>
      <c r="C4501" s="1">
        <f>IFERROR(__xludf.DUMMYFUNCTION("""COMPUTED_VALUE"""),1018.22)</f>
        <v>1018.22</v>
      </c>
      <c r="D4501" s="1">
        <f>IFERROR(__xludf.DUMMYFUNCTION("""COMPUTED_VALUE"""),997.12)</f>
        <v>997.12</v>
      </c>
      <c r="E4501" s="1">
        <f>IFERROR(__xludf.DUMMYFUNCTION("""COMPUTED_VALUE"""),1018.22)</f>
        <v>1018.22</v>
      </c>
      <c r="F4501" s="1">
        <f>IFERROR(__xludf.DUMMYFUNCTION("""COMPUTED_VALUE"""),1.5663E8)</f>
        <v>156630000</v>
      </c>
    </row>
    <row r="4502">
      <c r="A4502" s="2">
        <f>IFERROR(__xludf.DUMMYFUNCTION("""COMPUTED_VALUE"""),37896.666666666664)</f>
        <v>37896.66667</v>
      </c>
      <c r="B4502" s="1">
        <f>IFERROR(__xludf.DUMMYFUNCTION("""COMPUTED_VALUE"""),1017.78)</f>
        <v>1017.78</v>
      </c>
      <c r="C4502" s="1">
        <f>IFERROR(__xludf.DUMMYFUNCTION("""COMPUTED_VALUE"""),1021.87)</f>
        <v>1021.87</v>
      </c>
      <c r="D4502" s="1">
        <f>IFERROR(__xludf.DUMMYFUNCTION("""COMPUTED_VALUE"""),1013.38)</f>
        <v>1013.38</v>
      </c>
      <c r="E4502" s="1">
        <f>IFERROR(__xludf.DUMMYFUNCTION("""COMPUTED_VALUE"""),1020.24)</f>
        <v>1020.24</v>
      </c>
      <c r="F4502" s="1">
        <f>IFERROR(__xludf.DUMMYFUNCTION("""COMPUTED_VALUE"""),1.2693E8)</f>
        <v>126930000</v>
      </c>
    </row>
    <row r="4503">
      <c r="A4503" s="2">
        <f>IFERROR(__xludf.DUMMYFUNCTION("""COMPUTED_VALUE"""),37897.666666666664)</f>
        <v>37897.66667</v>
      </c>
      <c r="B4503" s="1">
        <f>IFERROR(__xludf.DUMMYFUNCTION("""COMPUTED_VALUE"""),1024.93)</f>
        <v>1024.93</v>
      </c>
      <c r="C4503" s="1">
        <f>IFERROR(__xludf.DUMMYFUNCTION("""COMPUTED_VALUE"""),1039.31)</f>
        <v>1039.31</v>
      </c>
      <c r="D4503" s="1">
        <f>IFERROR(__xludf.DUMMYFUNCTION("""COMPUTED_VALUE"""),1024.93)</f>
        <v>1024.93</v>
      </c>
      <c r="E4503" s="1">
        <f>IFERROR(__xludf.DUMMYFUNCTION("""COMPUTED_VALUE"""),1029.85)</f>
        <v>1029.85</v>
      </c>
      <c r="F4503" s="1">
        <f>IFERROR(__xludf.DUMMYFUNCTION("""COMPUTED_VALUE"""),1.5705E8)</f>
        <v>157050000</v>
      </c>
    </row>
    <row r="4504">
      <c r="A4504" s="2">
        <f>IFERROR(__xludf.DUMMYFUNCTION("""COMPUTED_VALUE"""),37900.666666666664)</f>
        <v>37900.66667</v>
      </c>
      <c r="B4504" s="1">
        <f>IFERROR(__xludf.DUMMYFUNCTION("""COMPUTED_VALUE"""),1030.25)</f>
        <v>1030.25</v>
      </c>
      <c r="C4504" s="1">
        <f>IFERROR(__xludf.DUMMYFUNCTION("""COMPUTED_VALUE"""),1036.48)</f>
        <v>1036.48</v>
      </c>
      <c r="D4504" s="1">
        <f>IFERROR(__xludf.DUMMYFUNCTION("""COMPUTED_VALUE"""),1029.15)</f>
        <v>1029.15</v>
      </c>
      <c r="E4504" s="1">
        <f>IFERROR(__xludf.DUMMYFUNCTION("""COMPUTED_VALUE"""),1034.35)</f>
        <v>1034.35</v>
      </c>
      <c r="F4504" s="1">
        <f>IFERROR(__xludf.DUMMYFUNCTION("""COMPUTED_VALUE"""),1.0258E8)</f>
        <v>102580000</v>
      </c>
    </row>
    <row r="4505">
      <c r="A4505" s="2">
        <f>IFERROR(__xludf.DUMMYFUNCTION("""COMPUTED_VALUE"""),37901.666666666664)</f>
        <v>37901.66667</v>
      </c>
      <c r="B4505" s="1">
        <f>IFERROR(__xludf.DUMMYFUNCTION("""COMPUTED_VALUE"""),1032.81)</f>
        <v>1032.81</v>
      </c>
      <c r="C4505" s="1">
        <f>IFERROR(__xludf.DUMMYFUNCTION("""COMPUTED_VALUE"""),1039.25)</f>
        <v>1039.25</v>
      </c>
      <c r="D4505" s="1">
        <f>IFERROR(__xludf.DUMMYFUNCTION("""COMPUTED_VALUE"""),1026.19)</f>
        <v>1026.19</v>
      </c>
      <c r="E4505" s="1">
        <f>IFERROR(__xludf.DUMMYFUNCTION("""COMPUTED_VALUE"""),1039.25)</f>
        <v>1039.25</v>
      </c>
      <c r="F4505" s="1">
        <f>IFERROR(__xludf.DUMMYFUNCTION("""COMPUTED_VALUE"""),1.2795E8)</f>
        <v>127950000</v>
      </c>
    </row>
    <row r="4506">
      <c r="A4506" s="2">
        <f>IFERROR(__xludf.DUMMYFUNCTION("""COMPUTED_VALUE"""),37902.666666666664)</f>
        <v>37902.66667</v>
      </c>
      <c r="B4506" s="1">
        <f>IFERROR(__xludf.DUMMYFUNCTION("""COMPUTED_VALUE"""),1040.05)</f>
        <v>1040.05</v>
      </c>
      <c r="C4506" s="1">
        <f>IFERROR(__xludf.DUMMYFUNCTION("""COMPUTED_VALUE"""),1040.08)</f>
        <v>1040.08</v>
      </c>
      <c r="D4506" s="1">
        <f>IFERROR(__xludf.DUMMYFUNCTION("""COMPUTED_VALUE"""),1030.96)</f>
        <v>1030.96</v>
      </c>
      <c r="E4506" s="1">
        <f>IFERROR(__xludf.DUMMYFUNCTION("""COMPUTED_VALUE"""),1033.78)</f>
        <v>1033.78</v>
      </c>
      <c r="F4506" s="1">
        <f>IFERROR(__xludf.DUMMYFUNCTION("""COMPUTED_VALUE"""),1.2625E8)</f>
        <v>126250000</v>
      </c>
    </row>
    <row r="4507">
      <c r="A4507" s="2">
        <f>IFERROR(__xludf.DUMMYFUNCTION("""COMPUTED_VALUE"""),37903.666666666664)</f>
        <v>37903.66667</v>
      </c>
      <c r="B4507" s="1">
        <f>IFERROR(__xludf.DUMMYFUNCTION("""COMPUTED_VALUE"""),1036.42)</f>
        <v>1036.42</v>
      </c>
      <c r="C4507" s="1">
        <f>IFERROR(__xludf.DUMMYFUNCTION("""COMPUTED_VALUE"""),1048.28)</f>
        <v>1048.28</v>
      </c>
      <c r="D4507" s="1">
        <f>IFERROR(__xludf.DUMMYFUNCTION("""COMPUTED_VALUE"""),1034.92)</f>
        <v>1034.92</v>
      </c>
      <c r="E4507" s="1">
        <f>IFERROR(__xludf.DUMMYFUNCTION("""COMPUTED_VALUE"""),1038.73)</f>
        <v>1038.73</v>
      </c>
      <c r="F4507" s="1">
        <f>IFERROR(__xludf.DUMMYFUNCTION("""COMPUTED_VALUE"""),1.5787E8)</f>
        <v>157870000</v>
      </c>
    </row>
    <row r="4508">
      <c r="A4508" s="2">
        <f>IFERROR(__xludf.DUMMYFUNCTION("""COMPUTED_VALUE"""),37904.666666666664)</f>
        <v>37904.66667</v>
      </c>
      <c r="B4508" s="1">
        <f>IFERROR(__xludf.DUMMYFUNCTION("""COMPUTED_VALUE"""),1038.83)</f>
        <v>1038.83</v>
      </c>
      <c r="C4508" s="1">
        <f>IFERROR(__xludf.DUMMYFUNCTION("""COMPUTED_VALUE"""),1040.84)</f>
        <v>1040.84</v>
      </c>
      <c r="D4508" s="1">
        <f>IFERROR(__xludf.DUMMYFUNCTION("""COMPUTED_VALUE"""),1035.74)</f>
        <v>1035.74</v>
      </c>
      <c r="E4508" s="1">
        <f>IFERROR(__xludf.DUMMYFUNCTION("""COMPUTED_VALUE"""),1038.06)</f>
        <v>1038.06</v>
      </c>
      <c r="F4508" s="1">
        <f>IFERROR(__xludf.DUMMYFUNCTION("""COMPUTED_VALUE"""),1.1081E8)</f>
        <v>110810000</v>
      </c>
    </row>
    <row r="4509">
      <c r="A4509" s="2">
        <f>IFERROR(__xludf.DUMMYFUNCTION("""COMPUTED_VALUE"""),37907.666666666664)</f>
        <v>37907.66667</v>
      </c>
      <c r="B4509" s="1">
        <f>IFERROR(__xludf.DUMMYFUNCTION("""COMPUTED_VALUE"""),1039.29)</f>
        <v>1039.29</v>
      </c>
      <c r="C4509" s="1">
        <f>IFERROR(__xludf.DUMMYFUNCTION("""COMPUTED_VALUE"""),1048.9)</f>
        <v>1048.9</v>
      </c>
      <c r="D4509" s="1">
        <f>IFERROR(__xludf.DUMMYFUNCTION("""COMPUTED_VALUE"""),1039.29)</f>
        <v>1039.29</v>
      </c>
      <c r="E4509" s="1">
        <f>IFERROR(__xludf.DUMMYFUNCTION("""COMPUTED_VALUE"""),1045.35)</f>
        <v>1045.35</v>
      </c>
      <c r="F4509" s="1">
        <f>IFERROR(__xludf.DUMMYFUNCTION("""COMPUTED_VALUE"""),1.0405E8)</f>
        <v>104050000</v>
      </c>
    </row>
    <row r="4510">
      <c r="A4510" s="2">
        <f>IFERROR(__xludf.DUMMYFUNCTION("""COMPUTED_VALUE"""),37908.666666666664)</f>
        <v>37908.66667</v>
      </c>
      <c r="B4510" s="1">
        <f>IFERROR(__xludf.DUMMYFUNCTION("""COMPUTED_VALUE"""),1045.35)</f>
        <v>1045.35</v>
      </c>
      <c r="C4510" s="1">
        <f>IFERROR(__xludf.DUMMYFUNCTION("""COMPUTED_VALUE"""),1049.49)</f>
        <v>1049.49</v>
      </c>
      <c r="D4510" s="1">
        <f>IFERROR(__xludf.DUMMYFUNCTION("""COMPUTED_VALUE"""),1040.84)</f>
        <v>1040.84</v>
      </c>
      <c r="E4510" s="1">
        <f>IFERROR(__xludf.DUMMYFUNCTION("""COMPUTED_VALUE"""),1049.48)</f>
        <v>1049.48</v>
      </c>
      <c r="F4510" s="1">
        <f>IFERROR(__xludf.DUMMYFUNCTION("""COMPUTED_VALUE"""),1.2719E8)</f>
        <v>127190000</v>
      </c>
    </row>
    <row r="4511">
      <c r="A4511" s="2">
        <f>IFERROR(__xludf.DUMMYFUNCTION("""COMPUTED_VALUE"""),37909.666666666664)</f>
        <v>37909.66667</v>
      </c>
      <c r="B4511" s="1">
        <f>IFERROR(__xludf.DUMMYFUNCTION("""COMPUTED_VALUE"""),1052.82)</f>
        <v>1052.82</v>
      </c>
      <c r="C4511" s="1">
        <f>IFERROR(__xludf.DUMMYFUNCTION("""COMPUTED_VALUE"""),1053.79)</f>
        <v>1053.79</v>
      </c>
      <c r="D4511" s="1">
        <f>IFERROR(__xludf.DUMMYFUNCTION("""COMPUTED_VALUE"""),1043.15)</f>
        <v>1043.15</v>
      </c>
      <c r="E4511" s="1">
        <f>IFERROR(__xludf.DUMMYFUNCTION("""COMPUTED_VALUE"""),1046.76)</f>
        <v>1046.76</v>
      </c>
      <c r="F4511" s="1">
        <f>IFERROR(__xludf.DUMMYFUNCTION("""COMPUTED_VALUE"""),1.5211E8)</f>
        <v>152110000</v>
      </c>
    </row>
    <row r="4512">
      <c r="A4512" s="2">
        <f>IFERROR(__xludf.DUMMYFUNCTION("""COMPUTED_VALUE"""),37910.666666666664)</f>
        <v>37910.66667</v>
      </c>
      <c r="B4512" s="1">
        <f>IFERROR(__xludf.DUMMYFUNCTION("""COMPUTED_VALUE"""),1045.47)</f>
        <v>1045.47</v>
      </c>
      <c r="C4512" s="1">
        <f>IFERROR(__xludf.DUMMYFUNCTION("""COMPUTED_VALUE"""),1052.94)</f>
        <v>1052.94</v>
      </c>
      <c r="D4512" s="1">
        <f>IFERROR(__xludf.DUMMYFUNCTION("""COMPUTED_VALUE"""),1044.04)</f>
        <v>1044.04</v>
      </c>
      <c r="E4512" s="1">
        <f>IFERROR(__xludf.DUMMYFUNCTION("""COMPUTED_VALUE"""),1050.07)</f>
        <v>1050.07</v>
      </c>
      <c r="F4512" s="1">
        <f>IFERROR(__xludf.DUMMYFUNCTION("""COMPUTED_VALUE"""),1.4177E8)</f>
        <v>141770000</v>
      </c>
    </row>
    <row r="4513">
      <c r="A4513" s="2">
        <f>IFERROR(__xludf.DUMMYFUNCTION("""COMPUTED_VALUE"""),37911.666666666664)</f>
        <v>37911.66667</v>
      </c>
      <c r="B4513" s="1">
        <f>IFERROR(__xludf.DUMMYFUNCTION("""COMPUTED_VALUE"""),1050.07)</f>
        <v>1050.07</v>
      </c>
      <c r="C4513" s="1">
        <f>IFERROR(__xludf.DUMMYFUNCTION("""COMPUTED_VALUE"""),1051.9)</f>
        <v>1051.9</v>
      </c>
      <c r="D4513" s="1">
        <f>IFERROR(__xludf.DUMMYFUNCTION("""COMPUTED_VALUE"""),1036.57)</f>
        <v>1036.57</v>
      </c>
      <c r="E4513" s="1">
        <f>IFERROR(__xludf.DUMMYFUNCTION("""COMPUTED_VALUE"""),1039.32)</f>
        <v>1039.32</v>
      </c>
      <c r="F4513" s="1">
        <f>IFERROR(__xludf.DUMMYFUNCTION("""COMPUTED_VALUE"""),1.352E8)</f>
        <v>135200000</v>
      </c>
    </row>
    <row r="4514">
      <c r="A4514" s="2">
        <f>IFERROR(__xludf.DUMMYFUNCTION("""COMPUTED_VALUE"""),37914.666666666664)</f>
        <v>37914.66667</v>
      </c>
      <c r="B4514" s="1">
        <f>IFERROR(__xludf.DUMMYFUNCTION("""COMPUTED_VALUE"""),1039.4)</f>
        <v>1039.4</v>
      </c>
      <c r="C4514" s="1">
        <f>IFERROR(__xludf.DUMMYFUNCTION("""COMPUTED_VALUE"""),1044.69)</f>
        <v>1044.69</v>
      </c>
      <c r="D4514" s="1">
        <f>IFERROR(__xludf.DUMMYFUNCTION("""COMPUTED_VALUE"""),1036.13)</f>
        <v>1036.13</v>
      </c>
      <c r="E4514" s="1">
        <f>IFERROR(__xludf.DUMMYFUNCTION("""COMPUTED_VALUE"""),1044.68)</f>
        <v>1044.68</v>
      </c>
      <c r="F4514" s="1">
        <f>IFERROR(__xludf.DUMMYFUNCTION("""COMPUTED_VALUE"""),1.1726E8)</f>
        <v>117260000</v>
      </c>
    </row>
    <row r="4515">
      <c r="A4515" s="2">
        <f>IFERROR(__xludf.DUMMYFUNCTION("""COMPUTED_VALUE"""),37915.666666666664)</f>
        <v>37915.66667</v>
      </c>
      <c r="B4515" s="1">
        <f>IFERROR(__xludf.DUMMYFUNCTION("""COMPUTED_VALUE"""),1045.24)</f>
        <v>1045.24</v>
      </c>
      <c r="C4515" s="1">
        <f>IFERROR(__xludf.DUMMYFUNCTION("""COMPUTED_VALUE"""),1048.57)</f>
        <v>1048.57</v>
      </c>
      <c r="D4515" s="1">
        <f>IFERROR(__xludf.DUMMYFUNCTION("""COMPUTED_VALUE"""),1042.5)</f>
        <v>1042.5</v>
      </c>
      <c r="E4515" s="1">
        <f>IFERROR(__xludf.DUMMYFUNCTION("""COMPUTED_VALUE"""),1046.03)</f>
        <v>1046.03</v>
      </c>
      <c r="F4515" s="1">
        <f>IFERROR(__xludf.DUMMYFUNCTION("""COMPUTED_VALUE"""),1.498E8)</f>
        <v>149800000</v>
      </c>
    </row>
    <row r="4516">
      <c r="A4516" s="2">
        <f>IFERROR(__xludf.DUMMYFUNCTION("""COMPUTED_VALUE"""),37916.666666666664)</f>
        <v>37916.66667</v>
      </c>
      <c r="B4516" s="1">
        <f>IFERROR(__xludf.DUMMYFUNCTION("""COMPUTED_VALUE"""),1046.02)</f>
        <v>1046.02</v>
      </c>
      <c r="C4516" s="1">
        <f>IFERROR(__xludf.DUMMYFUNCTION("""COMPUTED_VALUE"""),1046.02)</f>
        <v>1046.02</v>
      </c>
      <c r="D4516" s="1">
        <f>IFERROR(__xludf.DUMMYFUNCTION("""COMPUTED_VALUE"""),1028.39)</f>
        <v>1028.39</v>
      </c>
      <c r="E4516" s="1">
        <f>IFERROR(__xludf.DUMMYFUNCTION("""COMPUTED_VALUE"""),1030.36)</f>
        <v>1030.36</v>
      </c>
      <c r="F4516" s="1">
        <f>IFERROR(__xludf.DUMMYFUNCTION("""COMPUTED_VALUE"""),1.6472E8)</f>
        <v>164720000</v>
      </c>
    </row>
    <row r="4517">
      <c r="A4517" s="2">
        <f>IFERROR(__xludf.DUMMYFUNCTION("""COMPUTED_VALUE"""),37917.666666666664)</f>
        <v>37917.66667</v>
      </c>
      <c r="B4517" s="1">
        <f>IFERROR(__xludf.DUMMYFUNCTION("""COMPUTED_VALUE"""),1030.36)</f>
        <v>1030.36</v>
      </c>
      <c r="C4517" s="1">
        <f>IFERROR(__xludf.DUMMYFUNCTION("""COMPUTED_VALUE"""),1035.44)</f>
        <v>1035.44</v>
      </c>
      <c r="D4517" s="1">
        <f>IFERROR(__xludf.DUMMYFUNCTION("""COMPUTED_VALUE"""),1025.87)</f>
        <v>1025.87</v>
      </c>
      <c r="E4517" s="1">
        <f>IFERROR(__xludf.DUMMYFUNCTION("""COMPUTED_VALUE"""),1033.77)</f>
        <v>1033.77</v>
      </c>
      <c r="F4517" s="1">
        <f>IFERROR(__xludf.DUMMYFUNCTION("""COMPUTED_VALUE"""),1.6043E8)</f>
        <v>160430000</v>
      </c>
    </row>
    <row r="4518">
      <c r="A4518" s="2">
        <f>IFERROR(__xludf.DUMMYFUNCTION("""COMPUTED_VALUE"""),37918.666666666664)</f>
        <v>37918.66667</v>
      </c>
      <c r="B4518" s="1">
        <f>IFERROR(__xludf.DUMMYFUNCTION("""COMPUTED_VALUE"""),1030.79)</f>
        <v>1030.79</v>
      </c>
      <c r="C4518" s="1">
        <f>IFERROR(__xludf.DUMMYFUNCTION("""COMPUTED_VALUE"""),1030.79)</f>
        <v>1030.79</v>
      </c>
      <c r="D4518" s="1">
        <f>IFERROR(__xludf.DUMMYFUNCTION("""COMPUTED_VALUE"""),1018.32)</f>
        <v>1018.32</v>
      </c>
      <c r="E4518" s="1">
        <f>IFERROR(__xludf.DUMMYFUNCTION("""COMPUTED_VALUE"""),1028.91)</f>
        <v>1028.91</v>
      </c>
      <c r="F4518" s="1">
        <f>IFERROR(__xludf.DUMMYFUNCTION("""COMPUTED_VALUE"""),1.4203E8)</f>
        <v>142030000</v>
      </c>
    </row>
    <row r="4519">
      <c r="A4519" s="2">
        <f>IFERROR(__xludf.DUMMYFUNCTION("""COMPUTED_VALUE"""),37921.666666666664)</f>
        <v>37921.66667</v>
      </c>
      <c r="B4519" s="1">
        <f>IFERROR(__xludf.DUMMYFUNCTION("""COMPUTED_VALUE"""),1030.57)</f>
        <v>1030.57</v>
      </c>
      <c r="C4519" s="1">
        <f>IFERROR(__xludf.DUMMYFUNCTION("""COMPUTED_VALUE"""),1037.75)</f>
        <v>1037.75</v>
      </c>
      <c r="D4519" s="1">
        <f>IFERROR(__xludf.DUMMYFUNCTION("""COMPUTED_VALUE"""),1029.19)</f>
        <v>1029.19</v>
      </c>
      <c r="E4519" s="1">
        <f>IFERROR(__xludf.DUMMYFUNCTION("""COMPUTED_VALUE"""),1031.13)</f>
        <v>1031.13</v>
      </c>
      <c r="F4519" s="1">
        <f>IFERROR(__xludf.DUMMYFUNCTION("""COMPUTED_VALUE"""),1.3718E8)</f>
        <v>137180000</v>
      </c>
    </row>
    <row r="4520">
      <c r="A4520" s="2">
        <f>IFERROR(__xludf.DUMMYFUNCTION("""COMPUTED_VALUE"""),37922.666666666664)</f>
        <v>37922.66667</v>
      </c>
      <c r="B4520" s="1">
        <f>IFERROR(__xludf.DUMMYFUNCTION("""COMPUTED_VALUE"""),1032.75)</f>
        <v>1032.75</v>
      </c>
      <c r="C4520" s="1">
        <f>IFERROR(__xludf.DUMMYFUNCTION("""COMPUTED_VALUE"""),1046.79)</f>
        <v>1046.79</v>
      </c>
      <c r="D4520" s="1">
        <f>IFERROR(__xludf.DUMMYFUNCTION("""COMPUTED_VALUE"""),1032.75)</f>
        <v>1032.75</v>
      </c>
      <c r="E4520" s="1">
        <f>IFERROR(__xludf.DUMMYFUNCTION("""COMPUTED_VALUE"""),1046.79)</f>
        <v>1046.79</v>
      </c>
      <c r="F4520" s="1">
        <f>IFERROR(__xludf.DUMMYFUNCTION("""COMPUTED_VALUE"""),1.6292E8)</f>
        <v>162920000</v>
      </c>
    </row>
    <row r="4521">
      <c r="A4521" s="2">
        <f>IFERROR(__xludf.DUMMYFUNCTION("""COMPUTED_VALUE"""),37923.666666666664)</f>
        <v>37923.66667</v>
      </c>
      <c r="B4521" s="1">
        <f>IFERROR(__xludf.DUMMYFUNCTION("""COMPUTED_VALUE"""),1046.79)</f>
        <v>1046.79</v>
      </c>
      <c r="C4521" s="1">
        <f>IFERROR(__xludf.DUMMYFUNCTION("""COMPUTED_VALUE"""),1049.83)</f>
        <v>1049.83</v>
      </c>
      <c r="D4521" s="1">
        <f>IFERROR(__xludf.DUMMYFUNCTION("""COMPUTED_VALUE"""),1043.35)</f>
        <v>1043.35</v>
      </c>
      <c r="E4521" s="1">
        <f>IFERROR(__xludf.DUMMYFUNCTION("""COMPUTED_VALUE"""),1048.11)</f>
        <v>1048.11</v>
      </c>
      <c r="F4521" s="1">
        <f>IFERROR(__xludf.DUMMYFUNCTION("""COMPUTED_VALUE"""),1.5626E8)</f>
        <v>156260000</v>
      </c>
    </row>
    <row r="4522">
      <c r="A4522" s="2">
        <f>IFERROR(__xludf.DUMMYFUNCTION("""COMPUTED_VALUE"""),37924.666666666664)</f>
        <v>37924.66667</v>
      </c>
      <c r="B4522" s="1">
        <f>IFERROR(__xludf.DUMMYFUNCTION("""COMPUTED_VALUE"""),1050.3)</f>
        <v>1050.3</v>
      </c>
      <c r="C4522" s="1">
        <f>IFERROR(__xludf.DUMMYFUNCTION("""COMPUTED_VALUE"""),1052.82)</f>
        <v>1052.82</v>
      </c>
      <c r="D4522" s="1">
        <f>IFERROR(__xludf.DUMMYFUNCTION("""COMPUTED_VALUE"""),1043.82)</f>
        <v>1043.82</v>
      </c>
      <c r="E4522" s="1">
        <f>IFERROR(__xludf.DUMMYFUNCTION("""COMPUTED_VALUE"""),1046.94)</f>
        <v>1046.94</v>
      </c>
      <c r="F4522" s="1">
        <f>IFERROR(__xludf.DUMMYFUNCTION("""COMPUTED_VALUE"""),1.6297E8)</f>
        <v>162970000</v>
      </c>
    </row>
    <row r="4523">
      <c r="A4523" s="2">
        <f>IFERROR(__xludf.DUMMYFUNCTION("""COMPUTED_VALUE"""),37925.666666666664)</f>
        <v>37925.66667</v>
      </c>
      <c r="B4523" s="1">
        <f>IFERROR(__xludf.DUMMYFUNCTION("""COMPUTED_VALUE"""),1046.94)</f>
        <v>1046.94</v>
      </c>
      <c r="C4523" s="1">
        <f>IFERROR(__xludf.DUMMYFUNCTION("""COMPUTED_VALUE"""),1053.09)</f>
        <v>1053.09</v>
      </c>
      <c r="D4523" s="1">
        <f>IFERROR(__xludf.DUMMYFUNCTION("""COMPUTED_VALUE"""),1046.94)</f>
        <v>1046.94</v>
      </c>
      <c r="E4523" s="1">
        <f>IFERROR(__xludf.DUMMYFUNCTION("""COMPUTED_VALUE"""),1050.71)</f>
        <v>1050.71</v>
      </c>
      <c r="F4523" s="1">
        <f>IFERROR(__xludf.DUMMYFUNCTION("""COMPUTED_VALUE"""),1.4989E8)</f>
        <v>149890000</v>
      </c>
    </row>
    <row r="4524">
      <c r="A4524" s="2">
        <f>IFERROR(__xludf.DUMMYFUNCTION("""COMPUTED_VALUE"""),37928.666666666664)</f>
        <v>37928.66667</v>
      </c>
      <c r="B4524" s="1">
        <f>IFERROR(__xludf.DUMMYFUNCTION("""COMPUTED_VALUE"""),1051.84)</f>
        <v>1051.84</v>
      </c>
      <c r="C4524" s="1">
        <f>IFERROR(__xludf.DUMMYFUNCTION("""COMPUTED_VALUE"""),1061.44)</f>
        <v>1061.44</v>
      </c>
      <c r="D4524" s="1">
        <f>IFERROR(__xludf.DUMMYFUNCTION("""COMPUTED_VALUE"""),1051.84)</f>
        <v>1051.84</v>
      </c>
      <c r="E4524" s="1">
        <f>IFERROR(__xludf.DUMMYFUNCTION("""COMPUTED_VALUE"""),1059.02)</f>
        <v>1059.02</v>
      </c>
      <c r="F4524" s="1">
        <f>IFERROR(__xludf.DUMMYFUNCTION("""COMPUTED_VALUE"""),1.3782E8)</f>
        <v>137820000</v>
      </c>
    </row>
    <row r="4525">
      <c r="A4525" s="2">
        <f>IFERROR(__xludf.DUMMYFUNCTION("""COMPUTED_VALUE"""),37929.666666666664)</f>
        <v>37929.66667</v>
      </c>
      <c r="B4525" s="1">
        <f>IFERROR(__xludf.DUMMYFUNCTION("""COMPUTED_VALUE"""),1059.02)</f>
        <v>1059.02</v>
      </c>
      <c r="C4525" s="1">
        <f>IFERROR(__xludf.DUMMYFUNCTION("""COMPUTED_VALUE"""),1059.02)</f>
        <v>1059.02</v>
      </c>
      <c r="D4525" s="1">
        <f>IFERROR(__xludf.DUMMYFUNCTION("""COMPUTED_VALUE"""),1051.7)</f>
        <v>1051.7</v>
      </c>
      <c r="E4525" s="1">
        <f>IFERROR(__xludf.DUMMYFUNCTION("""COMPUTED_VALUE"""),1053.25)</f>
        <v>1053.25</v>
      </c>
      <c r="F4525" s="1">
        <f>IFERROR(__xludf.DUMMYFUNCTION("""COMPUTED_VALUE"""),1.4176E8)</f>
        <v>141760000</v>
      </c>
    </row>
    <row r="4526">
      <c r="A4526" s="2">
        <f>IFERROR(__xludf.DUMMYFUNCTION("""COMPUTED_VALUE"""),37930.666666666664)</f>
        <v>37930.66667</v>
      </c>
      <c r="B4526" s="1">
        <f>IFERROR(__xludf.DUMMYFUNCTION("""COMPUTED_VALUE"""),1053.31)</f>
        <v>1053.31</v>
      </c>
      <c r="C4526" s="1">
        <f>IFERROR(__xludf.DUMMYFUNCTION("""COMPUTED_VALUE"""),1054.54)</f>
        <v>1054.54</v>
      </c>
      <c r="D4526" s="1">
        <f>IFERROR(__xludf.DUMMYFUNCTION("""COMPUTED_VALUE"""),1044.88)</f>
        <v>1044.88</v>
      </c>
      <c r="E4526" s="1">
        <f>IFERROR(__xludf.DUMMYFUNCTION("""COMPUTED_VALUE"""),1051.81)</f>
        <v>1051.81</v>
      </c>
      <c r="F4526" s="1">
        <f>IFERROR(__xludf.DUMMYFUNCTION("""COMPUTED_VALUE"""),1.4018E8)</f>
        <v>140180000</v>
      </c>
    </row>
    <row r="4527">
      <c r="A4527" s="2">
        <f>IFERROR(__xludf.DUMMYFUNCTION("""COMPUTED_VALUE"""),37931.666666666664)</f>
        <v>37931.66667</v>
      </c>
      <c r="B4527" s="1">
        <f>IFERROR(__xludf.DUMMYFUNCTION("""COMPUTED_VALUE"""),1053.51)</f>
        <v>1053.51</v>
      </c>
      <c r="C4527" s="1">
        <f>IFERROR(__xludf.DUMMYFUNCTION("""COMPUTED_VALUE"""),1058.94)</f>
        <v>1058.94</v>
      </c>
      <c r="D4527" s="1">
        <f>IFERROR(__xludf.DUMMYFUNCTION("""COMPUTED_VALUE"""),1046.93)</f>
        <v>1046.93</v>
      </c>
      <c r="E4527" s="1">
        <f>IFERROR(__xludf.DUMMYFUNCTION("""COMPUTED_VALUE"""),1058.05)</f>
        <v>1058.05</v>
      </c>
      <c r="F4527" s="1">
        <f>IFERROR(__xludf.DUMMYFUNCTION("""COMPUTED_VALUE"""),1.4539E8)</f>
        <v>145390000</v>
      </c>
    </row>
    <row r="4528">
      <c r="A4528" s="2">
        <f>IFERROR(__xludf.DUMMYFUNCTION("""COMPUTED_VALUE"""),37932.666666666664)</f>
        <v>37932.66667</v>
      </c>
      <c r="B4528" s="1">
        <f>IFERROR(__xludf.DUMMYFUNCTION("""COMPUTED_VALUE"""),1059.69)</f>
        <v>1059.69</v>
      </c>
      <c r="C4528" s="1">
        <f>IFERROR(__xludf.DUMMYFUNCTION("""COMPUTED_VALUE"""),1062.39)</f>
        <v>1062.39</v>
      </c>
      <c r="D4528" s="1">
        <f>IFERROR(__xludf.DUMMYFUNCTION("""COMPUTED_VALUE"""),1052.17)</f>
        <v>1052.17</v>
      </c>
      <c r="E4528" s="1">
        <f>IFERROR(__xludf.DUMMYFUNCTION("""COMPUTED_VALUE"""),1053.21)</f>
        <v>1053.21</v>
      </c>
      <c r="F4528" s="1">
        <f>IFERROR(__xludf.DUMMYFUNCTION("""COMPUTED_VALUE"""),1.4405E8)</f>
        <v>144050000</v>
      </c>
    </row>
    <row r="4529">
      <c r="A4529" s="2">
        <f>IFERROR(__xludf.DUMMYFUNCTION("""COMPUTED_VALUE"""),37935.666666666664)</f>
        <v>37935.66667</v>
      </c>
      <c r="B4529" s="1">
        <f>IFERROR(__xludf.DUMMYFUNCTION("""COMPUTED_VALUE"""),1053.44)</f>
        <v>1053.44</v>
      </c>
      <c r="C4529" s="1">
        <f>IFERROR(__xludf.DUMMYFUNCTION("""COMPUTED_VALUE"""),1053.65)</f>
        <v>1053.65</v>
      </c>
      <c r="D4529" s="1">
        <f>IFERROR(__xludf.DUMMYFUNCTION("""COMPUTED_VALUE"""),1045.58)</f>
        <v>1045.58</v>
      </c>
      <c r="E4529" s="1">
        <f>IFERROR(__xludf.DUMMYFUNCTION("""COMPUTED_VALUE"""),1047.11)</f>
        <v>1047.11</v>
      </c>
      <c r="F4529" s="1">
        <f>IFERROR(__xludf.DUMMYFUNCTION("""COMPUTED_VALUE"""),1.2436E8)</f>
        <v>124360000</v>
      </c>
    </row>
    <row r="4530">
      <c r="A4530" s="2">
        <f>IFERROR(__xludf.DUMMYFUNCTION("""COMPUTED_VALUE"""),37936.666666666664)</f>
        <v>37936.66667</v>
      </c>
      <c r="B4530" s="1">
        <f>IFERROR(__xludf.DUMMYFUNCTION("""COMPUTED_VALUE"""),1046.88)</f>
        <v>1046.88</v>
      </c>
      <c r="C4530" s="1">
        <f>IFERROR(__xludf.DUMMYFUNCTION("""COMPUTED_VALUE"""),1048.23)</f>
        <v>1048.23</v>
      </c>
      <c r="D4530" s="1">
        <f>IFERROR(__xludf.DUMMYFUNCTION("""COMPUTED_VALUE"""),1043.46)</f>
        <v>1043.46</v>
      </c>
      <c r="E4530" s="1">
        <f>IFERROR(__xludf.DUMMYFUNCTION("""COMPUTED_VALUE"""),1046.57)</f>
        <v>1046.57</v>
      </c>
      <c r="F4530" s="1">
        <f>IFERROR(__xludf.DUMMYFUNCTION("""COMPUTED_VALUE"""),1.1625E8)</f>
        <v>116250000</v>
      </c>
    </row>
    <row r="4531">
      <c r="A4531" s="2">
        <f>IFERROR(__xludf.DUMMYFUNCTION("""COMPUTED_VALUE"""),37937.666666666664)</f>
        <v>37937.66667</v>
      </c>
      <c r="B4531" s="1">
        <f>IFERROR(__xludf.DUMMYFUNCTION("""COMPUTED_VALUE"""),1047.02)</f>
        <v>1047.02</v>
      </c>
      <c r="C4531" s="1">
        <f>IFERROR(__xludf.DUMMYFUNCTION("""COMPUTED_VALUE"""),1059.1)</f>
        <v>1059.1</v>
      </c>
      <c r="D4531" s="1">
        <f>IFERROR(__xludf.DUMMYFUNCTION("""COMPUTED_VALUE"""),1046.74)</f>
        <v>1046.74</v>
      </c>
      <c r="E4531" s="1">
        <f>IFERROR(__xludf.DUMMYFUNCTION("""COMPUTED_VALUE"""),1058.53)</f>
        <v>1058.53</v>
      </c>
      <c r="F4531" s="1">
        <f>IFERROR(__xludf.DUMMYFUNCTION("""COMPUTED_VALUE"""),1.3493E8)</f>
        <v>134930000</v>
      </c>
    </row>
    <row r="4532">
      <c r="A4532" s="2">
        <f>IFERROR(__xludf.DUMMYFUNCTION("""COMPUTED_VALUE"""),37938.666666666664)</f>
        <v>37938.66667</v>
      </c>
      <c r="B4532" s="1">
        <f>IFERROR(__xludf.DUMMYFUNCTION("""COMPUTED_VALUE"""),1057.54)</f>
        <v>1057.54</v>
      </c>
      <c r="C4532" s="1">
        <f>IFERROR(__xludf.DUMMYFUNCTION("""COMPUTED_VALUE"""),1059.62)</f>
        <v>1059.62</v>
      </c>
      <c r="D4532" s="1">
        <f>IFERROR(__xludf.DUMMYFUNCTION("""COMPUTED_VALUE"""),1052.96)</f>
        <v>1052.96</v>
      </c>
      <c r="E4532" s="1">
        <f>IFERROR(__xludf.DUMMYFUNCTION("""COMPUTED_VALUE"""),1058.41)</f>
        <v>1058.41</v>
      </c>
      <c r="F4532" s="1">
        <f>IFERROR(__xludf.DUMMYFUNCTION("""COMPUTED_VALUE"""),1.383E8)</f>
        <v>138300000</v>
      </c>
    </row>
    <row r="4533">
      <c r="A4533" s="2">
        <f>IFERROR(__xludf.DUMMYFUNCTION("""COMPUTED_VALUE"""),37939.666666666664)</f>
        <v>37939.66667</v>
      </c>
      <c r="B4533" s="1">
        <f>IFERROR(__xludf.DUMMYFUNCTION("""COMPUTED_VALUE"""),1058.41)</f>
        <v>1058.41</v>
      </c>
      <c r="C4533" s="1">
        <f>IFERROR(__xludf.DUMMYFUNCTION("""COMPUTED_VALUE"""),1063.65)</f>
        <v>1063.65</v>
      </c>
      <c r="D4533" s="1">
        <f>IFERROR(__xludf.DUMMYFUNCTION("""COMPUTED_VALUE"""),1048.11)</f>
        <v>1048.11</v>
      </c>
      <c r="E4533" s="1">
        <f>IFERROR(__xludf.DUMMYFUNCTION("""COMPUTED_VALUE"""),1050.35)</f>
        <v>1050.35</v>
      </c>
      <c r="F4533" s="1">
        <f>IFERROR(__xludf.DUMMYFUNCTION("""COMPUTED_VALUE"""),1.3561E8)</f>
        <v>135610000</v>
      </c>
    </row>
    <row r="4534">
      <c r="A4534" s="2">
        <f>IFERROR(__xludf.DUMMYFUNCTION("""COMPUTED_VALUE"""),37942.666666666664)</f>
        <v>37942.66667</v>
      </c>
      <c r="B4534" s="1">
        <f>IFERROR(__xludf.DUMMYFUNCTION("""COMPUTED_VALUE"""),1049.04)</f>
        <v>1049.04</v>
      </c>
      <c r="C4534" s="1">
        <f>IFERROR(__xludf.DUMMYFUNCTION("""COMPUTED_VALUE"""),1049.04)</f>
        <v>1049.04</v>
      </c>
      <c r="D4534" s="1">
        <f>IFERROR(__xludf.DUMMYFUNCTION("""COMPUTED_VALUE"""),1035.28)</f>
        <v>1035.28</v>
      </c>
      <c r="E4534" s="1">
        <f>IFERROR(__xludf.DUMMYFUNCTION("""COMPUTED_VALUE"""),1043.63)</f>
        <v>1043.63</v>
      </c>
      <c r="F4534" s="1">
        <f>IFERROR(__xludf.DUMMYFUNCTION("""COMPUTED_VALUE"""),1.3743E8)</f>
        <v>137430000</v>
      </c>
    </row>
    <row r="4535">
      <c r="A4535" s="2">
        <f>IFERROR(__xludf.DUMMYFUNCTION("""COMPUTED_VALUE"""),37943.666666666664)</f>
        <v>37943.66667</v>
      </c>
      <c r="B4535" s="1">
        <f>IFERROR(__xludf.DUMMYFUNCTION("""COMPUTED_VALUE"""),1043.7)</f>
        <v>1043.7</v>
      </c>
      <c r="C4535" s="1">
        <f>IFERROR(__xludf.DUMMYFUNCTION("""COMPUTED_VALUE"""),1048.77)</f>
        <v>1048.77</v>
      </c>
      <c r="D4535" s="1">
        <f>IFERROR(__xludf.DUMMYFUNCTION("""COMPUTED_VALUE"""),1034.0)</f>
        <v>1034</v>
      </c>
      <c r="E4535" s="1">
        <f>IFERROR(__xludf.DUMMYFUNCTION("""COMPUTED_VALUE"""),1034.15)</f>
        <v>1034.15</v>
      </c>
      <c r="F4535" s="1">
        <f>IFERROR(__xludf.DUMMYFUNCTION("""COMPUTED_VALUE"""),1.3543E8)</f>
        <v>135430000</v>
      </c>
    </row>
    <row r="4536">
      <c r="A4536" s="2">
        <f>IFERROR(__xludf.DUMMYFUNCTION("""COMPUTED_VALUE"""),37944.666666666664)</f>
        <v>37944.66667</v>
      </c>
      <c r="B4536" s="1">
        <f>IFERROR(__xludf.DUMMYFUNCTION("""COMPUTED_VALUE"""),1034.15)</f>
        <v>1034.15</v>
      </c>
      <c r="C4536" s="1">
        <f>IFERROR(__xludf.DUMMYFUNCTION("""COMPUTED_VALUE"""),1043.95)</f>
        <v>1043.95</v>
      </c>
      <c r="D4536" s="1">
        <f>IFERROR(__xludf.DUMMYFUNCTION("""COMPUTED_VALUE"""),1034.15)</f>
        <v>1034.15</v>
      </c>
      <c r="E4536" s="1">
        <f>IFERROR(__xludf.DUMMYFUNCTION("""COMPUTED_VALUE"""),1042.44)</f>
        <v>1042.44</v>
      </c>
      <c r="F4536" s="1">
        <f>IFERROR(__xludf.DUMMYFUNCTION("""COMPUTED_VALUE"""),1.3262E8)</f>
        <v>132620000</v>
      </c>
    </row>
    <row r="4537">
      <c r="A4537" s="2">
        <f>IFERROR(__xludf.DUMMYFUNCTION("""COMPUTED_VALUE"""),37945.666666666664)</f>
        <v>37945.66667</v>
      </c>
      <c r="B4537" s="1">
        <f>IFERROR(__xludf.DUMMYFUNCTION("""COMPUTED_VALUE"""),1041.13)</f>
        <v>1041.13</v>
      </c>
      <c r="C4537" s="1">
        <f>IFERROR(__xludf.DUMMYFUNCTION("""COMPUTED_VALUE"""),1046.48)</f>
        <v>1046.48</v>
      </c>
      <c r="D4537" s="1">
        <f>IFERROR(__xludf.DUMMYFUNCTION("""COMPUTED_VALUE"""),1033.42)</f>
        <v>1033.42</v>
      </c>
      <c r="E4537" s="1">
        <f>IFERROR(__xludf.DUMMYFUNCTION("""COMPUTED_VALUE"""),1033.65)</f>
        <v>1033.65</v>
      </c>
      <c r="F4537" s="1">
        <f>IFERROR(__xludf.DUMMYFUNCTION("""COMPUTED_VALUE"""),1.3267E8)</f>
        <v>132670000</v>
      </c>
    </row>
    <row r="4538">
      <c r="A4538" s="2">
        <f>IFERROR(__xludf.DUMMYFUNCTION("""COMPUTED_VALUE"""),37946.666666666664)</f>
        <v>37946.66667</v>
      </c>
      <c r="B4538" s="1">
        <f>IFERROR(__xludf.DUMMYFUNCTION("""COMPUTED_VALUE"""),1035.25)</f>
        <v>1035.25</v>
      </c>
      <c r="C4538" s="1">
        <f>IFERROR(__xludf.DUMMYFUNCTION("""COMPUTED_VALUE"""),1037.57)</f>
        <v>1037.57</v>
      </c>
      <c r="D4538" s="1">
        <f>IFERROR(__xludf.DUMMYFUNCTION("""COMPUTED_VALUE"""),1031.2)</f>
        <v>1031.2</v>
      </c>
      <c r="E4538" s="1">
        <f>IFERROR(__xludf.DUMMYFUNCTION("""COMPUTED_VALUE"""),1035.28)</f>
        <v>1035.28</v>
      </c>
      <c r="F4538" s="1">
        <f>IFERROR(__xludf.DUMMYFUNCTION("""COMPUTED_VALUE"""),1.2738E8)</f>
        <v>127380000</v>
      </c>
    </row>
    <row r="4539">
      <c r="A4539" s="2">
        <f>IFERROR(__xludf.DUMMYFUNCTION("""COMPUTED_VALUE"""),37949.666666666664)</f>
        <v>37949.66667</v>
      </c>
      <c r="B4539" s="1">
        <f>IFERROR(__xludf.DUMMYFUNCTION("""COMPUTED_VALUE"""),1036.44)</f>
        <v>1036.44</v>
      </c>
      <c r="C4539" s="1">
        <f>IFERROR(__xludf.DUMMYFUNCTION("""COMPUTED_VALUE"""),1052.08)</f>
        <v>1052.08</v>
      </c>
      <c r="D4539" s="1">
        <f>IFERROR(__xludf.DUMMYFUNCTION("""COMPUTED_VALUE"""),1036.44)</f>
        <v>1036.44</v>
      </c>
      <c r="E4539" s="1">
        <f>IFERROR(__xludf.DUMMYFUNCTION("""COMPUTED_VALUE"""),1052.08)</f>
        <v>1052.08</v>
      </c>
      <c r="F4539" s="1">
        <f>IFERROR(__xludf.DUMMYFUNCTION("""COMPUTED_VALUE"""),1.3028E8)</f>
        <v>130280000</v>
      </c>
    </row>
    <row r="4540">
      <c r="A4540" s="2">
        <f>IFERROR(__xludf.DUMMYFUNCTION("""COMPUTED_VALUE"""),37950.666666666664)</f>
        <v>37950.66667</v>
      </c>
      <c r="B4540" s="1">
        <f>IFERROR(__xludf.DUMMYFUNCTION("""COMPUTED_VALUE"""),1052.11)</f>
        <v>1052.11</v>
      </c>
      <c r="C4540" s="1">
        <f>IFERROR(__xludf.DUMMYFUNCTION("""COMPUTED_VALUE"""),1058.05)</f>
        <v>1058.05</v>
      </c>
      <c r="D4540" s="1">
        <f>IFERROR(__xludf.DUMMYFUNCTION("""COMPUTED_VALUE"""),1049.31)</f>
        <v>1049.31</v>
      </c>
      <c r="E4540" s="1">
        <f>IFERROR(__xludf.DUMMYFUNCTION("""COMPUTED_VALUE"""),1053.89)</f>
        <v>1053.89</v>
      </c>
      <c r="F4540" s="1">
        <f>IFERROR(__xludf.DUMMYFUNCTION("""COMPUTED_VALUE"""),1.3337E8)</f>
        <v>133370000</v>
      </c>
    </row>
    <row r="4541">
      <c r="A4541" s="2">
        <f>IFERROR(__xludf.DUMMYFUNCTION("""COMPUTED_VALUE"""),37951.666666666664)</f>
        <v>37951.66667</v>
      </c>
      <c r="B4541" s="1">
        <f>IFERROR(__xludf.DUMMYFUNCTION("""COMPUTED_VALUE"""),1055.25)</f>
        <v>1055.25</v>
      </c>
      <c r="C4541" s="1">
        <f>IFERROR(__xludf.DUMMYFUNCTION("""COMPUTED_VALUE"""),1058.45)</f>
        <v>1058.45</v>
      </c>
      <c r="D4541" s="1">
        <f>IFERROR(__xludf.DUMMYFUNCTION("""COMPUTED_VALUE"""),1048.28)</f>
        <v>1048.28</v>
      </c>
      <c r="E4541" s="1">
        <f>IFERROR(__xludf.DUMMYFUNCTION("""COMPUTED_VALUE"""),1058.45)</f>
        <v>1058.45</v>
      </c>
      <c r="F4541" s="1">
        <f>IFERROR(__xludf.DUMMYFUNCTION("""COMPUTED_VALUE"""),1.0977E8)</f>
        <v>109770000</v>
      </c>
    </row>
    <row r="4542">
      <c r="A4542" s="2">
        <f>IFERROR(__xludf.DUMMYFUNCTION("""COMPUTED_VALUE"""),37953.666666666664)</f>
        <v>37953.66667</v>
      </c>
      <c r="B4542" s="1">
        <f>IFERROR(__xludf.DUMMYFUNCTION("""COMPUTED_VALUE"""),1057.89)</f>
        <v>1057.89</v>
      </c>
      <c r="C4542" s="1">
        <f>IFERROR(__xludf.DUMMYFUNCTION("""COMPUTED_VALUE"""),1060.63)</f>
        <v>1060.63</v>
      </c>
      <c r="D4542" s="1">
        <f>IFERROR(__xludf.DUMMYFUNCTION("""COMPUTED_VALUE"""),1056.77)</f>
        <v>1056.77</v>
      </c>
      <c r="E4542" s="1">
        <f>IFERROR(__xludf.DUMMYFUNCTION("""COMPUTED_VALUE"""),1058.2)</f>
        <v>1058.2</v>
      </c>
      <c r="F4542" s="1">
        <f>IFERROR(__xludf.DUMMYFUNCTION("""COMPUTED_VALUE"""),4.8722E7)</f>
        <v>48722000</v>
      </c>
    </row>
    <row r="4543">
      <c r="A4543" s="2">
        <f>IFERROR(__xludf.DUMMYFUNCTION("""COMPUTED_VALUE"""),37956.666666666664)</f>
        <v>37956.66667</v>
      </c>
      <c r="B4543" s="1">
        <f>IFERROR(__xludf.DUMMYFUNCTION("""COMPUTED_VALUE"""),1058.2)</f>
        <v>1058.2</v>
      </c>
      <c r="C4543" s="1">
        <f>IFERROR(__xludf.DUMMYFUNCTION("""COMPUTED_VALUE"""),1070.47)</f>
        <v>1070.47</v>
      </c>
      <c r="D4543" s="1">
        <f>IFERROR(__xludf.DUMMYFUNCTION("""COMPUTED_VALUE"""),1058.2)</f>
        <v>1058.2</v>
      </c>
      <c r="E4543" s="1">
        <f>IFERROR(__xludf.DUMMYFUNCTION("""COMPUTED_VALUE"""),1070.12)</f>
        <v>1070.12</v>
      </c>
      <c r="F4543" s="1">
        <f>IFERROR(__xludf.DUMMYFUNCTION("""COMPUTED_VALUE"""),1.375E8)</f>
        <v>137500000</v>
      </c>
    </row>
    <row r="4544">
      <c r="A4544" s="2">
        <f>IFERROR(__xludf.DUMMYFUNCTION("""COMPUTED_VALUE"""),37957.666666666664)</f>
        <v>37957.66667</v>
      </c>
      <c r="B4544" s="1">
        <f>IFERROR(__xludf.DUMMYFUNCTION("""COMPUTED_VALUE"""),1070.12)</f>
        <v>1070.12</v>
      </c>
      <c r="C4544" s="1">
        <f>IFERROR(__xludf.DUMMYFUNCTION("""COMPUTED_VALUE"""),1071.22)</f>
        <v>1071.22</v>
      </c>
      <c r="D4544" s="1">
        <f>IFERROR(__xludf.DUMMYFUNCTION("""COMPUTED_VALUE"""),1065.22)</f>
        <v>1065.22</v>
      </c>
      <c r="E4544" s="1">
        <f>IFERROR(__xludf.DUMMYFUNCTION("""COMPUTED_VALUE"""),1066.62)</f>
        <v>1066.62</v>
      </c>
      <c r="F4544" s="1">
        <f>IFERROR(__xludf.DUMMYFUNCTION("""COMPUTED_VALUE"""),1.3832E8)</f>
        <v>138320000</v>
      </c>
    </row>
    <row r="4545">
      <c r="A4545" s="2">
        <f>IFERROR(__xludf.DUMMYFUNCTION("""COMPUTED_VALUE"""),37958.666666666664)</f>
        <v>37958.66667</v>
      </c>
      <c r="B4545" s="1">
        <f>IFERROR(__xludf.DUMMYFUNCTION("""COMPUTED_VALUE"""),1066.62)</f>
        <v>1066.62</v>
      </c>
      <c r="C4545" s="1">
        <f>IFERROR(__xludf.DUMMYFUNCTION("""COMPUTED_VALUE"""),1074.3)</f>
        <v>1074.3</v>
      </c>
      <c r="D4545" s="1">
        <f>IFERROR(__xludf.DUMMYFUNCTION("""COMPUTED_VALUE"""),1064.63)</f>
        <v>1064.63</v>
      </c>
      <c r="E4545" s="1">
        <f>IFERROR(__xludf.DUMMYFUNCTION("""COMPUTED_VALUE"""),1064.73)</f>
        <v>1064.73</v>
      </c>
      <c r="F4545" s="1">
        <f>IFERROR(__xludf.DUMMYFUNCTION("""COMPUTED_VALUE"""),1.4417E8)</f>
        <v>144170000</v>
      </c>
    </row>
    <row r="4546">
      <c r="A4546" s="2">
        <f>IFERROR(__xludf.DUMMYFUNCTION("""COMPUTED_VALUE"""),37959.666666666664)</f>
        <v>37959.66667</v>
      </c>
      <c r="B4546" s="1">
        <f>IFERROR(__xludf.DUMMYFUNCTION("""COMPUTED_VALUE"""),1064.73)</f>
        <v>1064.73</v>
      </c>
      <c r="C4546" s="1">
        <f>IFERROR(__xludf.DUMMYFUNCTION("""COMPUTED_VALUE"""),1070.37)</f>
        <v>1070.37</v>
      </c>
      <c r="D4546" s="1">
        <f>IFERROR(__xludf.DUMMYFUNCTION("""COMPUTED_VALUE"""),1063.15)</f>
        <v>1063.15</v>
      </c>
      <c r="E4546" s="1">
        <f>IFERROR(__xludf.DUMMYFUNCTION("""COMPUTED_VALUE"""),1069.72)</f>
        <v>1069.72</v>
      </c>
      <c r="F4546" s="1">
        <f>IFERROR(__xludf.DUMMYFUNCTION("""COMPUTED_VALUE"""),1.4631E8)</f>
        <v>146310000</v>
      </c>
    </row>
    <row r="4547">
      <c r="A4547" s="2">
        <f>IFERROR(__xludf.DUMMYFUNCTION("""COMPUTED_VALUE"""),37960.666666666664)</f>
        <v>37960.66667</v>
      </c>
      <c r="B4547" s="1">
        <f>IFERROR(__xludf.DUMMYFUNCTION("""COMPUTED_VALUE"""),1069.72)</f>
        <v>1069.72</v>
      </c>
      <c r="C4547" s="1">
        <f>IFERROR(__xludf.DUMMYFUNCTION("""COMPUTED_VALUE"""),1069.72)</f>
        <v>1069.72</v>
      </c>
      <c r="D4547" s="1">
        <f>IFERROR(__xludf.DUMMYFUNCTION("""COMPUTED_VALUE"""),1060.09)</f>
        <v>1060.09</v>
      </c>
      <c r="E4547" s="1">
        <f>IFERROR(__xludf.DUMMYFUNCTION("""COMPUTED_VALUE"""),1061.5)</f>
        <v>1061.5</v>
      </c>
      <c r="F4547" s="1">
        <f>IFERROR(__xludf.DUMMYFUNCTION("""COMPUTED_VALUE"""),1.2659E8)</f>
        <v>126590000</v>
      </c>
    </row>
    <row r="4548">
      <c r="A4548" s="2">
        <f>IFERROR(__xludf.DUMMYFUNCTION("""COMPUTED_VALUE"""),37963.666666666664)</f>
        <v>37963.66667</v>
      </c>
      <c r="B4548" s="1">
        <f>IFERROR(__xludf.DUMMYFUNCTION("""COMPUTED_VALUE"""),1061.5)</f>
        <v>1061.5</v>
      </c>
      <c r="C4548" s="1">
        <f>IFERROR(__xludf.DUMMYFUNCTION("""COMPUTED_VALUE"""),1069.59)</f>
        <v>1069.59</v>
      </c>
      <c r="D4548" s="1">
        <f>IFERROR(__xludf.DUMMYFUNCTION("""COMPUTED_VALUE"""),1060.93)</f>
        <v>1060.93</v>
      </c>
      <c r="E4548" s="1">
        <f>IFERROR(__xludf.DUMMYFUNCTION("""COMPUTED_VALUE"""),1069.29)</f>
        <v>1069.29</v>
      </c>
      <c r="F4548" s="1">
        <f>IFERROR(__xludf.DUMMYFUNCTION("""COMPUTED_VALUE"""),1.2189E8)</f>
        <v>121890000</v>
      </c>
    </row>
    <row r="4549">
      <c r="A4549" s="2">
        <f>IFERROR(__xludf.DUMMYFUNCTION("""COMPUTED_VALUE"""),37964.666666666664)</f>
        <v>37964.66667</v>
      </c>
      <c r="B4549" s="1">
        <f>IFERROR(__xludf.DUMMYFUNCTION("""COMPUTED_VALUE"""),1069.3)</f>
        <v>1069.3</v>
      </c>
      <c r="C4549" s="1">
        <f>IFERROR(__xludf.DUMMYFUNCTION("""COMPUTED_VALUE"""),1071.94)</f>
        <v>1071.94</v>
      </c>
      <c r="D4549" s="1">
        <f>IFERROR(__xludf.DUMMYFUNCTION("""COMPUTED_VALUE"""),1059.16)</f>
        <v>1059.16</v>
      </c>
      <c r="E4549" s="1">
        <f>IFERROR(__xludf.DUMMYFUNCTION("""COMPUTED_VALUE"""),1060.18)</f>
        <v>1060.18</v>
      </c>
      <c r="F4549" s="1">
        <f>IFERROR(__xludf.DUMMYFUNCTION("""COMPUTED_VALUE"""),1.4655E8)</f>
        <v>146550000</v>
      </c>
    </row>
    <row r="4550">
      <c r="A4550" s="2">
        <f>IFERROR(__xludf.DUMMYFUNCTION("""COMPUTED_VALUE"""),37965.666666666664)</f>
        <v>37965.66667</v>
      </c>
      <c r="B4550" s="1">
        <f>IFERROR(__xludf.DUMMYFUNCTION("""COMPUTED_VALUE"""),1060.18)</f>
        <v>1060.18</v>
      </c>
      <c r="C4550" s="1">
        <f>IFERROR(__xludf.DUMMYFUNCTION("""COMPUTED_VALUE"""),1063.02)</f>
        <v>1063.02</v>
      </c>
      <c r="D4550" s="1">
        <f>IFERROR(__xludf.DUMMYFUNCTION("""COMPUTED_VALUE"""),1053.41)</f>
        <v>1053.41</v>
      </c>
      <c r="E4550" s="1">
        <f>IFERROR(__xludf.DUMMYFUNCTION("""COMPUTED_VALUE"""),1059.05)</f>
        <v>1059.05</v>
      </c>
      <c r="F4550" s="1">
        <f>IFERROR(__xludf.DUMMYFUNCTION("""COMPUTED_VALUE"""),1.444E8)</f>
        <v>144400000</v>
      </c>
    </row>
    <row r="4551">
      <c r="A4551" s="2">
        <f>IFERROR(__xludf.DUMMYFUNCTION("""COMPUTED_VALUE"""),37966.666666666664)</f>
        <v>37966.66667</v>
      </c>
      <c r="B4551" s="1">
        <f>IFERROR(__xludf.DUMMYFUNCTION("""COMPUTED_VALUE"""),1059.05)</f>
        <v>1059.05</v>
      </c>
      <c r="C4551" s="1">
        <f>IFERROR(__xludf.DUMMYFUNCTION("""COMPUTED_VALUE"""),1073.63)</f>
        <v>1073.63</v>
      </c>
      <c r="D4551" s="1">
        <f>IFERROR(__xludf.DUMMYFUNCTION("""COMPUTED_VALUE"""),1059.05)</f>
        <v>1059.05</v>
      </c>
      <c r="E4551" s="1">
        <f>IFERROR(__xludf.DUMMYFUNCTION("""COMPUTED_VALUE"""),1071.22)</f>
        <v>1071.22</v>
      </c>
      <c r="F4551" s="1">
        <f>IFERROR(__xludf.DUMMYFUNCTION("""COMPUTED_VALUE"""),1.4411E8)</f>
        <v>144110000</v>
      </c>
    </row>
    <row r="4552">
      <c r="A4552" s="2">
        <f>IFERROR(__xludf.DUMMYFUNCTION("""COMPUTED_VALUE"""),37967.666666666664)</f>
        <v>37967.66667</v>
      </c>
      <c r="B4552" s="1">
        <f>IFERROR(__xludf.DUMMYFUNCTION("""COMPUTED_VALUE"""),1071.21)</f>
        <v>1071.21</v>
      </c>
      <c r="C4552" s="1">
        <f>IFERROR(__xludf.DUMMYFUNCTION("""COMPUTED_VALUE"""),1074.76)</f>
        <v>1074.76</v>
      </c>
      <c r="D4552" s="1">
        <f>IFERROR(__xludf.DUMMYFUNCTION("""COMPUTED_VALUE"""),1067.64)</f>
        <v>1067.64</v>
      </c>
      <c r="E4552" s="1">
        <f>IFERROR(__xludf.DUMMYFUNCTION("""COMPUTED_VALUE"""),1074.14)</f>
        <v>1074.14</v>
      </c>
      <c r="F4552" s="1">
        <f>IFERROR(__xludf.DUMMYFUNCTION("""COMPUTED_VALUE"""),1.2231E8)</f>
        <v>122310000</v>
      </c>
    </row>
    <row r="4553">
      <c r="A4553" s="2">
        <f>IFERROR(__xludf.DUMMYFUNCTION("""COMPUTED_VALUE"""),37970.666666666664)</f>
        <v>37970.66667</v>
      </c>
      <c r="B4553" s="1">
        <f>IFERROR(__xludf.DUMMYFUNCTION("""COMPUTED_VALUE"""),1074.14)</f>
        <v>1074.14</v>
      </c>
      <c r="C4553" s="1">
        <f>IFERROR(__xludf.DUMMYFUNCTION("""COMPUTED_VALUE"""),1082.79)</f>
        <v>1082.79</v>
      </c>
      <c r="D4553" s="1">
        <f>IFERROR(__xludf.DUMMYFUNCTION("""COMPUTED_VALUE"""),1068.0)</f>
        <v>1068</v>
      </c>
      <c r="E4553" s="1">
        <f>IFERROR(__xludf.DUMMYFUNCTION("""COMPUTED_VALUE"""),1068.04)</f>
        <v>1068.04</v>
      </c>
      <c r="F4553" s="1">
        <f>IFERROR(__xludf.DUMMYFUNCTION("""COMPUTED_VALUE"""),1.5208E8)</f>
        <v>152080000</v>
      </c>
    </row>
    <row r="4554">
      <c r="A4554" s="2">
        <f>IFERROR(__xludf.DUMMYFUNCTION("""COMPUTED_VALUE"""),37971.666666666664)</f>
        <v>37971.66667</v>
      </c>
      <c r="B4554" s="1">
        <f>IFERROR(__xludf.DUMMYFUNCTION("""COMPUTED_VALUE"""),1068.04)</f>
        <v>1068.04</v>
      </c>
      <c r="C4554" s="1">
        <f>IFERROR(__xludf.DUMMYFUNCTION("""COMPUTED_VALUE"""),1075.94)</f>
        <v>1075.94</v>
      </c>
      <c r="D4554" s="1">
        <f>IFERROR(__xludf.DUMMYFUNCTION("""COMPUTED_VALUE"""),1068.04)</f>
        <v>1068.04</v>
      </c>
      <c r="E4554" s="1">
        <f>IFERROR(__xludf.DUMMYFUNCTION("""COMPUTED_VALUE"""),1075.13)</f>
        <v>1075.13</v>
      </c>
      <c r="F4554" s="1">
        <f>IFERROR(__xludf.DUMMYFUNCTION("""COMPUTED_VALUE"""),1.5479E8)</f>
        <v>154790000</v>
      </c>
    </row>
    <row r="4555">
      <c r="A4555" s="2">
        <f>IFERROR(__xludf.DUMMYFUNCTION("""COMPUTED_VALUE"""),37972.666666666664)</f>
        <v>37972.66667</v>
      </c>
      <c r="B4555" s="1">
        <f>IFERROR(__xludf.DUMMYFUNCTION("""COMPUTED_VALUE"""),1075.13)</f>
        <v>1075.13</v>
      </c>
      <c r="C4555" s="1">
        <f>IFERROR(__xludf.DUMMYFUNCTION("""COMPUTED_VALUE"""),1076.54)</f>
        <v>1076.54</v>
      </c>
      <c r="D4555" s="1">
        <f>IFERROR(__xludf.DUMMYFUNCTION("""COMPUTED_VALUE"""),1071.14)</f>
        <v>1071.14</v>
      </c>
      <c r="E4555" s="1">
        <f>IFERROR(__xludf.DUMMYFUNCTION("""COMPUTED_VALUE"""),1076.48)</f>
        <v>1076.48</v>
      </c>
      <c r="F4555" s="1">
        <f>IFERROR(__xludf.DUMMYFUNCTION("""COMPUTED_VALUE"""),1.4417E8)</f>
        <v>144170000</v>
      </c>
    </row>
    <row r="4556">
      <c r="A4556" s="2">
        <f>IFERROR(__xludf.DUMMYFUNCTION("""COMPUTED_VALUE"""),37973.666666666664)</f>
        <v>37973.66667</v>
      </c>
      <c r="B4556" s="1">
        <f>IFERROR(__xludf.DUMMYFUNCTION("""COMPUTED_VALUE"""),1076.48)</f>
        <v>1076.48</v>
      </c>
      <c r="C4556" s="1">
        <f>IFERROR(__xludf.DUMMYFUNCTION("""COMPUTED_VALUE"""),1089.5)</f>
        <v>1089.5</v>
      </c>
      <c r="D4556" s="1">
        <f>IFERROR(__xludf.DUMMYFUNCTION("""COMPUTED_VALUE"""),1076.48)</f>
        <v>1076.48</v>
      </c>
      <c r="E4556" s="1">
        <f>IFERROR(__xludf.DUMMYFUNCTION("""COMPUTED_VALUE"""),1089.18)</f>
        <v>1089.18</v>
      </c>
      <c r="F4556" s="1">
        <f>IFERROR(__xludf.DUMMYFUNCTION("""COMPUTED_VALUE"""),1.5799E8)</f>
        <v>157990000</v>
      </c>
    </row>
    <row r="4557">
      <c r="A4557" s="2">
        <f>IFERROR(__xludf.DUMMYFUNCTION("""COMPUTED_VALUE"""),37974.666666666664)</f>
        <v>37974.66667</v>
      </c>
      <c r="B4557" s="1">
        <f>IFERROR(__xludf.DUMMYFUNCTION("""COMPUTED_VALUE"""),1089.18)</f>
        <v>1089.18</v>
      </c>
      <c r="C4557" s="1">
        <f>IFERROR(__xludf.DUMMYFUNCTION("""COMPUTED_VALUE"""),1091.06)</f>
        <v>1091.06</v>
      </c>
      <c r="D4557" s="1">
        <f>IFERROR(__xludf.DUMMYFUNCTION("""COMPUTED_VALUE"""),1084.19)</f>
        <v>1084.19</v>
      </c>
      <c r="E4557" s="1">
        <f>IFERROR(__xludf.DUMMYFUNCTION("""COMPUTED_VALUE"""),1088.67)</f>
        <v>1088.67</v>
      </c>
      <c r="F4557" s="1">
        <f>IFERROR(__xludf.DUMMYFUNCTION("""COMPUTED_VALUE"""),1.6573E8)</f>
        <v>165730000</v>
      </c>
    </row>
    <row r="4558">
      <c r="A4558" s="2">
        <f>IFERROR(__xludf.DUMMYFUNCTION("""COMPUTED_VALUE"""),37977.666666666664)</f>
        <v>37977.66667</v>
      </c>
      <c r="B4558" s="1">
        <f>IFERROR(__xludf.DUMMYFUNCTION("""COMPUTED_VALUE"""),1088.66)</f>
        <v>1088.66</v>
      </c>
      <c r="C4558" s="1">
        <f>IFERROR(__xludf.DUMMYFUNCTION("""COMPUTED_VALUE"""),1092.94)</f>
        <v>1092.94</v>
      </c>
      <c r="D4558" s="1">
        <f>IFERROR(__xludf.DUMMYFUNCTION("""COMPUTED_VALUE"""),1086.14)</f>
        <v>1086.14</v>
      </c>
      <c r="E4558" s="1">
        <f>IFERROR(__xludf.DUMMYFUNCTION("""COMPUTED_VALUE"""),1092.94)</f>
        <v>1092.94</v>
      </c>
      <c r="F4558" s="1">
        <f>IFERROR(__xludf.DUMMYFUNCTION("""COMPUTED_VALUE"""),1.2517E8)</f>
        <v>125170000</v>
      </c>
    </row>
    <row r="4559">
      <c r="A4559" s="2">
        <f>IFERROR(__xludf.DUMMYFUNCTION("""COMPUTED_VALUE"""),37978.666666666664)</f>
        <v>37978.66667</v>
      </c>
      <c r="B4559" s="1">
        <f>IFERROR(__xludf.DUMMYFUNCTION("""COMPUTED_VALUE"""),1092.94)</f>
        <v>1092.94</v>
      </c>
      <c r="C4559" s="1">
        <f>IFERROR(__xludf.DUMMYFUNCTION("""COMPUTED_VALUE"""),1096.95)</f>
        <v>1096.95</v>
      </c>
      <c r="D4559" s="1">
        <f>IFERROR(__xludf.DUMMYFUNCTION("""COMPUTED_VALUE"""),1091.73)</f>
        <v>1091.73</v>
      </c>
      <c r="E4559" s="1">
        <f>IFERROR(__xludf.DUMMYFUNCTION("""COMPUTED_VALUE"""),1096.01)</f>
        <v>1096.01</v>
      </c>
      <c r="F4559" s="1">
        <f>IFERROR(__xludf.DUMMYFUNCTION("""COMPUTED_VALUE"""),1.1453E8)</f>
        <v>114530000</v>
      </c>
    </row>
    <row r="4560">
      <c r="A4560" s="2">
        <f>IFERROR(__xludf.DUMMYFUNCTION("""COMPUTED_VALUE"""),37979.666666666664)</f>
        <v>37979.66667</v>
      </c>
      <c r="B4560" s="1">
        <f>IFERROR(__xludf.DUMMYFUNCTION("""COMPUTED_VALUE"""),1096.02)</f>
        <v>1096.02</v>
      </c>
      <c r="C4560" s="1">
        <f>IFERROR(__xludf.DUMMYFUNCTION("""COMPUTED_VALUE"""),1096.4)</f>
        <v>1096.4</v>
      </c>
      <c r="D4560" s="1">
        <f>IFERROR(__xludf.DUMMYFUNCTION("""COMPUTED_VALUE"""),1092.73)</f>
        <v>1092.73</v>
      </c>
      <c r="E4560" s="1">
        <f>IFERROR(__xludf.DUMMYFUNCTION("""COMPUTED_VALUE"""),1094.04)</f>
        <v>1094.04</v>
      </c>
      <c r="F4560" s="1">
        <f>IFERROR(__xludf.DUMMYFUNCTION("""COMPUTED_VALUE"""),5.1806E7)</f>
        <v>51806000</v>
      </c>
    </row>
    <row r="4561">
      <c r="A4561" s="2">
        <f>IFERROR(__xludf.DUMMYFUNCTION("""COMPUTED_VALUE"""),37981.666666666664)</f>
        <v>37981.66667</v>
      </c>
      <c r="B4561" s="1">
        <f>IFERROR(__xludf.DUMMYFUNCTION("""COMPUTED_VALUE"""),1094.04)</f>
        <v>1094.04</v>
      </c>
      <c r="C4561" s="1">
        <f>IFERROR(__xludf.DUMMYFUNCTION("""COMPUTED_VALUE"""),1098.47)</f>
        <v>1098.47</v>
      </c>
      <c r="D4561" s="1">
        <f>IFERROR(__xludf.DUMMYFUNCTION("""COMPUTED_VALUE"""),1094.04)</f>
        <v>1094.04</v>
      </c>
      <c r="E4561" s="1">
        <f>IFERROR(__xludf.DUMMYFUNCTION("""COMPUTED_VALUE"""),1095.89)</f>
        <v>1095.89</v>
      </c>
      <c r="F4561" s="1">
        <f>IFERROR(__xludf.DUMMYFUNCTION("""COMPUTED_VALUE"""),3.5607E7)</f>
        <v>35607000</v>
      </c>
    </row>
    <row r="4562">
      <c r="A4562" s="2">
        <f>IFERROR(__xludf.DUMMYFUNCTION("""COMPUTED_VALUE"""),37984.666666666664)</f>
        <v>37984.66667</v>
      </c>
      <c r="B4562" s="1">
        <f>IFERROR(__xludf.DUMMYFUNCTION("""COMPUTED_VALUE"""),1095.89)</f>
        <v>1095.89</v>
      </c>
      <c r="C4562" s="1">
        <f>IFERROR(__xludf.DUMMYFUNCTION("""COMPUTED_VALUE"""),1109.48)</f>
        <v>1109.48</v>
      </c>
      <c r="D4562" s="1">
        <f>IFERROR(__xludf.DUMMYFUNCTION("""COMPUTED_VALUE"""),1095.89)</f>
        <v>1095.89</v>
      </c>
      <c r="E4562" s="1">
        <f>IFERROR(__xludf.DUMMYFUNCTION("""COMPUTED_VALUE"""),1109.48)</f>
        <v>1109.48</v>
      </c>
      <c r="F4562" s="1">
        <f>IFERROR(__xludf.DUMMYFUNCTION("""COMPUTED_VALUE"""),1.0588E8)</f>
        <v>105880000</v>
      </c>
    </row>
    <row r="4563">
      <c r="A4563" s="2">
        <f>IFERROR(__xludf.DUMMYFUNCTION("""COMPUTED_VALUE"""),37985.666666666664)</f>
        <v>37985.66667</v>
      </c>
      <c r="B4563" s="1">
        <f>IFERROR(__xludf.DUMMYFUNCTION("""COMPUTED_VALUE"""),1109.48)</f>
        <v>1109.48</v>
      </c>
      <c r="C4563" s="1">
        <f>IFERROR(__xludf.DUMMYFUNCTION("""COMPUTED_VALUE"""),1109.75)</f>
        <v>1109.75</v>
      </c>
      <c r="D4563" s="1">
        <f>IFERROR(__xludf.DUMMYFUNCTION("""COMPUTED_VALUE"""),1106.41)</f>
        <v>1106.41</v>
      </c>
      <c r="E4563" s="1">
        <f>IFERROR(__xludf.DUMMYFUNCTION("""COMPUTED_VALUE"""),1109.64)</f>
        <v>1109.64</v>
      </c>
      <c r="F4563" s="1">
        <f>IFERROR(__xludf.DUMMYFUNCTION("""COMPUTED_VALUE"""),1.0126E8)</f>
        <v>101260000</v>
      </c>
    </row>
    <row r="4564">
      <c r="A4564" s="2">
        <f>IFERROR(__xludf.DUMMYFUNCTION("""COMPUTED_VALUE"""),37986.666666666664)</f>
        <v>37986.66667</v>
      </c>
      <c r="B4564" s="1">
        <f>IFERROR(__xludf.DUMMYFUNCTION("""COMPUTED_VALUE"""),1109.64)</f>
        <v>1109.64</v>
      </c>
      <c r="C4564" s="1">
        <f>IFERROR(__xludf.DUMMYFUNCTION("""COMPUTED_VALUE"""),1112.56)</f>
        <v>1112.56</v>
      </c>
      <c r="D4564" s="1">
        <f>IFERROR(__xludf.DUMMYFUNCTION("""COMPUTED_VALUE"""),1106.21)</f>
        <v>1106.21</v>
      </c>
      <c r="E4564" s="1">
        <f>IFERROR(__xludf.DUMMYFUNCTION("""COMPUTED_VALUE"""),1111.91)</f>
        <v>1111.91</v>
      </c>
      <c r="F4564" s="1">
        <f>IFERROR(__xludf.DUMMYFUNCTION("""COMPUTED_VALUE"""),1.0275E8)</f>
        <v>102750000</v>
      </c>
    </row>
    <row r="4565">
      <c r="A4565" s="2">
        <f>IFERROR(__xludf.DUMMYFUNCTION("""COMPUTED_VALUE"""),37988.666666666664)</f>
        <v>37988.66667</v>
      </c>
      <c r="B4565" s="1">
        <f>IFERROR(__xludf.DUMMYFUNCTION("""COMPUTED_VALUE"""),1111.92)</f>
        <v>1111.92</v>
      </c>
      <c r="C4565" s="1">
        <f>IFERROR(__xludf.DUMMYFUNCTION("""COMPUTED_VALUE"""),1118.85)</f>
        <v>1118.85</v>
      </c>
      <c r="D4565" s="1">
        <f>IFERROR(__xludf.DUMMYFUNCTION("""COMPUTED_VALUE"""),1105.08)</f>
        <v>1105.08</v>
      </c>
      <c r="E4565" s="1">
        <f>IFERROR(__xludf.DUMMYFUNCTION("""COMPUTED_VALUE"""),1108.49)</f>
        <v>1108.49</v>
      </c>
      <c r="F4565" s="1">
        <f>IFERROR(__xludf.DUMMYFUNCTION("""COMPUTED_VALUE"""),1.1532E8)</f>
        <v>115320000</v>
      </c>
    </row>
    <row r="4566">
      <c r="A4566" s="2">
        <f>IFERROR(__xludf.DUMMYFUNCTION("""COMPUTED_VALUE"""),37991.666666666664)</f>
        <v>37991.66667</v>
      </c>
      <c r="B4566" s="1">
        <f>IFERROR(__xludf.DUMMYFUNCTION("""COMPUTED_VALUE"""),1108.48)</f>
        <v>1108.48</v>
      </c>
      <c r="C4566" s="1">
        <f>IFERROR(__xludf.DUMMYFUNCTION("""COMPUTED_VALUE"""),1122.21)</f>
        <v>1122.21</v>
      </c>
      <c r="D4566" s="1">
        <f>IFERROR(__xludf.DUMMYFUNCTION("""COMPUTED_VALUE"""),1108.48)</f>
        <v>1108.48</v>
      </c>
      <c r="E4566" s="1">
        <f>IFERROR(__xludf.DUMMYFUNCTION("""COMPUTED_VALUE"""),1122.21)</f>
        <v>1122.21</v>
      </c>
      <c r="F4566" s="1">
        <f>IFERROR(__xludf.DUMMYFUNCTION("""COMPUTED_VALUE"""),1.5782E8)</f>
        <v>157820000</v>
      </c>
    </row>
    <row r="4567">
      <c r="A4567" s="2">
        <f>IFERROR(__xludf.DUMMYFUNCTION("""COMPUTED_VALUE"""),37992.666666666664)</f>
        <v>37992.66667</v>
      </c>
      <c r="B4567" s="1">
        <f>IFERROR(__xludf.DUMMYFUNCTION("""COMPUTED_VALUE"""),1122.22)</f>
        <v>1122.22</v>
      </c>
      <c r="C4567" s="1">
        <f>IFERROR(__xludf.DUMMYFUNCTION("""COMPUTED_VALUE"""),1124.46)</f>
        <v>1124.46</v>
      </c>
      <c r="D4567" s="1">
        <f>IFERROR(__xludf.DUMMYFUNCTION("""COMPUTED_VALUE"""),1118.44)</f>
        <v>1118.44</v>
      </c>
      <c r="E4567" s="1">
        <f>IFERROR(__xludf.DUMMYFUNCTION("""COMPUTED_VALUE"""),1123.67)</f>
        <v>1123.67</v>
      </c>
      <c r="F4567" s="1">
        <f>IFERROR(__xludf.DUMMYFUNCTION("""COMPUTED_VALUE"""),1.4945E8)</f>
        <v>149450000</v>
      </c>
    </row>
    <row r="4568">
      <c r="A4568" s="2">
        <f>IFERROR(__xludf.DUMMYFUNCTION("""COMPUTED_VALUE"""),37993.666666666664)</f>
        <v>37993.66667</v>
      </c>
      <c r="B4568" s="1">
        <f>IFERROR(__xludf.DUMMYFUNCTION("""COMPUTED_VALUE"""),1123.67)</f>
        <v>1123.67</v>
      </c>
      <c r="C4568" s="1">
        <f>IFERROR(__xludf.DUMMYFUNCTION("""COMPUTED_VALUE"""),1126.33)</f>
        <v>1126.33</v>
      </c>
      <c r="D4568" s="1">
        <f>IFERROR(__xludf.DUMMYFUNCTION("""COMPUTED_VALUE"""),1116.45)</f>
        <v>1116.45</v>
      </c>
      <c r="E4568" s="1">
        <f>IFERROR(__xludf.DUMMYFUNCTION("""COMPUTED_VALUE"""),1126.33)</f>
        <v>1126.33</v>
      </c>
      <c r="F4568" s="1">
        <f>IFERROR(__xludf.DUMMYFUNCTION("""COMPUTED_VALUE"""),1.7049E8)</f>
        <v>170490000</v>
      </c>
    </row>
    <row r="4569">
      <c r="A4569" s="2">
        <f>IFERROR(__xludf.DUMMYFUNCTION("""COMPUTED_VALUE"""),37994.666666666664)</f>
        <v>37994.66667</v>
      </c>
      <c r="B4569" s="1">
        <f>IFERROR(__xludf.DUMMYFUNCTION("""COMPUTED_VALUE"""),1126.33)</f>
        <v>1126.33</v>
      </c>
      <c r="C4569" s="1">
        <f>IFERROR(__xludf.DUMMYFUNCTION("""COMPUTED_VALUE"""),1131.91)</f>
        <v>1131.91</v>
      </c>
      <c r="D4569" s="1">
        <f>IFERROR(__xludf.DUMMYFUNCTION("""COMPUTED_VALUE"""),1124.91)</f>
        <v>1124.91</v>
      </c>
      <c r="E4569" s="1">
        <f>IFERROR(__xludf.DUMMYFUNCTION("""COMPUTED_VALUE"""),1131.91)</f>
        <v>1131.91</v>
      </c>
      <c r="F4569" s="1">
        <f>IFERROR(__xludf.DUMMYFUNCTION("""COMPUTED_VALUE"""),1.8684E8)</f>
        <v>186840000</v>
      </c>
    </row>
    <row r="4570">
      <c r="A4570" s="2">
        <f>IFERROR(__xludf.DUMMYFUNCTION("""COMPUTED_VALUE"""),37995.666666666664)</f>
        <v>37995.66667</v>
      </c>
      <c r="B4570" s="1">
        <f>IFERROR(__xludf.DUMMYFUNCTION("""COMPUTED_VALUE"""),1131.92)</f>
        <v>1131.92</v>
      </c>
      <c r="C4570" s="1">
        <f>IFERROR(__xludf.DUMMYFUNCTION("""COMPUTED_VALUE"""),1131.92)</f>
        <v>1131.92</v>
      </c>
      <c r="D4570" s="1">
        <f>IFERROR(__xludf.DUMMYFUNCTION("""COMPUTED_VALUE"""),1120.9)</f>
        <v>1120.9</v>
      </c>
      <c r="E4570" s="1">
        <f>IFERROR(__xludf.DUMMYFUNCTION("""COMPUTED_VALUE"""),1121.86)</f>
        <v>1121.86</v>
      </c>
      <c r="F4570" s="1">
        <f>IFERROR(__xludf.DUMMYFUNCTION("""COMPUTED_VALUE"""),1.7207E8)</f>
        <v>172070000</v>
      </c>
    </row>
    <row r="4571">
      <c r="A4571" s="2">
        <f>IFERROR(__xludf.DUMMYFUNCTION("""COMPUTED_VALUE"""),37998.666666666664)</f>
        <v>37998.66667</v>
      </c>
      <c r="B4571" s="1">
        <f>IFERROR(__xludf.DUMMYFUNCTION("""COMPUTED_VALUE"""),1121.86)</f>
        <v>1121.86</v>
      </c>
      <c r="C4571" s="1">
        <f>IFERROR(__xludf.DUMMYFUNCTION("""COMPUTED_VALUE"""),1127.85)</f>
        <v>1127.85</v>
      </c>
      <c r="D4571" s="1">
        <f>IFERROR(__xludf.DUMMYFUNCTION("""COMPUTED_VALUE"""),1120.9)</f>
        <v>1120.9</v>
      </c>
      <c r="E4571" s="1">
        <f>IFERROR(__xludf.DUMMYFUNCTION("""COMPUTED_VALUE"""),1127.23)</f>
        <v>1127.23</v>
      </c>
      <c r="F4571" s="1">
        <f>IFERROR(__xludf.DUMMYFUNCTION("""COMPUTED_VALUE"""),1.5102E8)</f>
        <v>151020000</v>
      </c>
    </row>
    <row r="4572">
      <c r="A4572" s="2">
        <f>IFERROR(__xludf.DUMMYFUNCTION("""COMPUTED_VALUE"""),37999.666666666664)</f>
        <v>37999.66667</v>
      </c>
      <c r="B4572" s="1">
        <f>IFERROR(__xludf.DUMMYFUNCTION("""COMPUTED_VALUE"""),1127.23)</f>
        <v>1127.23</v>
      </c>
      <c r="C4572" s="1">
        <f>IFERROR(__xludf.DUMMYFUNCTION("""COMPUTED_VALUE"""),1129.07)</f>
        <v>1129.07</v>
      </c>
      <c r="D4572" s="1">
        <f>IFERROR(__xludf.DUMMYFUNCTION("""COMPUTED_VALUE"""),1115.19)</f>
        <v>1115.19</v>
      </c>
      <c r="E4572" s="1">
        <f>IFERROR(__xludf.DUMMYFUNCTION("""COMPUTED_VALUE"""),1121.22)</f>
        <v>1121.22</v>
      </c>
      <c r="F4572" s="1">
        <f>IFERROR(__xludf.DUMMYFUNCTION("""COMPUTED_VALUE"""),1.5959E8)</f>
        <v>159590000</v>
      </c>
    </row>
    <row r="4573">
      <c r="A4573" s="2">
        <f>IFERROR(__xludf.DUMMYFUNCTION("""COMPUTED_VALUE"""),38000.666666666664)</f>
        <v>38000.66667</v>
      </c>
      <c r="B4573" s="1">
        <f>IFERROR(__xludf.DUMMYFUNCTION("""COMPUTED_VALUE"""),1124.65)</f>
        <v>1124.65</v>
      </c>
      <c r="C4573" s="1">
        <f>IFERROR(__xludf.DUMMYFUNCTION("""COMPUTED_VALUE"""),1130.75)</f>
        <v>1130.75</v>
      </c>
      <c r="D4573" s="1">
        <f>IFERROR(__xludf.DUMMYFUNCTION("""COMPUTED_VALUE"""),1123.97)</f>
        <v>1123.97</v>
      </c>
      <c r="E4573" s="1">
        <f>IFERROR(__xludf.DUMMYFUNCTION("""COMPUTED_VALUE"""),1130.52)</f>
        <v>1130.52</v>
      </c>
      <c r="F4573" s="1">
        <f>IFERROR(__xludf.DUMMYFUNCTION("""COMPUTED_VALUE"""),1.5146E8)</f>
        <v>151460000</v>
      </c>
    </row>
    <row r="4574">
      <c r="A4574" s="2">
        <f>IFERROR(__xludf.DUMMYFUNCTION("""COMPUTED_VALUE"""),38001.666666666664)</f>
        <v>38001.66667</v>
      </c>
      <c r="B4574" s="1">
        <f>IFERROR(__xludf.DUMMYFUNCTION("""COMPUTED_VALUE"""),1130.52)</f>
        <v>1130.52</v>
      </c>
      <c r="C4574" s="1">
        <f>IFERROR(__xludf.DUMMYFUNCTION("""COMPUTED_VALUE"""),1137.11)</f>
        <v>1137.11</v>
      </c>
      <c r="D4574" s="1">
        <f>IFERROR(__xludf.DUMMYFUNCTION("""COMPUTED_VALUE"""),1124.5)</f>
        <v>1124.5</v>
      </c>
      <c r="E4574" s="1">
        <f>IFERROR(__xludf.DUMMYFUNCTION("""COMPUTED_VALUE"""),1132.05)</f>
        <v>1132.05</v>
      </c>
      <c r="F4574" s="1">
        <f>IFERROR(__xludf.DUMMYFUNCTION("""COMPUTED_VALUE"""),1.695E8)</f>
        <v>169500000</v>
      </c>
    </row>
    <row r="4575">
      <c r="A4575" s="2">
        <f>IFERROR(__xludf.DUMMYFUNCTION("""COMPUTED_VALUE"""),38002.666666666664)</f>
        <v>38002.66667</v>
      </c>
      <c r="B4575" s="1">
        <f>IFERROR(__xludf.DUMMYFUNCTION("""COMPUTED_VALUE"""),1132.05)</f>
        <v>1132.05</v>
      </c>
      <c r="C4575" s="1">
        <f>IFERROR(__xludf.DUMMYFUNCTION("""COMPUTED_VALUE"""),1139.82)</f>
        <v>1139.82</v>
      </c>
      <c r="D4575" s="1">
        <f>IFERROR(__xludf.DUMMYFUNCTION("""COMPUTED_VALUE"""),1132.05)</f>
        <v>1132.05</v>
      </c>
      <c r="E4575" s="1">
        <f>IFERROR(__xludf.DUMMYFUNCTION("""COMPUTED_VALUE"""),1139.82)</f>
        <v>1139.82</v>
      </c>
      <c r="F4575" s="1">
        <f>IFERROR(__xludf.DUMMYFUNCTION("""COMPUTED_VALUE"""),1.7211E8)</f>
        <v>172110000</v>
      </c>
    </row>
    <row r="4576">
      <c r="A4576" s="2">
        <f>IFERROR(__xludf.DUMMYFUNCTION("""COMPUTED_VALUE"""),38006.666666666664)</f>
        <v>38006.66667</v>
      </c>
      <c r="B4576" s="1">
        <f>IFERROR(__xludf.DUMMYFUNCTION("""COMPUTED_VALUE"""),1139.83)</f>
        <v>1139.83</v>
      </c>
      <c r="C4576" s="1">
        <f>IFERROR(__xludf.DUMMYFUNCTION("""COMPUTED_VALUE"""),1142.54)</f>
        <v>1142.54</v>
      </c>
      <c r="D4576" s="1">
        <f>IFERROR(__xludf.DUMMYFUNCTION("""COMPUTED_VALUE"""),1135.4)</f>
        <v>1135.4</v>
      </c>
      <c r="E4576" s="1">
        <f>IFERROR(__xludf.DUMMYFUNCTION("""COMPUTED_VALUE"""),1138.77)</f>
        <v>1138.77</v>
      </c>
      <c r="F4576" s="1">
        <f>IFERROR(__xludf.DUMMYFUNCTION("""COMPUTED_VALUE"""),1.6982E8)</f>
        <v>169820000</v>
      </c>
    </row>
    <row r="4577">
      <c r="A4577" s="2">
        <f>IFERROR(__xludf.DUMMYFUNCTION("""COMPUTED_VALUE"""),38007.666666666664)</f>
        <v>38007.66667</v>
      </c>
      <c r="B4577" s="1">
        <f>IFERROR(__xludf.DUMMYFUNCTION("""COMPUTED_VALUE"""),1138.77)</f>
        <v>1138.77</v>
      </c>
      <c r="C4577" s="1">
        <f>IFERROR(__xludf.DUMMYFUNCTION("""COMPUTED_VALUE"""),1148.77)</f>
        <v>1148.77</v>
      </c>
      <c r="D4577" s="1">
        <f>IFERROR(__xludf.DUMMYFUNCTION("""COMPUTED_VALUE"""),1134.62)</f>
        <v>1134.62</v>
      </c>
      <c r="E4577" s="1">
        <f>IFERROR(__xludf.DUMMYFUNCTION("""COMPUTED_VALUE"""),1147.62)</f>
        <v>1147.62</v>
      </c>
      <c r="F4577" s="1">
        <f>IFERROR(__xludf.DUMMYFUNCTION("""COMPUTED_VALUE"""),1.7576E8)</f>
        <v>175760000</v>
      </c>
    </row>
    <row r="4578">
      <c r="A4578" s="2">
        <f>IFERROR(__xludf.DUMMYFUNCTION("""COMPUTED_VALUE"""),38008.666666666664)</f>
        <v>38008.66667</v>
      </c>
      <c r="B4578" s="1">
        <f>IFERROR(__xludf.DUMMYFUNCTION("""COMPUTED_VALUE"""),1147.62)</f>
        <v>1147.62</v>
      </c>
      <c r="C4578" s="1">
        <f>IFERROR(__xludf.DUMMYFUNCTION("""COMPUTED_VALUE"""),1150.51)</f>
        <v>1150.51</v>
      </c>
      <c r="D4578" s="1">
        <f>IFERROR(__xludf.DUMMYFUNCTION("""COMPUTED_VALUE"""),1143.01)</f>
        <v>1143.01</v>
      </c>
      <c r="E4578" s="1">
        <f>IFERROR(__xludf.DUMMYFUNCTION("""COMPUTED_VALUE"""),1143.94)</f>
        <v>1143.94</v>
      </c>
      <c r="F4578" s="1">
        <f>IFERROR(__xludf.DUMMYFUNCTION("""COMPUTED_VALUE"""),1.6937E8)</f>
        <v>169370000</v>
      </c>
    </row>
    <row r="4579">
      <c r="A4579" s="2">
        <f>IFERROR(__xludf.DUMMYFUNCTION("""COMPUTED_VALUE"""),38009.666666666664)</f>
        <v>38009.66667</v>
      </c>
      <c r="B4579" s="1">
        <f>IFERROR(__xludf.DUMMYFUNCTION("""COMPUTED_VALUE"""),1143.94)</f>
        <v>1143.94</v>
      </c>
      <c r="C4579" s="1">
        <f>IFERROR(__xludf.DUMMYFUNCTION("""COMPUTED_VALUE"""),1150.31)</f>
        <v>1150.31</v>
      </c>
      <c r="D4579" s="1">
        <f>IFERROR(__xludf.DUMMYFUNCTION("""COMPUTED_VALUE"""),1136.85)</f>
        <v>1136.85</v>
      </c>
      <c r="E4579" s="1">
        <f>IFERROR(__xludf.DUMMYFUNCTION("""COMPUTED_VALUE"""),1141.55)</f>
        <v>1141.55</v>
      </c>
      <c r="F4579" s="1">
        <f>IFERROR(__xludf.DUMMYFUNCTION("""COMPUTED_VALUE"""),1.5612E8)</f>
        <v>156120000</v>
      </c>
    </row>
    <row r="4580">
      <c r="A4580" s="2">
        <f>IFERROR(__xludf.DUMMYFUNCTION("""COMPUTED_VALUE"""),38012.666666666664)</f>
        <v>38012.66667</v>
      </c>
      <c r="B4580" s="1">
        <f>IFERROR(__xludf.DUMMYFUNCTION("""COMPUTED_VALUE"""),1141.55)</f>
        <v>1141.55</v>
      </c>
      <c r="C4580" s="1">
        <f>IFERROR(__xludf.DUMMYFUNCTION("""COMPUTED_VALUE"""),1155.38)</f>
        <v>1155.38</v>
      </c>
      <c r="D4580" s="1">
        <f>IFERROR(__xludf.DUMMYFUNCTION("""COMPUTED_VALUE"""),1141.0)</f>
        <v>1141</v>
      </c>
      <c r="E4580" s="1">
        <f>IFERROR(__xludf.DUMMYFUNCTION("""COMPUTED_VALUE"""),1155.37)</f>
        <v>1155.37</v>
      </c>
      <c r="F4580" s="1">
        <f>IFERROR(__xludf.DUMMYFUNCTION("""COMPUTED_VALUE"""),1.4806E8)</f>
        <v>148060000</v>
      </c>
    </row>
    <row r="4581">
      <c r="A4581" s="2">
        <f>IFERROR(__xludf.DUMMYFUNCTION("""COMPUTED_VALUE"""),38013.666666666664)</f>
        <v>38013.66667</v>
      </c>
      <c r="B4581" s="1">
        <f>IFERROR(__xludf.DUMMYFUNCTION("""COMPUTED_VALUE"""),1155.37)</f>
        <v>1155.37</v>
      </c>
      <c r="C4581" s="1">
        <f>IFERROR(__xludf.DUMMYFUNCTION("""COMPUTED_VALUE"""),1155.37)</f>
        <v>1155.37</v>
      </c>
      <c r="D4581" s="1">
        <f>IFERROR(__xludf.DUMMYFUNCTION("""COMPUTED_VALUE"""),1144.05)</f>
        <v>1144.05</v>
      </c>
      <c r="E4581" s="1">
        <f>IFERROR(__xludf.DUMMYFUNCTION("""COMPUTED_VALUE"""),1144.06)</f>
        <v>1144.06</v>
      </c>
      <c r="F4581" s="1">
        <f>IFERROR(__xludf.DUMMYFUNCTION("""COMPUTED_VALUE"""),1.6731E8)</f>
        <v>167310000</v>
      </c>
    </row>
    <row r="4582">
      <c r="A4582" s="2">
        <f>IFERROR(__xludf.DUMMYFUNCTION("""COMPUTED_VALUE"""),38014.666666666664)</f>
        <v>38014.66667</v>
      </c>
      <c r="B4582" s="1">
        <f>IFERROR(__xludf.DUMMYFUNCTION("""COMPUTED_VALUE"""),1144.05)</f>
        <v>1144.05</v>
      </c>
      <c r="C4582" s="1">
        <f>IFERROR(__xludf.DUMMYFUNCTION("""COMPUTED_VALUE"""),1149.14)</f>
        <v>1149.14</v>
      </c>
      <c r="D4582" s="1">
        <f>IFERROR(__xludf.DUMMYFUNCTION("""COMPUTED_VALUE"""),1126.5)</f>
        <v>1126.5</v>
      </c>
      <c r="E4582" s="1">
        <f>IFERROR(__xludf.DUMMYFUNCTION("""COMPUTED_VALUE"""),1128.48)</f>
        <v>1128.48</v>
      </c>
      <c r="F4582" s="1">
        <f>IFERROR(__xludf.DUMMYFUNCTION("""COMPUTED_VALUE"""),1.842E8)</f>
        <v>184200000</v>
      </c>
    </row>
    <row r="4583">
      <c r="A4583" s="2">
        <f>IFERROR(__xludf.DUMMYFUNCTION("""COMPUTED_VALUE"""),38015.666666666664)</f>
        <v>38015.66667</v>
      </c>
      <c r="B4583" s="1">
        <f>IFERROR(__xludf.DUMMYFUNCTION("""COMPUTED_VALUE"""),1128.48)</f>
        <v>1128.48</v>
      </c>
      <c r="C4583" s="1">
        <f>IFERROR(__xludf.DUMMYFUNCTION("""COMPUTED_VALUE"""),1134.39)</f>
        <v>1134.39</v>
      </c>
      <c r="D4583" s="1">
        <f>IFERROR(__xludf.DUMMYFUNCTION("""COMPUTED_VALUE"""),1122.38)</f>
        <v>1122.38</v>
      </c>
      <c r="E4583" s="1">
        <f>IFERROR(__xludf.DUMMYFUNCTION("""COMPUTED_VALUE"""),1134.11)</f>
        <v>1134.11</v>
      </c>
      <c r="F4583" s="1">
        <f>IFERROR(__xludf.DUMMYFUNCTION("""COMPUTED_VALUE"""),1.9219E8)</f>
        <v>192190000</v>
      </c>
    </row>
    <row r="4584">
      <c r="A4584" s="2">
        <f>IFERROR(__xludf.DUMMYFUNCTION("""COMPUTED_VALUE"""),38016.666666666664)</f>
        <v>38016.66667</v>
      </c>
      <c r="B4584" s="1">
        <f>IFERROR(__xludf.DUMMYFUNCTION("""COMPUTED_VALUE"""),1134.11)</f>
        <v>1134.11</v>
      </c>
      <c r="C4584" s="1">
        <f>IFERROR(__xludf.DUMMYFUNCTION("""COMPUTED_VALUE"""),1134.17)</f>
        <v>1134.17</v>
      </c>
      <c r="D4584" s="1">
        <f>IFERROR(__xludf.DUMMYFUNCTION("""COMPUTED_VALUE"""),1127.73)</f>
        <v>1127.73</v>
      </c>
      <c r="E4584" s="1">
        <f>IFERROR(__xludf.DUMMYFUNCTION("""COMPUTED_VALUE"""),1131.12)</f>
        <v>1131.12</v>
      </c>
      <c r="F4584" s="1">
        <f>IFERROR(__xludf.DUMMYFUNCTION("""COMPUTED_VALUE"""),1.635E8)</f>
        <v>163500000</v>
      </c>
    </row>
    <row r="4585">
      <c r="A4585" s="2">
        <f>IFERROR(__xludf.DUMMYFUNCTION("""COMPUTED_VALUE"""),38019.666666666664)</f>
        <v>38019.66667</v>
      </c>
      <c r="B4585" s="1">
        <f>IFERROR(__xludf.DUMMYFUNCTION("""COMPUTED_VALUE"""),1131.13)</f>
        <v>1131.13</v>
      </c>
      <c r="C4585" s="1">
        <f>IFERROR(__xludf.DUMMYFUNCTION("""COMPUTED_VALUE"""),1142.45)</f>
        <v>1142.45</v>
      </c>
      <c r="D4585" s="1">
        <f>IFERROR(__xludf.DUMMYFUNCTION("""COMPUTED_VALUE"""),1127.87)</f>
        <v>1127.87</v>
      </c>
      <c r="E4585" s="1">
        <f>IFERROR(__xludf.DUMMYFUNCTION("""COMPUTED_VALUE"""),1135.26)</f>
        <v>1135.26</v>
      </c>
      <c r="F4585" s="1">
        <f>IFERROR(__xludf.DUMMYFUNCTION("""COMPUTED_VALUE"""),1.5992E8)</f>
        <v>159920000</v>
      </c>
    </row>
    <row r="4586">
      <c r="A4586" s="2">
        <f>IFERROR(__xludf.DUMMYFUNCTION("""COMPUTED_VALUE"""),38020.666666666664)</f>
        <v>38020.66667</v>
      </c>
      <c r="B4586" s="1">
        <f>IFERROR(__xludf.DUMMYFUNCTION("""COMPUTED_VALUE"""),1134.36)</f>
        <v>1134.36</v>
      </c>
      <c r="C4586" s="1">
        <f>IFERROR(__xludf.DUMMYFUNCTION("""COMPUTED_VALUE"""),1137.44)</f>
        <v>1137.44</v>
      </c>
      <c r="D4586" s="1">
        <f>IFERROR(__xludf.DUMMYFUNCTION("""COMPUTED_VALUE"""),1131.64)</f>
        <v>1131.64</v>
      </c>
      <c r="E4586" s="1">
        <f>IFERROR(__xludf.DUMMYFUNCTION("""COMPUTED_VALUE"""),1136.03)</f>
        <v>1136.03</v>
      </c>
      <c r="F4586" s="1">
        <f>IFERROR(__xludf.DUMMYFUNCTION("""COMPUTED_VALUE"""),1.4769E8)</f>
        <v>147690000</v>
      </c>
    </row>
    <row r="4587">
      <c r="A4587" s="2">
        <f>IFERROR(__xludf.DUMMYFUNCTION("""COMPUTED_VALUE"""),38021.666666666664)</f>
        <v>38021.66667</v>
      </c>
      <c r="B4587" s="1">
        <f>IFERROR(__xludf.DUMMYFUNCTION("""COMPUTED_VALUE"""),1136.03)</f>
        <v>1136.03</v>
      </c>
      <c r="C4587" s="1">
        <f>IFERROR(__xludf.DUMMYFUNCTION("""COMPUTED_VALUE"""),1136.03)</f>
        <v>1136.03</v>
      </c>
      <c r="D4587" s="1">
        <f>IFERROR(__xludf.DUMMYFUNCTION("""COMPUTED_VALUE"""),1124.74)</f>
        <v>1124.74</v>
      </c>
      <c r="E4587" s="1">
        <f>IFERROR(__xludf.DUMMYFUNCTION("""COMPUTED_VALUE"""),1126.53)</f>
        <v>1126.53</v>
      </c>
      <c r="F4587" s="1">
        <f>IFERROR(__xludf.DUMMYFUNCTION("""COMPUTED_VALUE"""),1.6348E8)</f>
        <v>163480000</v>
      </c>
    </row>
    <row r="4588">
      <c r="A4588" s="2">
        <f>IFERROR(__xludf.DUMMYFUNCTION("""COMPUTED_VALUE"""),38022.666666666664)</f>
        <v>38022.66667</v>
      </c>
      <c r="B4588" s="1">
        <f>IFERROR(__xludf.DUMMYFUNCTION("""COMPUTED_VALUE"""),1126.52)</f>
        <v>1126.52</v>
      </c>
      <c r="C4588" s="1">
        <f>IFERROR(__xludf.DUMMYFUNCTION("""COMPUTED_VALUE"""),1131.17)</f>
        <v>1131.17</v>
      </c>
      <c r="D4588" s="1">
        <f>IFERROR(__xludf.DUMMYFUNCTION("""COMPUTED_VALUE"""),1124.44)</f>
        <v>1124.44</v>
      </c>
      <c r="E4588" s="1">
        <f>IFERROR(__xludf.DUMMYFUNCTION("""COMPUTED_VALUE"""),1128.61)</f>
        <v>1128.61</v>
      </c>
      <c r="F4588" s="1">
        <f>IFERROR(__xludf.DUMMYFUNCTION("""COMPUTED_VALUE"""),1.5666E8)</f>
        <v>156660000</v>
      </c>
    </row>
    <row r="4589">
      <c r="A4589" s="2">
        <f>IFERROR(__xludf.DUMMYFUNCTION("""COMPUTED_VALUE"""),38023.666666666664)</f>
        <v>38023.66667</v>
      </c>
      <c r="B4589" s="1">
        <f>IFERROR(__xludf.DUMMYFUNCTION("""COMPUTED_VALUE"""),1128.59)</f>
        <v>1128.59</v>
      </c>
      <c r="C4589" s="1">
        <f>IFERROR(__xludf.DUMMYFUNCTION("""COMPUTED_VALUE"""),1142.79)</f>
        <v>1142.79</v>
      </c>
      <c r="D4589" s="1">
        <f>IFERROR(__xludf.DUMMYFUNCTION("""COMPUTED_VALUE"""),1128.39)</f>
        <v>1128.39</v>
      </c>
      <c r="E4589" s="1">
        <f>IFERROR(__xludf.DUMMYFUNCTION("""COMPUTED_VALUE"""),1142.76)</f>
        <v>1142.76</v>
      </c>
      <c r="F4589" s="1">
        <f>IFERROR(__xludf.DUMMYFUNCTION("""COMPUTED_VALUE"""),1.4776E8)</f>
        <v>147760000</v>
      </c>
    </row>
    <row r="4590">
      <c r="A4590" s="2">
        <f>IFERROR(__xludf.DUMMYFUNCTION("""COMPUTED_VALUE"""),38026.666666666664)</f>
        <v>38026.66667</v>
      </c>
      <c r="B4590" s="1">
        <f>IFERROR(__xludf.DUMMYFUNCTION("""COMPUTED_VALUE"""),1142.76)</f>
        <v>1142.76</v>
      </c>
      <c r="C4590" s="1">
        <f>IFERROR(__xludf.DUMMYFUNCTION("""COMPUTED_VALUE"""),1144.46)</f>
        <v>1144.46</v>
      </c>
      <c r="D4590" s="1">
        <f>IFERROR(__xludf.DUMMYFUNCTION("""COMPUTED_VALUE"""),1139.21)</f>
        <v>1139.21</v>
      </c>
      <c r="E4590" s="1">
        <f>IFERROR(__xludf.DUMMYFUNCTION("""COMPUTED_VALUE"""),1139.81)</f>
        <v>1139.81</v>
      </c>
      <c r="F4590" s="1">
        <f>IFERROR(__xludf.DUMMYFUNCTION("""COMPUTED_VALUE"""),1.3035E8)</f>
        <v>130350000</v>
      </c>
    </row>
    <row r="4591">
      <c r="A4591" s="2">
        <f>IFERROR(__xludf.DUMMYFUNCTION("""COMPUTED_VALUE"""),38027.666666666664)</f>
        <v>38027.66667</v>
      </c>
      <c r="B4591" s="1">
        <f>IFERROR(__xludf.DUMMYFUNCTION("""COMPUTED_VALUE"""),1139.81)</f>
        <v>1139.81</v>
      </c>
      <c r="C4591" s="1">
        <f>IFERROR(__xludf.DUMMYFUNCTION("""COMPUTED_VALUE"""),1147.02)</f>
        <v>1147.02</v>
      </c>
      <c r="D4591" s="1">
        <f>IFERROR(__xludf.DUMMYFUNCTION("""COMPUTED_VALUE"""),1138.7)</f>
        <v>1138.7</v>
      </c>
      <c r="E4591" s="1">
        <f>IFERROR(__xludf.DUMMYFUNCTION("""COMPUTED_VALUE"""),1145.54)</f>
        <v>1145.54</v>
      </c>
      <c r="F4591" s="1">
        <f>IFERROR(__xludf.DUMMYFUNCTION("""COMPUTED_VALUE"""),1.4039E8)</f>
        <v>140390000</v>
      </c>
    </row>
    <row r="4592">
      <c r="A4592" s="2">
        <f>IFERROR(__xludf.DUMMYFUNCTION("""COMPUTED_VALUE"""),38028.666666666664)</f>
        <v>38028.66667</v>
      </c>
      <c r="B4592" s="1">
        <f>IFERROR(__xludf.DUMMYFUNCTION("""COMPUTED_VALUE"""),1145.54)</f>
        <v>1145.54</v>
      </c>
      <c r="C4592" s="1">
        <f>IFERROR(__xludf.DUMMYFUNCTION("""COMPUTED_VALUE"""),1158.89)</f>
        <v>1158.89</v>
      </c>
      <c r="D4592" s="1">
        <f>IFERROR(__xludf.DUMMYFUNCTION("""COMPUTED_VALUE"""),1142.33)</f>
        <v>1142.33</v>
      </c>
      <c r="E4592" s="1">
        <f>IFERROR(__xludf.DUMMYFUNCTION("""COMPUTED_VALUE"""),1157.76)</f>
        <v>1157.76</v>
      </c>
      <c r="F4592" s="1">
        <f>IFERROR(__xludf.DUMMYFUNCTION("""COMPUTED_VALUE"""),1.6993E8)</f>
        <v>169930000</v>
      </c>
    </row>
    <row r="4593">
      <c r="A4593" s="2">
        <f>IFERROR(__xludf.DUMMYFUNCTION("""COMPUTED_VALUE"""),38029.666666666664)</f>
        <v>38029.66667</v>
      </c>
      <c r="B4593" s="1">
        <f>IFERROR(__xludf.DUMMYFUNCTION("""COMPUTED_VALUE"""),1157.76)</f>
        <v>1157.76</v>
      </c>
      <c r="C4593" s="1">
        <f>IFERROR(__xludf.DUMMYFUNCTION("""COMPUTED_VALUE"""),1157.76)</f>
        <v>1157.76</v>
      </c>
      <c r="D4593" s="1">
        <f>IFERROR(__xludf.DUMMYFUNCTION("""COMPUTED_VALUE"""),1151.44)</f>
        <v>1151.44</v>
      </c>
      <c r="E4593" s="1">
        <f>IFERROR(__xludf.DUMMYFUNCTION("""COMPUTED_VALUE"""),1152.11)</f>
        <v>1152.11</v>
      </c>
      <c r="F4593" s="1">
        <f>IFERROR(__xludf.DUMMYFUNCTION("""COMPUTED_VALUE"""),1.4643E8)</f>
        <v>146430000</v>
      </c>
    </row>
    <row r="4594">
      <c r="A4594" s="2">
        <f>IFERROR(__xludf.DUMMYFUNCTION("""COMPUTED_VALUE"""),38030.666666666664)</f>
        <v>38030.66667</v>
      </c>
      <c r="B4594" s="1">
        <f>IFERROR(__xludf.DUMMYFUNCTION("""COMPUTED_VALUE"""),1152.11)</f>
        <v>1152.11</v>
      </c>
      <c r="C4594" s="1">
        <f>IFERROR(__xludf.DUMMYFUNCTION("""COMPUTED_VALUE"""),1156.88)</f>
        <v>1156.88</v>
      </c>
      <c r="D4594" s="1">
        <f>IFERROR(__xludf.DUMMYFUNCTION("""COMPUTED_VALUE"""),1143.23)</f>
        <v>1143.23</v>
      </c>
      <c r="E4594" s="1">
        <f>IFERROR(__xludf.DUMMYFUNCTION("""COMPUTED_VALUE"""),1145.81)</f>
        <v>1145.81</v>
      </c>
      <c r="F4594" s="1">
        <f>IFERROR(__xludf.DUMMYFUNCTION("""COMPUTED_VALUE"""),1.3292E8)</f>
        <v>132920000</v>
      </c>
    </row>
    <row r="4595">
      <c r="A4595" s="2">
        <f>IFERROR(__xludf.DUMMYFUNCTION("""COMPUTED_VALUE"""),38034.666666666664)</f>
        <v>38034.66667</v>
      </c>
      <c r="B4595" s="1">
        <f>IFERROR(__xludf.DUMMYFUNCTION("""COMPUTED_VALUE"""),1145.81)</f>
        <v>1145.81</v>
      </c>
      <c r="C4595" s="1">
        <f>IFERROR(__xludf.DUMMYFUNCTION("""COMPUTED_VALUE"""),1158.98)</f>
        <v>1158.98</v>
      </c>
      <c r="D4595" s="1">
        <f>IFERROR(__xludf.DUMMYFUNCTION("""COMPUTED_VALUE"""),1145.81)</f>
        <v>1145.81</v>
      </c>
      <c r="E4595" s="1">
        <f>IFERROR(__xludf.DUMMYFUNCTION("""COMPUTED_VALUE"""),1156.99)</f>
        <v>1156.99</v>
      </c>
      <c r="F4595" s="1">
        <f>IFERROR(__xludf.DUMMYFUNCTION("""COMPUTED_VALUE"""),1.3965E8)</f>
        <v>139650000</v>
      </c>
    </row>
    <row r="4596">
      <c r="A4596" s="2">
        <f>IFERROR(__xludf.DUMMYFUNCTION("""COMPUTED_VALUE"""),38035.666666666664)</f>
        <v>38035.66667</v>
      </c>
      <c r="B4596" s="1">
        <f>IFERROR(__xludf.DUMMYFUNCTION("""COMPUTED_VALUE"""),1156.99)</f>
        <v>1156.99</v>
      </c>
      <c r="C4596" s="1">
        <f>IFERROR(__xludf.DUMMYFUNCTION("""COMPUTED_VALUE"""),1157.4)</f>
        <v>1157.4</v>
      </c>
      <c r="D4596" s="1">
        <f>IFERROR(__xludf.DUMMYFUNCTION("""COMPUTED_VALUE"""),1149.42)</f>
        <v>1149.42</v>
      </c>
      <c r="E4596" s="1">
        <f>IFERROR(__xludf.DUMMYFUNCTION("""COMPUTED_VALUE"""),1151.82)</f>
        <v>1151.82</v>
      </c>
      <c r="F4596" s="1">
        <f>IFERROR(__xludf.DUMMYFUNCTION("""COMPUTED_VALUE"""),1.3824E8)</f>
        <v>138240000</v>
      </c>
    </row>
    <row r="4597">
      <c r="A4597" s="2">
        <f>IFERROR(__xludf.DUMMYFUNCTION("""COMPUTED_VALUE"""),38036.666666666664)</f>
        <v>38036.66667</v>
      </c>
      <c r="B4597" s="1">
        <f>IFERROR(__xludf.DUMMYFUNCTION("""COMPUTED_VALUE"""),1151.82)</f>
        <v>1151.82</v>
      </c>
      <c r="C4597" s="1">
        <f>IFERROR(__xludf.DUMMYFUNCTION("""COMPUTED_VALUE"""),1158.57)</f>
        <v>1158.57</v>
      </c>
      <c r="D4597" s="1">
        <f>IFERROR(__xludf.DUMMYFUNCTION("""COMPUTED_VALUE"""),1146.83)</f>
        <v>1146.83</v>
      </c>
      <c r="E4597" s="1">
        <f>IFERROR(__xludf.DUMMYFUNCTION("""COMPUTED_VALUE"""),1147.06)</f>
        <v>1147.06</v>
      </c>
      <c r="F4597" s="1">
        <f>IFERROR(__xludf.DUMMYFUNCTION("""COMPUTED_VALUE"""),1.5628E8)</f>
        <v>156280000</v>
      </c>
    </row>
    <row r="4598">
      <c r="A4598" s="2">
        <f>IFERROR(__xludf.DUMMYFUNCTION("""COMPUTED_VALUE"""),38037.666666666664)</f>
        <v>38037.66667</v>
      </c>
      <c r="B4598" s="1">
        <f>IFERROR(__xludf.DUMMYFUNCTION("""COMPUTED_VALUE"""),1147.06)</f>
        <v>1147.06</v>
      </c>
      <c r="C4598" s="1">
        <f>IFERROR(__xludf.DUMMYFUNCTION("""COMPUTED_VALUE"""),1149.81)</f>
        <v>1149.81</v>
      </c>
      <c r="D4598" s="1">
        <f>IFERROR(__xludf.DUMMYFUNCTION("""COMPUTED_VALUE"""),1139.0)</f>
        <v>1139</v>
      </c>
      <c r="E4598" s="1">
        <f>IFERROR(__xludf.DUMMYFUNCTION("""COMPUTED_VALUE"""),1144.11)</f>
        <v>1144.11</v>
      </c>
      <c r="F4598" s="1">
        <f>IFERROR(__xludf.DUMMYFUNCTION("""COMPUTED_VALUE"""),1.4796E8)</f>
        <v>147960000</v>
      </c>
    </row>
    <row r="4599">
      <c r="A4599" s="2">
        <f>IFERROR(__xludf.DUMMYFUNCTION("""COMPUTED_VALUE"""),38040.666666666664)</f>
        <v>38040.66667</v>
      </c>
      <c r="B4599" s="1">
        <f>IFERROR(__xludf.DUMMYFUNCTION("""COMPUTED_VALUE"""),1144.11)</f>
        <v>1144.11</v>
      </c>
      <c r="C4599" s="1">
        <f>IFERROR(__xludf.DUMMYFUNCTION("""COMPUTED_VALUE"""),1146.69)</f>
        <v>1146.69</v>
      </c>
      <c r="D4599" s="1">
        <f>IFERROR(__xludf.DUMMYFUNCTION("""COMPUTED_VALUE"""),1136.98)</f>
        <v>1136.98</v>
      </c>
      <c r="E4599" s="1">
        <f>IFERROR(__xludf.DUMMYFUNCTION("""COMPUTED_VALUE"""),1140.99)</f>
        <v>1140.99</v>
      </c>
      <c r="F4599" s="1">
        <f>IFERROR(__xludf.DUMMYFUNCTION("""COMPUTED_VALUE"""),1.3804E8)</f>
        <v>138040000</v>
      </c>
    </row>
    <row r="4600">
      <c r="A4600" s="2">
        <f>IFERROR(__xludf.DUMMYFUNCTION("""COMPUTED_VALUE"""),38041.666666666664)</f>
        <v>38041.66667</v>
      </c>
      <c r="B4600" s="1">
        <f>IFERROR(__xludf.DUMMYFUNCTION("""COMPUTED_VALUE"""),1140.99)</f>
        <v>1140.99</v>
      </c>
      <c r="C4600" s="1">
        <f>IFERROR(__xludf.DUMMYFUNCTION("""COMPUTED_VALUE"""),1144.54)</f>
        <v>1144.54</v>
      </c>
      <c r="D4600" s="1">
        <f>IFERROR(__xludf.DUMMYFUNCTION("""COMPUTED_VALUE"""),1134.43)</f>
        <v>1134.43</v>
      </c>
      <c r="E4600" s="1">
        <f>IFERROR(__xludf.DUMMYFUNCTION("""COMPUTED_VALUE"""),1139.1)</f>
        <v>1139.1</v>
      </c>
      <c r="F4600" s="1">
        <f>IFERROR(__xludf.DUMMYFUNCTION("""COMPUTED_VALUE"""),1.5436E8)</f>
        <v>154360000</v>
      </c>
    </row>
    <row r="4601">
      <c r="A4601" s="2">
        <f>IFERROR(__xludf.DUMMYFUNCTION("""COMPUTED_VALUE"""),38042.666666666664)</f>
        <v>38042.66667</v>
      </c>
      <c r="B4601" s="1">
        <f>IFERROR(__xludf.DUMMYFUNCTION("""COMPUTED_VALUE"""),1139.09)</f>
        <v>1139.09</v>
      </c>
      <c r="C4601" s="1">
        <f>IFERROR(__xludf.DUMMYFUNCTION("""COMPUTED_VALUE"""),1145.24)</f>
        <v>1145.24</v>
      </c>
      <c r="D4601" s="1">
        <f>IFERROR(__xludf.DUMMYFUNCTION("""COMPUTED_VALUE"""),1138.71)</f>
        <v>1138.71</v>
      </c>
      <c r="E4601" s="1">
        <f>IFERROR(__xludf.DUMMYFUNCTION("""COMPUTED_VALUE"""),1143.67)</f>
        <v>1143.67</v>
      </c>
      <c r="F4601" s="1">
        <f>IFERROR(__xludf.DUMMYFUNCTION("""COMPUTED_VALUE"""),1.3607E8)</f>
        <v>136070000</v>
      </c>
    </row>
    <row r="4602">
      <c r="A4602" s="2">
        <f>IFERROR(__xludf.DUMMYFUNCTION("""COMPUTED_VALUE"""),38043.666666666664)</f>
        <v>38043.66667</v>
      </c>
      <c r="B4602" s="1">
        <f>IFERROR(__xludf.DUMMYFUNCTION("""COMPUTED_VALUE"""),1143.67)</f>
        <v>1143.67</v>
      </c>
      <c r="C4602" s="1">
        <f>IFERROR(__xludf.DUMMYFUNCTION("""COMPUTED_VALUE"""),1147.23)</f>
        <v>1147.23</v>
      </c>
      <c r="D4602" s="1">
        <f>IFERROR(__xludf.DUMMYFUNCTION("""COMPUTED_VALUE"""),1138.62)</f>
        <v>1138.62</v>
      </c>
      <c r="E4602" s="1">
        <f>IFERROR(__xludf.DUMMYFUNCTION("""COMPUTED_VALUE"""),1144.91)</f>
        <v>1144.91</v>
      </c>
      <c r="F4602" s="1">
        <f>IFERROR(__xludf.DUMMYFUNCTION("""COMPUTED_VALUE"""),1.3839E8)</f>
        <v>138390000</v>
      </c>
    </row>
    <row r="4603">
      <c r="A4603" s="2">
        <f>IFERROR(__xludf.DUMMYFUNCTION("""COMPUTED_VALUE"""),38044.666666666664)</f>
        <v>38044.66667</v>
      </c>
      <c r="B4603" s="1">
        <f>IFERROR(__xludf.DUMMYFUNCTION("""COMPUTED_VALUE"""),1145.8)</f>
        <v>1145.8</v>
      </c>
      <c r="C4603" s="1">
        <f>IFERROR(__xludf.DUMMYFUNCTION("""COMPUTED_VALUE"""),1151.68)</f>
        <v>1151.68</v>
      </c>
      <c r="D4603" s="1">
        <f>IFERROR(__xludf.DUMMYFUNCTION("""COMPUTED_VALUE"""),1141.8)</f>
        <v>1141.8</v>
      </c>
      <c r="E4603" s="1">
        <f>IFERROR(__xludf.DUMMYFUNCTION("""COMPUTED_VALUE"""),1144.94)</f>
        <v>1144.94</v>
      </c>
      <c r="F4603" s="1">
        <f>IFERROR(__xludf.DUMMYFUNCTION("""COMPUTED_VALUE"""),1.5404E8)</f>
        <v>154040000</v>
      </c>
    </row>
    <row r="4604">
      <c r="A4604" s="2">
        <f>IFERROR(__xludf.DUMMYFUNCTION("""COMPUTED_VALUE"""),38047.666666666664)</f>
        <v>38047.66667</v>
      </c>
      <c r="B4604" s="1">
        <f>IFERROR(__xludf.DUMMYFUNCTION("""COMPUTED_VALUE"""),1144.94)</f>
        <v>1144.94</v>
      </c>
      <c r="C4604" s="1">
        <f>IFERROR(__xludf.DUMMYFUNCTION("""COMPUTED_VALUE"""),1157.45)</f>
        <v>1157.45</v>
      </c>
      <c r="D4604" s="1">
        <f>IFERROR(__xludf.DUMMYFUNCTION("""COMPUTED_VALUE"""),1144.94)</f>
        <v>1144.94</v>
      </c>
      <c r="E4604" s="1">
        <f>IFERROR(__xludf.DUMMYFUNCTION("""COMPUTED_VALUE"""),1155.97)</f>
        <v>1155.97</v>
      </c>
      <c r="F4604" s="1">
        <f>IFERROR(__xludf.DUMMYFUNCTION("""COMPUTED_VALUE"""),1.4971E8)</f>
        <v>149710000</v>
      </c>
    </row>
    <row r="4605">
      <c r="A4605" s="2">
        <f>IFERROR(__xludf.DUMMYFUNCTION("""COMPUTED_VALUE"""),38048.666666666664)</f>
        <v>38048.66667</v>
      </c>
      <c r="B4605" s="1">
        <f>IFERROR(__xludf.DUMMYFUNCTION("""COMPUTED_VALUE"""),1155.97)</f>
        <v>1155.97</v>
      </c>
      <c r="C4605" s="1">
        <f>IFERROR(__xludf.DUMMYFUNCTION("""COMPUTED_VALUE"""),1156.54)</f>
        <v>1156.54</v>
      </c>
      <c r="D4605" s="1">
        <f>IFERROR(__xludf.DUMMYFUNCTION("""COMPUTED_VALUE"""),1147.31)</f>
        <v>1147.31</v>
      </c>
      <c r="E4605" s="1">
        <f>IFERROR(__xludf.DUMMYFUNCTION("""COMPUTED_VALUE"""),1149.1)</f>
        <v>1149.1</v>
      </c>
      <c r="F4605" s="1">
        <f>IFERROR(__xludf.DUMMYFUNCTION("""COMPUTED_VALUE"""),1.476E8)</f>
        <v>147600000</v>
      </c>
    </row>
    <row r="4606">
      <c r="A4606" s="2">
        <f>IFERROR(__xludf.DUMMYFUNCTION("""COMPUTED_VALUE"""),38049.666666666664)</f>
        <v>38049.66667</v>
      </c>
      <c r="B4606" s="1">
        <f>IFERROR(__xludf.DUMMYFUNCTION("""COMPUTED_VALUE"""),1149.1)</f>
        <v>1149.1</v>
      </c>
      <c r="C4606" s="1">
        <f>IFERROR(__xludf.DUMMYFUNCTION("""COMPUTED_VALUE"""),1149.1)</f>
        <v>1149.1</v>
      </c>
      <c r="D4606" s="1">
        <f>IFERROR(__xludf.DUMMYFUNCTION("""COMPUTED_VALUE"""),1143.78)</f>
        <v>1143.78</v>
      </c>
      <c r="E4606" s="1">
        <f>IFERROR(__xludf.DUMMYFUNCTION("""COMPUTED_VALUE"""),1145.98)</f>
        <v>1145.98</v>
      </c>
      <c r="F4606" s="1">
        <f>IFERROR(__xludf.DUMMYFUNCTION("""COMPUTED_VALUE"""),1.3345E8)</f>
        <v>133450000</v>
      </c>
    </row>
    <row r="4607">
      <c r="A4607" s="2">
        <f>IFERROR(__xludf.DUMMYFUNCTION("""COMPUTED_VALUE"""),38050.666666666664)</f>
        <v>38050.66667</v>
      </c>
      <c r="B4607" s="1">
        <f>IFERROR(__xludf.DUMMYFUNCTION("""COMPUTED_VALUE"""),1151.03)</f>
        <v>1151.03</v>
      </c>
      <c r="C4607" s="1">
        <f>IFERROR(__xludf.DUMMYFUNCTION("""COMPUTED_VALUE"""),1154.97)</f>
        <v>1154.97</v>
      </c>
      <c r="D4607" s="1">
        <f>IFERROR(__xludf.DUMMYFUNCTION("""COMPUTED_VALUE"""),1149.81)</f>
        <v>1149.81</v>
      </c>
      <c r="E4607" s="1">
        <f>IFERROR(__xludf.DUMMYFUNCTION("""COMPUTED_VALUE"""),1154.87)</f>
        <v>1154.87</v>
      </c>
      <c r="F4607" s="1">
        <f>IFERROR(__xludf.DUMMYFUNCTION("""COMPUTED_VALUE"""),1.2658E8)</f>
        <v>126580000</v>
      </c>
    </row>
    <row r="4608">
      <c r="A4608" s="2">
        <f>IFERROR(__xludf.DUMMYFUNCTION("""COMPUTED_VALUE"""),38051.666666666664)</f>
        <v>38051.66667</v>
      </c>
      <c r="B4608" s="1">
        <f>IFERROR(__xludf.DUMMYFUNCTION("""COMPUTED_VALUE"""),1154.87)</f>
        <v>1154.87</v>
      </c>
      <c r="C4608" s="1">
        <f>IFERROR(__xludf.DUMMYFUNCTION("""COMPUTED_VALUE"""),1163.23)</f>
        <v>1163.23</v>
      </c>
      <c r="D4608" s="1">
        <f>IFERROR(__xludf.DUMMYFUNCTION("""COMPUTED_VALUE"""),1148.71)</f>
        <v>1148.71</v>
      </c>
      <c r="E4608" s="1">
        <f>IFERROR(__xludf.DUMMYFUNCTION("""COMPUTED_VALUE"""),1156.86)</f>
        <v>1156.86</v>
      </c>
      <c r="F4608" s="1">
        <f>IFERROR(__xludf.DUMMYFUNCTION("""COMPUTED_VALUE"""),1.3982E8)</f>
        <v>139820000</v>
      </c>
    </row>
    <row r="4609">
      <c r="A4609" s="2">
        <f>IFERROR(__xludf.DUMMYFUNCTION("""COMPUTED_VALUE"""),38054.666666666664)</f>
        <v>38054.66667</v>
      </c>
      <c r="B4609" s="1">
        <f>IFERROR(__xludf.DUMMYFUNCTION("""COMPUTED_VALUE"""),1156.86)</f>
        <v>1156.86</v>
      </c>
      <c r="C4609" s="1">
        <f>IFERROR(__xludf.DUMMYFUNCTION("""COMPUTED_VALUE"""),1159.94)</f>
        <v>1159.94</v>
      </c>
      <c r="D4609" s="1">
        <f>IFERROR(__xludf.DUMMYFUNCTION("""COMPUTED_VALUE"""),1146.97)</f>
        <v>1146.97</v>
      </c>
      <c r="E4609" s="1">
        <f>IFERROR(__xludf.DUMMYFUNCTION("""COMPUTED_VALUE"""),1147.2)</f>
        <v>1147.2</v>
      </c>
      <c r="F4609" s="1">
        <f>IFERROR(__xludf.DUMMYFUNCTION("""COMPUTED_VALUE"""),1.2544E8)</f>
        <v>125440000</v>
      </c>
    </row>
    <row r="4610">
      <c r="A4610" s="2">
        <f>IFERROR(__xludf.DUMMYFUNCTION("""COMPUTED_VALUE"""),38055.666666666664)</f>
        <v>38055.66667</v>
      </c>
      <c r="B4610" s="1">
        <f>IFERROR(__xludf.DUMMYFUNCTION("""COMPUTED_VALUE"""),1147.2)</f>
        <v>1147.2</v>
      </c>
      <c r="C4610" s="1">
        <f>IFERROR(__xludf.DUMMYFUNCTION("""COMPUTED_VALUE"""),1147.32)</f>
        <v>1147.32</v>
      </c>
      <c r="D4610" s="1">
        <f>IFERROR(__xludf.DUMMYFUNCTION("""COMPUTED_VALUE"""),1136.84)</f>
        <v>1136.84</v>
      </c>
      <c r="E4610" s="1">
        <f>IFERROR(__xludf.DUMMYFUNCTION("""COMPUTED_VALUE"""),1140.57)</f>
        <v>1140.57</v>
      </c>
      <c r="F4610" s="1">
        <f>IFERROR(__xludf.DUMMYFUNCTION("""COMPUTED_VALUE"""),1.4994E8)</f>
        <v>149940000</v>
      </c>
    </row>
    <row r="4611">
      <c r="A4611" s="2">
        <f>IFERROR(__xludf.DUMMYFUNCTION("""COMPUTED_VALUE"""),38056.666666666664)</f>
        <v>38056.66667</v>
      </c>
      <c r="B4611" s="1">
        <f>IFERROR(__xludf.DUMMYFUNCTION("""COMPUTED_VALUE"""),1140.58)</f>
        <v>1140.58</v>
      </c>
      <c r="C4611" s="1">
        <f>IFERROR(__xludf.DUMMYFUNCTION("""COMPUTED_VALUE"""),1141.45)</f>
        <v>1141.45</v>
      </c>
      <c r="D4611" s="1">
        <f>IFERROR(__xludf.DUMMYFUNCTION("""COMPUTED_VALUE"""),1122.53)</f>
        <v>1122.53</v>
      </c>
      <c r="E4611" s="1">
        <f>IFERROR(__xludf.DUMMYFUNCTION("""COMPUTED_VALUE"""),1123.91)</f>
        <v>1123.91</v>
      </c>
      <c r="F4611" s="1">
        <f>IFERROR(__xludf.DUMMYFUNCTION("""COMPUTED_VALUE"""),1.6484E8)</f>
        <v>164840000</v>
      </c>
    </row>
    <row r="4612">
      <c r="A4612" s="2">
        <f>IFERROR(__xludf.DUMMYFUNCTION("""COMPUTED_VALUE"""),38057.666666666664)</f>
        <v>38057.66667</v>
      </c>
      <c r="B4612" s="1">
        <f>IFERROR(__xludf.DUMMYFUNCTION("""COMPUTED_VALUE"""),1123.89)</f>
        <v>1123.89</v>
      </c>
      <c r="C4612" s="1">
        <f>IFERROR(__xludf.DUMMYFUNCTION("""COMPUTED_VALUE"""),1125.96)</f>
        <v>1125.96</v>
      </c>
      <c r="D4612" s="1">
        <f>IFERROR(__xludf.DUMMYFUNCTION("""COMPUTED_VALUE"""),1105.87)</f>
        <v>1105.87</v>
      </c>
      <c r="E4612" s="1">
        <f>IFERROR(__xludf.DUMMYFUNCTION("""COMPUTED_VALUE"""),1106.79)</f>
        <v>1106.79</v>
      </c>
      <c r="F4612" s="1">
        <f>IFERROR(__xludf.DUMMYFUNCTION("""COMPUTED_VALUE"""),1.8899E8)</f>
        <v>188990000</v>
      </c>
    </row>
    <row r="4613">
      <c r="A4613" s="2">
        <f>IFERROR(__xludf.DUMMYFUNCTION("""COMPUTED_VALUE"""),38058.666666666664)</f>
        <v>38058.66667</v>
      </c>
      <c r="B4613" s="1">
        <f>IFERROR(__xludf.DUMMYFUNCTION("""COMPUTED_VALUE"""),1106.78)</f>
        <v>1106.78</v>
      </c>
      <c r="C4613" s="1">
        <f>IFERROR(__xludf.DUMMYFUNCTION("""COMPUTED_VALUE"""),1120.63)</f>
        <v>1120.63</v>
      </c>
      <c r="D4613" s="1">
        <f>IFERROR(__xludf.DUMMYFUNCTION("""COMPUTED_VALUE"""),1106.78)</f>
        <v>1106.78</v>
      </c>
      <c r="E4613" s="1">
        <f>IFERROR(__xludf.DUMMYFUNCTION("""COMPUTED_VALUE"""),1120.6)</f>
        <v>1120.6</v>
      </c>
      <c r="F4613" s="1">
        <f>IFERROR(__xludf.DUMMYFUNCTION("""COMPUTED_VALUE"""),1.3885E8)</f>
        <v>138850000</v>
      </c>
    </row>
    <row r="4614">
      <c r="A4614" s="2">
        <f>IFERROR(__xludf.DUMMYFUNCTION("""COMPUTED_VALUE"""),38061.666666666664)</f>
        <v>38061.66667</v>
      </c>
      <c r="B4614" s="1">
        <f>IFERROR(__xludf.DUMMYFUNCTION("""COMPUTED_VALUE"""),1120.57)</f>
        <v>1120.57</v>
      </c>
      <c r="C4614" s="1">
        <f>IFERROR(__xludf.DUMMYFUNCTION("""COMPUTED_VALUE"""),1120.57)</f>
        <v>1120.57</v>
      </c>
      <c r="D4614" s="1">
        <f>IFERROR(__xludf.DUMMYFUNCTION("""COMPUTED_VALUE"""),1103.36)</f>
        <v>1103.36</v>
      </c>
      <c r="E4614" s="1">
        <f>IFERROR(__xludf.DUMMYFUNCTION("""COMPUTED_VALUE"""),1104.43)</f>
        <v>1104.43</v>
      </c>
      <c r="F4614" s="1">
        <f>IFERROR(__xludf.DUMMYFUNCTION("""COMPUTED_VALUE"""),1.6006E8)</f>
        <v>160060000</v>
      </c>
    </row>
    <row r="4615">
      <c r="A4615" s="2">
        <f>IFERROR(__xludf.DUMMYFUNCTION("""COMPUTED_VALUE"""),38062.666666666664)</f>
        <v>38062.66667</v>
      </c>
      <c r="B4615" s="1">
        <f>IFERROR(__xludf.DUMMYFUNCTION("""COMPUTED_VALUE"""),1104.49)</f>
        <v>1104.49</v>
      </c>
      <c r="C4615" s="1">
        <f>IFERROR(__xludf.DUMMYFUNCTION("""COMPUTED_VALUE"""),1113.82)</f>
        <v>1113.82</v>
      </c>
      <c r="D4615" s="1">
        <f>IFERROR(__xludf.DUMMYFUNCTION("""COMPUTED_VALUE"""),1102.61)</f>
        <v>1102.61</v>
      </c>
      <c r="E4615" s="1">
        <f>IFERROR(__xludf.DUMMYFUNCTION("""COMPUTED_VALUE"""),1110.7)</f>
        <v>1110.7</v>
      </c>
      <c r="F4615" s="1">
        <f>IFERROR(__xludf.DUMMYFUNCTION("""COMPUTED_VALUE"""),1.5007E8)</f>
        <v>150070000</v>
      </c>
    </row>
    <row r="4616">
      <c r="A4616" s="2">
        <f>IFERROR(__xludf.DUMMYFUNCTION("""COMPUTED_VALUE"""),38063.666666666664)</f>
        <v>38063.66667</v>
      </c>
      <c r="B4616" s="1">
        <f>IFERROR(__xludf.DUMMYFUNCTION("""COMPUTED_VALUE"""),1110.7)</f>
        <v>1110.7</v>
      </c>
      <c r="C4616" s="1">
        <f>IFERROR(__xludf.DUMMYFUNCTION("""COMPUTED_VALUE"""),1125.76)</f>
        <v>1125.76</v>
      </c>
      <c r="D4616" s="1">
        <f>IFERROR(__xludf.DUMMYFUNCTION("""COMPUTED_VALUE"""),1110.7)</f>
        <v>1110.7</v>
      </c>
      <c r="E4616" s="1">
        <f>IFERROR(__xludf.DUMMYFUNCTION("""COMPUTED_VALUE"""),1123.78)</f>
        <v>1123.78</v>
      </c>
      <c r="F4616" s="1">
        <f>IFERROR(__xludf.DUMMYFUNCTION("""COMPUTED_VALUE"""),1.4901E8)</f>
        <v>149010000</v>
      </c>
    </row>
    <row r="4617">
      <c r="A4617" s="2">
        <f>IFERROR(__xludf.DUMMYFUNCTION("""COMPUTED_VALUE"""),38064.666666666664)</f>
        <v>38064.66667</v>
      </c>
      <c r="B4617" s="1">
        <f>IFERROR(__xludf.DUMMYFUNCTION("""COMPUTED_VALUE"""),1123.75)</f>
        <v>1123.75</v>
      </c>
      <c r="C4617" s="1">
        <f>IFERROR(__xludf.DUMMYFUNCTION("""COMPUTED_VALUE"""),1125.5)</f>
        <v>1125.5</v>
      </c>
      <c r="D4617" s="1">
        <f>IFERROR(__xludf.DUMMYFUNCTION("""COMPUTED_VALUE"""),1113.25)</f>
        <v>1113.25</v>
      </c>
      <c r="E4617" s="1">
        <f>IFERROR(__xludf.DUMMYFUNCTION("""COMPUTED_VALUE"""),1122.31)</f>
        <v>1122.31</v>
      </c>
      <c r="F4617" s="1">
        <f>IFERROR(__xludf.DUMMYFUNCTION("""COMPUTED_VALUE"""),1.3692E8)</f>
        <v>136920000</v>
      </c>
    </row>
    <row r="4618">
      <c r="A4618" s="2">
        <f>IFERROR(__xludf.DUMMYFUNCTION("""COMPUTED_VALUE"""),38065.666666666664)</f>
        <v>38065.66667</v>
      </c>
      <c r="B4618" s="1">
        <f>IFERROR(__xludf.DUMMYFUNCTION("""COMPUTED_VALUE"""),1122.32)</f>
        <v>1122.32</v>
      </c>
      <c r="C4618" s="1">
        <f>IFERROR(__xludf.DUMMYFUNCTION("""COMPUTED_VALUE"""),1122.72)</f>
        <v>1122.72</v>
      </c>
      <c r="D4618" s="1">
        <f>IFERROR(__xludf.DUMMYFUNCTION("""COMPUTED_VALUE"""),1109.69)</f>
        <v>1109.69</v>
      </c>
      <c r="E4618" s="1">
        <f>IFERROR(__xludf.DUMMYFUNCTION("""COMPUTED_VALUE"""),1109.74)</f>
        <v>1109.74</v>
      </c>
      <c r="F4618" s="1">
        <f>IFERROR(__xludf.DUMMYFUNCTION("""COMPUTED_VALUE"""),1.4574E8)</f>
        <v>145740000</v>
      </c>
    </row>
    <row r="4619">
      <c r="A4619" s="2">
        <f>IFERROR(__xludf.DUMMYFUNCTION("""COMPUTED_VALUE"""),38068.666666666664)</f>
        <v>38068.66667</v>
      </c>
      <c r="B4619" s="1">
        <f>IFERROR(__xludf.DUMMYFUNCTION("""COMPUTED_VALUE"""),1109.78)</f>
        <v>1109.78</v>
      </c>
      <c r="C4619" s="1">
        <f>IFERROR(__xludf.DUMMYFUNCTION("""COMPUTED_VALUE"""),1109.78)</f>
        <v>1109.78</v>
      </c>
      <c r="D4619" s="1">
        <f>IFERROR(__xludf.DUMMYFUNCTION("""COMPUTED_VALUE"""),1089.49)</f>
        <v>1089.49</v>
      </c>
      <c r="E4619" s="1">
        <f>IFERROR(__xludf.DUMMYFUNCTION("""COMPUTED_VALUE"""),1095.44)</f>
        <v>1095.44</v>
      </c>
      <c r="F4619" s="1">
        <f>IFERROR(__xludf.DUMMYFUNCTION("""COMPUTED_VALUE"""),1.4523E8)</f>
        <v>145230000</v>
      </c>
    </row>
    <row r="4620">
      <c r="A4620" s="2">
        <f>IFERROR(__xludf.DUMMYFUNCTION("""COMPUTED_VALUE"""),38069.666666666664)</f>
        <v>38069.66667</v>
      </c>
      <c r="B4620" s="1">
        <f>IFERROR(__xludf.DUMMYFUNCTION("""COMPUTED_VALUE"""),1095.4)</f>
        <v>1095.4</v>
      </c>
      <c r="C4620" s="1">
        <f>IFERROR(__xludf.DUMMYFUNCTION("""COMPUTED_VALUE"""),1101.52)</f>
        <v>1101.52</v>
      </c>
      <c r="D4620" s="1">
        <f>IFERROR(__xludf.DUMMYFUNCTION("""COMPUTED_VALUE"""),1091.57)</f>
        <v>1091.57</v>
      </c>
      <c r="E4620" s="1">
        <f>IFERROR(__xludf.DUMMYFUNCTION("""COMPUTED_VALUE"""),1093.9)</f>
        <v>1093.9</v>
      </c>
      <c r="F4620" s="1">
        <f>IFERROR(__xludf.DUMMYFUNCTION("""COMPUTED_VALUE"""),1.4582E8)</f>
        <v>145820000</v>
      </c>
    </row>
    <row r="4621">
      <c r="A4621" s="2">
        <f>IFERROR(__xludf.DUMMYFUNCTION("""COMPUTED_VALUE"""),38070.666666666664)</f>
        <v>38070.66667</v>
      </c>
      <c r="B4621" s="1">
        <f>IFERROR(__xludf.DUMMYFUNCTION("""COMPUTED_VALUE"""),1093.95)</f>
        <v>1093.95</v>
      </c>
      <c r="C4621" s="1">
        <f>IFERROR(__xludf.DUMMYFUNCTION("""COMPUTED_VALUE"""),1098.39)</f>
        <v>1098.39</v>
      </c>
      <c r="D4621" s="1">
        <f>IFERROR(__xludf.DUMMYFUNCTION("""COMPUTED_VALUE"""),1087.06)</f>
        <v>1087.06</v>
      </c>
      <c r="E4621" s="1">
        <f>IFERROR(__xludf.DUMMYFUNCTION("""COMPUTED_VALUE"""),1091.32)</f>
        <v>1091.32</v>
      </c>
      <c r="F4621" s="1">
        <f>IFERROR(__xludf.DUMMYFUNCTION("""COMPUTED_VALUE"""),1.5278E8)</f>
        <v>152780000</v>
      </c>
    </row>
    <row r="4622">
      <c r="A4622" s="2">
        <f>IFERROR(__xludf.DUMMYFUNCTION("""COMPUTED_VALUE"""),38071.666666666664)</f>
        <v>38071.66667</v>
      </c>
      <c r="B4622" s="1">
        <f>IFERROR(__xludf.DUMMYFUNCTION("""COMPUTED_VALUE"""),1091.33)</f>
        <v>1091.33</v>
      </c>
      <c r="C4622" s="1">
        <f>IFERROR(__xludf.DUMMYFUNCTION("""COMPUTED_VALUE"""),1110.38)</f>
        <v>1110.38</v>
      </c>
      <c r="D4622" s="1">
        <f>IFERROR(__xludf.DUMMYFUNCTION("""COMPUTED_VALUE"""),1091.33)</f>
        <v>1091.33</v>
      </c>
      <c r="E4622" s="1">
        <f>IFERROR(__xludf.DUMMYFUNCTION("""COMPUTED_VALUE"""),1109.28)</f>
        <v>1109.28</v>
      </c>
      <c r="F4622" s="1">
        <f>IFERROR(__xludf.DUMMYFUNCTION("""COMPUTED_VALUE"""),1.4717E8)</f>
        <v>147170000</v>
      </c>
    </row>
    <row r="4623">
      <c r="A4623" s="2">
        <f>IFERROR(__xludf.DUMMYFUNCTION("""COMPUTED_VALUE"""),38072.666666666664)</f>
        <v>38072.66667</v>
      </c>
      <c r="B4623" s="1">
        <f>IFERROR(__xludf.DUMMYFUNCTION("""COMPUTED_VALUE"""),1109.19)</f>
        <v>1109.19</v>
      </c>
      <c r="C4623" s="1">
        <f>IFERROR(__xludf.DUMMYFUNCTION("""COMPUTED_VALUE"""),1115.27)</f>
        <v>1115.27</v>
      </c>
      <c r="D4623" s="1">
        <f>IFERROR(__xludf.DUMMYFUNCTION("""COMPUTED_VALUE"""),1106.13)</f>
        <v>1106.13</v>
      </c>
      <c r="E4623" s="1">
        <f>IFERROR(__xludf.DUMMYFUNCTION("""COMPUTED_VALUE"""),1108.02)</f>
        <v>1108.02</v>
      </c>
      <c r="F4623" s="1">
        <f>IFERROR(__xludf.DUMMYFUNCTION("""COMPUTED_VALUE"""),1.3191E8)</f>
        <v>131910000</v>
      </c>
    </row>
    <row r="4624">
      <c r="A4624" s="2">
        <f>IFERROR(__xludf.DUMMYFUNCTION("""COMPUTED_VALUE"""),38075.666666666664)</f>
        <v>38075.66667</v>
      </c>
      <c r="B4624" s="1">
        <f>IFERROR(__xludf.DUMMYFUNCTION("""COMPUTED_VALUE"""),1108.06)</f>
        <v>1108.06</v>
      </c>
      <c r="C4624" s="1">
        <f>IFERROR(__xludf.DUMMYFUNCTION("""COMPUTED_VALUE"""),1124.37)</f>
        <v>1124.37</v>
      </c>
      <c r="D4624" s="1">
        <f>IFERROR(__xludf.DUMMYFUNCTION("""COMPUTED_VALUE"""),1108.06)</f>
        <v>1108.06</v>
      </c>
      <c r="E4624" s="1">
        <f>IFERROR(__xludf.DUMMYFUNCTION("""COMPUTED_VALUE"""),1122.47)</f>
        <v>1122.47</v>
      </c>
      <c r="F4624" s="1">
        <f>IFERROR(__xludf.DUMMYFUNCTION("""COMPUTED_VALUE"""),1.4055E8)</f>
        <v>140550000</v>
      </c>
    </row>
    <row r="4625">
      <c r="A4625" s="2">
        <f>IFERROR(__xludf.DUMMYFUNCTION("""COMPUTED_VALUE"""),38076.666666666664)</f>
        <v>38076.66667</v>
      </c>
      <c r="B4625" s="1">
        <f>IFERROR(__xludf.DUMMYFUNCTION("""COMPUTED_VALUE"""),1122.47)</f>
        <v>1122.47</v>
      </c>
      <c r="C4625" s="1">
        <f>IFERROR(__xludf.DUMMYFUNCTION("""COMPUTED_VALUE"""),1127.6)</f>
        <v>1127.6</v>
      </c>
      <c r="D4625" s="1">
        <f>IFERROR(__xludf.DUMMYFUNCTION("""COMPUTED_VALUE"""),1119.66)</f>
        <v>1119.66</v>
      </c>
      <c r="E4625" s="1">
        <f>IFERROR(__xludf.DUMMYFUNCTION("""COMPUTED_VALUE"""),1127.0)</f>
        <v>1127</v>
      </c>
      <c r="F4625" s="1">
        <f>IFERROR(__xludf.DUMMYFUNCTION("""COMPUTED_VALUE"""),1.3324E8)</f>
        <v>133240000</v>
      </c>
    </row>
    <row r="4626">
      <c r="A4626" s="2">
        <f>IFERROR(__xludf.DUMMYFUNCTION("""COMPUTED_VALUE"""),38077.666666666664)</f>
        <v>38077.66667</v>
      </c>
      <c r="B4626" s="1">
        <f>IFERROR(__xludf.DUMMYFUNCTION("""COMPUTED_VALUE"""),1127.0)</f>
        <v>1127</v>
      </c>
      <c r="C4626" s="1">
        <f>IFERROR(__xludf.DUMMYFUNCTION("""COMPUTED_VALUE"""),1130.83)</f>
        <v>1130.83</v>
      </c>
      <c r="D4626" s="1">
        <f>IFERROR(__xludf.DUMMYFUNCTION("""COMPUTED_VALUE"""),1121.46)</f>
        <v>1121.46</v>
      </c>
      <c r="E4626" s="1">
        <f>IFERROR(__xludf.DUMMYFUNCTION("""COMPUTED_VALUE"""),1126.21)</f>
        <v>1126.21</v>
      </c>
      <c r="F4626" s="1">
        <f>IFERROR(__xludf.DUMMYFUNCTION("""COMPUTED_VALUE"""),1.5607E8)</f>
        <v>156070000</v>
      </c>
    </row>
    <row r="4627">
      <c r="A4627" s="2">
        <f>IFERROR(__xludf.DUMMYFUNCTION("""COMPUTED_VALUE"""),38078.666666666664)</f>
        <v>38078.66667</v>
      </c>
      <c r="B4627" s="1">
        <f>IFERROR(__xludf.DUMMYFUNCTION("""COMPUTED_VALUE"""),1126.21)</f>
        <v>1126.21</v>
      </c>
      <c r="C4627" s="1">
        <f>IFERROR(__xludf.DUMMYFUNCTION("""COMPUTED_VALUE"""),1135.67)</f>
        <v>1135.67</v>
      </c>
      <c r="D4627" s="1">
        <f>IFERROR(__xludf.DUMMYFUNCTION("""COMPUTED_VALUE"""),1126.2)</f>
        <v>1126.2</v>
      </c>
      <c r="E4627" s="1">
        <f>IFERROR(__xludf.DUMMYFUNCTION("""COMPUTED_VALUE"""),1132.17)</f>
        <v>1132.17</v>
      </c>
      <c r="F4627" s="1">
        <f>IFERROR(__xludf.DUMMYFUNCTION("""COMPUTED_VALUE"""),1.5607E8)</f>
        <v>156070000</v>
      </c>
    </row>
    <row r="4628">
      <c r="A4628" s="2">
        <f>IFERROR(__xludf.DUMMYFUNCTION("""COMPUTED_VALUE"""),38079.666666666664)</f>
        <v>38079.66667</v>
      </c>
      <c r="B4628" s="1">
        <f>IFERROR(__xludf.DUMMYFUNCTION("""COMPUTED_VALUE"""),1132.17)</f>
        <v>1132.17</v>
      </c>
      <c r="C4628" s="1">
        <f>IFERROR(__xludf.DUMMYFUNCTION("""COMPUTED_VALUE"""),1144.81)</f>
        <v>1144.81</v>
      </c>
      <c r="D4628" s="1">
        <f>IFERROR(__xludf.DUMMYFUNCTION("""COMPUTED_VALUE"""),1132.17)</f>
        <v>1132.17</v>
      </c>
      <c r="E4628" s="1">
        <f>IFERROR(__xludf.DUMMYFUNCTION("""COMPUTED_VALUE"""),1141.8)</f>
        <v>1141.8</v>
      </c>
      <c r="F4628" s="1">
        <f>IFERROR(__xludf.DUMMYFUNCTION("""COMPUTED_VALUE"""),1.6292E8)</f>
        <v>162920000</v>
      </c>
    </row>
    <row r="4629">
      <c r="A4629" s="2">
        <f>IFERROR(__xludf.DUMMYFUNCTION("""COMPUTED_VALUE"""),38082.666666666664)</f>
        <v>38082.66667</v>
      </c>
      <c r="B4629" s="1">
        <f>IFERROR(__xludf.DUMMYFUNCTION("""COMPUTED_VALUE"""),1141.81)</f>
        <v>1141.81</v>
      </c>
      <c r="C4629" s="1">
        <f>IFERROR(__xludf.DUMMYFUNCTION("""COMPUTED_VALUE"""),1150.54)</f>
        <v>1150.54</v>
      </c>
      <c r="D4629" s="1">
        <f>IFERROR(__xludf.DUMMYFUNCTION("""COMPUTED_VALUE"""),1141.64)</f>
        <v>1141.64</v>
      </c>
      <c r="E4629" s="1">
        <f>IFERROR(__xludf.DUMMYFUNCTION("""COMPUTED_VALUE"""),1150.54)</f>
        <v>1150.54</v>
      </c>
      <c r="F4629" s="1">
        <f>IFERROR(__xludf.DUMMYFUNCTION("""COMPUTED_VALUE"""),1.4137E8)</f>
        <v>141370000</v>
      </c>
    </row>
    <row r="4630">
      <c r="A4630" s="2">
        <f>IFERROR(__xludf.DUMMYFUNCTION("""COMPUTED_VALUE"""),38083.666666666664)</f>
        <v>38083.66667</v>
      </c>
      <c r="B4630" s="1">
        <f>IFERROR(__xludf.DUMMYFUNCTION("""COMPUTED_VALUE"""),1150.57)</f>
        <v>1150.57</v>
      </c>
      <c r="C4630" s="1">
        <f>IFERROR(__xludf.DUMMYFUNCTION("""COMPUTED_VALUE"""),1150.57)</f>
        <v>1150.57</v>
      </c>
      <c r="D4630" s="1">
        <f>IFERROR(__xludf.DUMMYFUNCTION("""COMPUTED_VALUE"""),1143.3)</f>
        <v>1143.3</v>
      </c>
      <c r="E4630" s="1">
        <f>IFERROR(__xludf.DUMMYFUNCTION("""COMPUTED_VALUE"""),1148.17)</f>
        <v>1148.17</v>
      </c>
      <c r="F4630" s="1">
        <f>IFERROR(__xludf.DUMMYFUNCTION("""COMPUTED_VALUE"""),1.3977E8)</f>
        <v>139770000</v>
      </c>
    </row>
    <row r="4631">
      <c r="A4631" s="2">
        <f>IFERROR(__xludf.DUMMYFUNCTION("""COMPUTED_VALUE"""),38084.666666666664)</f>
        <v>38084.66667</v>
      </c>
      <c r="B4631" s="1">
        <f>IFERROR(__xludf.DUMMYFUNCTION("""COMPUTED_VALUE"""),1148.16)</f>
        <v>1148.16</v>
      </c>
      <c r="C4631" s="1">
        <f>IFERROR(__xludf.DUMMYFUNCTION("""COMPUTED_VALUE"""),1148.16)</f>
        <v>1148.16</v>
      </c>
      <c r="D4631" s="1">
        <f>IFERROR(__xludf.DUMMYFUNCTION("""COMPUTED_VALUE"""),1138.41)</f>
        <v>1138.41</v>
      </c>
      <c r="E4631" s="1">
        <f>IFERROR(__xludf.DUMMYFUNCTION("""COMPUTED_VALUE"""),1140.48)</f>
        <v>1140.48</v>
      </c>
      <c r="F4631" s="1">
        <f>IFERROR(__xludf.DUMMYFUNCTION("""COMPUTED_VALUE"""),1.4588E8)</f>
        <v>145880000</v>
      </c>
    </row>
    <row r="4632">
      <c r="A4632" s="2">
        <f>IFERROR(__xludf.DUMMYFUNCTION("""COMPUTED_VALUE"""),38085.666666666664)</f>
        <v>38085.66667</v>
      </c>
      <c r="B4632" s="1">
        <f>IFERROR(__xludf.DUMMYFUNCTION("""COMPUTED_VALUE"""),1140.53)</f>
        <v>1140.53</v>
      </c>
      <c r="C4632" s="1">
        <f>IFERROR(__xludf.DUMMYFUNCTION("""COMPUTED_VALUE"""),1148.97)</f>
        <v>1148.97</v>
      </c>
      <c r="D4632" s="1">
        <f>IFERROR(__xludf.DUMMYFUNCTION("""COMPUTED_VALUE"""),1134.52)</f>
        <v>1134.52</v>
      </c>
      <c r="E4632" s="1">
        <f>IFERROR(__xludf.DUMMYFUNCTION("""COMPUTED_VALUE"""),1139.33)</f>
        <v>1139.33</v>
      </c>
      <c r="F4632" s="1">
        <f>IFERROR(__xludf.DUMMYFUNCTION("""COMPUTED_VALUE"""),1.1998E8)</f>
        <v>119980000</v>
      </c>
    </row>
    <row r="4633">
      <c r="A4633" s="2">
        <f>IFERROR(__xludf.DUMMYFUNCTION("""COMPUTED_VALUE"""),38089.666666666664)</f>
        <v>38089.66667</v>
      </c>
      <c r="B4633" s="1">
        <f>IFERROR(__xludf.DUMMYFUNCTION("""COMPUTED_VALUE"""),1139.32)</f>
        <v>1139.32</v>
      </c>
      <c r="C4633" s="1">
        <f>IFERROR(__xludf.DUMMYFUNCTION("""COMPUTED_VALUE"""),1147.29)</f>
        <v>1147.29</v>
      </c>
      <c r="D4633" s="1">
        <f>IFERROR(__xludf.DUMMYFUNCTION("""COMPUTED_VALUE"""),1139.32)</f>
        <v>1139.32</v>
      </c>
      <c r="E4633" s="1">
        <f>IFERROR(__xludf.DUMMYFUNCTION("""COMPUTED_VALUE"""),1145.22)</f>
        <v>1145.22</v>
      </c>
      <c r="F4633" s="1">
        <f>IFERROR(__xludf.DUMMYFUNCTION("""COMPUTED_VALUE"""),1.1024E8)</f>
        <v>110240000</v>
      </c>
    </row>
    <row r="4634">
      <c r="A4634" s="2">
        <f>IFERROR(__xludf.DUMMYFUNCTION("""COMPUTED_VALUE"""),38090.666666666664)</f>
        <v>38090.66667</v>
      </c>
      <c r="B4634" s="1">
        <f>IFERROR(__xludf.DUMMYFUNCTION("""COMPUTED_VALUE"""),1145.2)</f>
        <v>1145.2</v>
      </c>
      <c r="C4634" s="1">
        <f>IFERROR(__xludf.DUMMYFUNCTION("""COMPUTED_VALUE"""),1147.81)</f>
        <v>1147.81</v>
      </c>
      <c r="D4634" s="1">
        <f>IFERROR(__xludf.DUMMYFUNCTION("""COMPUTED_VALUE"""),1127.7)</f>
        <v>1127.7</v>
      </c>
      <c r="E4634" s="1">
        <f>IFERROR(__xludf.DUMMYFUNCTION("""COMPUTED_VALUE"""),1129.42)</f>
        <v>1129.42</v>
      </c>
      <c r="F4634" s="1">
        <f>IFERROR(__xludf.DUMMYFUNCTION("""COMPUTED_VALUE"""),1.4232E8)</f>
        <v>142320000</v>
      </c>
    </row>
    <row r="4635">
      <c r="A4635" s="2">
        <f>IFERROR(__xludf.DUMMYFUNCTION("""COMPUTED_VALUE"""),38091.666666666664)</f>
        <v>38091.66667</v>
      </c>
      <c r="B4635" s="1">
        <f>IFERROR(__xludf.DUMMYFUNCTION("""COMPUTED_VALUE"""),1129.44)</f>
        <v>1129.44</v>
      </c>
      <c r="C4635" s="1">
        <f>IFERROR(__xludf.DUMMYFUNCTION("""COMPUTED_VALUE"""),1132.52)</f>
        <v>1132.52</v>
      </c>
      <c r="D4635" s="1">
        <f>IFERROR(__xludf.DUMMYFUNCTION("""COMPUTED_VALUE"""),1122.15)</f>
        <v>1122.15</v>
      </c>
      <c r="E4635" s="1">
        <f>IFERROR(__xludf.DUMMYFUNCTION("""COMPUTED_VALUE"""),1128.17)</f>
        <v>1128.17</v>
      </c>
      <c r="F4635" s="1">
        <f>IFERROR(__xludf.DUMMYFUNCTION("""COMPUTED_VALUE"""),1.5477E8)</f>
        <v>154770000</v>
      </c>
    </row>
    <row r="4636">
      <c r="A4636" s="2">
        <f>IFERROR(__xludf.DUMMYFUNCTION("""COMPUTED_VALUE"""),38092.666666666664)</f>
        <v>38092.66667</v>
      </c>
      <c r="B4636" s="1">
        <f>IFERROR(__xludf.DUMMYFUNCTION("""COMPUTED_VALUE"""),1128.17)</f>
        <v>1128.17</v>
      </c>
      <c r="C4636" s="1">
        <f>IFERROR(__xludf.DUMMYFUNCTION("""COMPUTED_VALUE"""),1134.08)</f>
        <v>1134.08</v>
      </c>
      <c r="D4636" s="1">
        <f>IFERROR(__xludf.DUMMYFUNCTION("""COMPUTED_VALUE"""),1120.75)</f>
        <v>1120.75</v>
      </c>
      <c r="E4636" s="1">
        <f>IFERROR(__xludf.DUMMYFUNCTION("""COMPUTED_VALUE"""),1128.84)</f>
        <v>1128.84</v>
      </c>
      <c r="F4636" s="1">
        <f>IFERROR(__xludf.DUMMYFUNCTION("""COMPUTED_VALUE"""),1.5687E8)</f>
        <v>156870000</v>
      </c>
    </row>
    <row r="4637">
      <c r="A4637" s="2">
        <f>IFERROR(__xludf.DUMMYFUNCTION("""COMPUTED_VALUE"""),38093.666666666664)</f>
        <v>38093.66667</v>
      </c>
      <c r="B4637" s="1">
        <f>IFERROR(__xludf.DUMMYFUNCTION("""COMPUTED_VALUE"""),1128.84)</f>
        <v>1128.84</v>
      </c>
      <c r="C4637" s="1">
        <f>IFERROR(__xludf.DUMMYFUNCTION("""COMPUTED_VALUE"""),1136.8)</f>
        <v>1136.8</v>
      </c>
      <c r="D4637" s="1">
        <f>IFERROR(__xludf.DUMMYFUNCTION("""COMPUTED_VALUE"""),1126.79)</f>
        <v>1126.79</v>
      </c>
      <c r="E4637" s="1">
        <f>IFERROR(__xludf.DUMMYFUNCTION("""COMPUTED_VALUE"""),1134.56)</f>
        <v>1134.56</v>
      </c>
      <c r="F4637" s="1">
        <f>IFERROR(__xludf.DUMMYFUNCTION("""COMPUTED_VALUE"""),1.4878E8)</f>
        <v>148780000</v>
      </c>
    </row>
    <row r="4638">
      <c r="A4638" s="2">
        <f>IFERROR(__xludf.DUMMYFUNCTION("""COMPUTED_VALUE"""),38096.666666666664)</f>
        <v>38096.66667</v>
      </c>
      <c r="B4638" s="1">
        <f>IFERROR(__xludf.DUMMYFUNCTION("""COMPUTED_VALUE"""),1134.56)</f>
        <v>1134.56</v>
      </c>
      <c r="C4638" s="1">
        <f>IFERROR(__xludf.DUMMYFUNCTION("""COMPUTED_VALUE"""),1136.18)</f>
        <v>1136.18</v>
      </c>
      <c r="D4638" s="1">
        <f>IFERROR(__xludf.DUMMYFUNCTION("""COMPUTED_VALUE"""),1129.84)</f>
        <v>1129.84</v>
      </c>
      <c r="E4638" s="1">
        <f>IFERROR(__xludf.DUMMYFUNCTION("""COMPUTED_VALUE"""),1135.84)</f>
        <v>1135.84</v>
      </c>
      <c r="F4638" s="1">
        <f>IFERROR(__xludf.DUMMYFUNCTION("""COMPUTED_VALUE"""),1.1949E8)</f>
        <v>119490000</v>
      </c>
    </row>
    <row r="4639">
      <c r="A4639" s="2">
        <f>IFERROR(__xludf.DUMMYFUNCTION("""COMPUTED_VALUE"""),38097.666666666664)</f>
        <v>38097.66667</v>
      </c>
      <c r="B4639" s="1">
        <f>IFERROR(__xludf.DUMMYFUNCTION("""COMPUTED_VALUE"""),1135.82)</f>
        <v>1135.82</v>
      </c>
      <c r="C4639" s="1">
        <f>IFERROR(__xludf.DUMMYFUNCTION("""COMPUTED_VALUE"""),1139.26)</f>
        <v>1139.26</v>
      </c>
      <c r="D4639" s="1">
        <f>IFERROR(__xludf.DUMMYFUNCTION("""COMPUTED_VALUE"""),1118.09)</f>
        <v>1118.09</v>
      </c>
      <c r="E4639" s="1">
        <f>IFERROR(__xludf.DUMMYFUNCTION("""COMPUTED_VALUE"""),1118.09)</f>
        <v>1118.09</v>
      </c>
      <c r="F4639" s="1">
        <f>IFERROR(__xludf.DUMMYFUNCTION("""COMPUTED_VALUE"""),1.5085E8)</f>
        <v>150850000</v>
      </c>
    </row>
    <row r="4640">
      <c r="A4640" s="2">
        <f>IFERROR(__xludf.DUMMYFUNCTION("""COMPUTED_VALUE"""),38098.666666666664)</f>
        <v>38098.66667</v>
      </c>
      <c r="B4640" s="1">
        <f>IFERROR(__xludf.DUMMYFUNCTION("""COMPUTED_VALUE"""),1118.15)</f>
        <v>1118.15</v>
      </c>
      <c r="C4640" s="1">
        <f>IFERROR(__xludf.DUMMYFUNCTION("""COMPUTED_VALUE"""),1125.72)</f>
        <v>1125.72</v>
      </c>
      <c r="D4640" s="1">
        <f>IFERROR(__xludf.DUMMYFUNCTION("""COMPUTED_VALUE"""),1116.03)</f>
        <v>1116.03</v>
      </c>
      <c r="E4640" s="1">
        <f>IFERROR(__xludf.DUMMYFUNCTION("""COMPUTED_VALUE"""),1124.12)</f>
        <v>1124.12</v>
      </c>
      <c r="F4640" s="1">
        <f>IFERROR(__xludf.DUMMYFUNCTION("""COMPUTED_VALUE"""),1.7381E8)</f>
        <v>173810000</v>
      </c>
    </row>
    <row r="4641">
      <c r="A4641" s="2">
        <f>IFERROR(__xludf.DUMMYFUNCTION("""COMPUTED_VALUE"""),38099.666666666664)</f>
        <v>38099.66667</v>
      </c>
      <c r="B4641" s="1">
        <f>IFERROR(__xludf.DUMMYFUNCTION("""COMPUTED_VALUE"""),1124.09)</f>
        <v>1124.09</v>
      </c>
      <c r="C4641" s="1">
        <f>IFERROR(__xludf.DUMMYFUNCTION("""COMPUTED_VALUE"""),1142.77)</f>
        <v>1142.77</v>
      </c>
      <c r="D4641" s="1">
        <f>IFERROR(__xludf.DUMMYFUNCTION("""COMPUTED_VALUE"""),1121.92)</f>
        <v>1121.92</v>
      </c>
      <c r="E4641" s="1">
        <f>IFERROR(__xludf.DUMMYFUNCTION("""COMPUTED_VALUE"""),1139.95)</f>
        <v>1139.95</v>
      </c>
      <c r="F4641" s="1">
        <f>IFERROR(__xludf.DUMMYFUNCTION("""COMPUTED_VALUE"""),1.8267E8)</f>
        <v>182670000</v>
      </c>
    </row>
    <row r="4642">
      <c r="A4642" s="2">
        <f>IFERROR(__xludf.DUMMYFUNCTION("""COMPUTED_VALUE"""),38100.666666666664)</f>
        <v>38100.66667</v>
      </c>
      <c r="B4642" s="1">
        <f>IFERROR(__xludf.DUMMYFUNCTION("""COMPUTED_VALUE"""),1139.93)</f>
        <v>1139.93</v>
      </c>
      <c r="C4642" s="1">
        <f>IFERROR(__xludf.DUMMYFUNCTION("""COMPUTED_VALUE"""),1141.92)</f>
        <v>1141.92</v>
      </c>
      <c r="D4642" s="1">
        <f>IFERROR(__xludf.DUMMYFUNCTION("""COMPUTED_VALUE"""),1134.81)</f>
        <v>1134.81</v>
      </c>
      <c r="E4642" s="1">
        <f>IFERROR(__xludf.DUMMYFUNCTION("""COMPUTED_VALUE"""),1140.6)</f>
        <v>1140.6</v>
      </c>
      <c r="F4642" s="1">
        <f>IFERROR(__xludf.DUMMYFUNCTION("""COMPUTED_VALUE"""),1.3961E8)</f>
        <v>139610000</v>
      </c>
    </row>
    <row r="4643">
      <c r="A4643" s="2">
        <f>IFERROR(__xludf.DUMMYFUNCTION("""COMPUTED_VALUE"""),38103.666666666664)</f>
        <v>38103.66667</v>
      </c>
      <c r="B4643" s="1">
        <f>IFERROR(__xludf.DUMMYFUNCTION("""COMPUTED_VALUE"""),1140.6)</f>
        <v>1140.6</v>
      </c>
      <c r="C4643" s="1">
        <f>IFERROR(__xludf.DUMMYFUNCTION("""COMPUTED_VALUE"""),1145.08)</f>
        <v>1145.08</v>
      </c>
      <c r="D4643" s="1">
        <f>IFERROR(__xludf.DUMMYFUNCTION("""COMPUTED_VALUE"""),1132.91)</f>
        <v>1132.91</v>
      </c>
      <c r="E4643" s="1">
        <f>IFERROR(__xludf.DUMMYFUNCTION("""COMPUTED_VALUE"""),1135.5)</f>
        <v>1135.5</v>
      </c>
      <c r="F4643" s="1">
        <f>IFERROR(__xludf.DUMMYFUNCTION("""COMPUTED_VALUE"""),1.2906E8)</f>
        <v>129060000</v>
      </c>
    </row>
    <row r="4644">
      <c r="A4644" s="2">
        <f>IFERROR(__xludf.DUMMYFUNCTION("""COMPUTED_VALUE"""),38104.666666666664)</f>
        <v>38104.66667</v>
      </c>
      <c r="B4644" s="1">
        <f>IFERROR(__xludf.DUMMYFUNCTION("""COMPUTED_VALUE"""),1135.53)</f>
        <v>1135.53</v>
      </c>
      <c r="C4644" s="1">
        <f>IFERROR(__xludf.DUMMYFUNCTION("""COMPUTED_VALUE"""),1146.84)</f>
        <v>1146.84</v>
      </c>
      <c r="D4644" s="1">
        <f>IFERROR(__xludf.DUMMYFUNCTION("""COMPUTED_VALUE"""),1135.53)</f>
        <v>1135.53</v>
      </c>
      <c r="E4644" s="1">
        <f>IFERROR(__xludf.DUMMYFUNCTION("""COMPUTED_VALUE"""),1138.12)</f>
        <v>1138.12</v>
      </c>
      <c r="F4644" s="1">
        <f>IFERROR(__xludf.DUMMYFUNCTION("""COMPUTED_VALUE"""),1.518E8)</f>
        <v>151800000</v>
      </c>
    </row>
    <row r="4645">
      <c r="A4645" s="2">
        <f>IFERROR(__xludf.DUMMYFUNCTION("""COMPUTED_VALUE"""),38105.666666666664)</f>
        <v>38105.66667</v>
      </c>
      <c r="B4645" s="1">
        <f>IFERROR(__xludf.DUMMYFUNCTION("""COMPUTED_VALUE"""),1138.11)</f>
        <v>1138.11</v>
      </c>
      <c r="C4645" s="1">
        <f>IFERROR(__xludf.DUMMYFUNCTION("""COMPUTED_VALUE"""),1138.11)</f>
        <v>1138.11</v>
      </c>
      <c r="D4645" s="1">
        <f>IFERROR(__xludf.DUMMYFUNCTION("""COMPUTED_VALUE"""),1121.7)</f>
        <v>1121.7</v>
      </c>
      <c r="E4645" s="1">
        <f>IFERROR(__xludf.DUMMYFUNCTION("""COMPUTED_VALUE"""),1122.41)</f>
        <v>1122.41</v>
      </c>
      <c r="F4645" s="1">
        <f>IFERROR(__xludf.DUMMYFUNCTION("""COMPUTED_VALUE"""),1.8556E8)</f>
        <v>185560000</v>
      </c>
    </row>
    <row r="4646">
      <c r="A4646" s="2">
        <f>IFERROR(__xludf.DUMMYFUNCTION("""COMPUTED_VALUE"""),38106.666666666664)</f>
        <v>38106.66667</v>
      </c>
      <c r="B4646" s="1">
        <f>IFERROR(__xludf.DUMMYFUNCTION("""COMPUTED_VALUE"""),1122.41)</f>
        <v>1122.41</v>
      </c>
      <c r="C4646" s="1">
        <f>IFERROR(__xludf.DUMMYFUNCTION("""COMPUTED_VALUE"""),1128.8)</f>
        <v>1128.8</v>
      </c>
      <c r="D4646" s="1">
        <f>IFERROR(__xludf.DUMMYFUNCTION("""COMPUTED_VALUE"""),1108.02)</f>
        <v>1108.02</v>
      </c>
      <c r="E4646" s="1">
        <f>IFERROR(__xludf.DUMMYFUNCTION("""COMPUTED_VALUE"""),1113.88)</f>
        <v>1113.88</v>
      </c>
      <c r="F4646" s="1">
        <f>IFERROR(__xludf.DUMMYFUNCTION("""COMPUTED_VALUE"""),1.859E8)</f>
        <v>185900000</v>
      </c>
    </row>
    <row r="4647">
      <c r="A4647" s="2">
        <f>IFERROR(__xludf.DUMMYFUNCTION("""COMPUTED_VALUE"""),38107.666666666664)</f>
        <v>38107.66667</v>
      </c>
      <c r="B4647" s="1">
        <f>IFERROR(__xludf.DUMMYFUNCTION("""COMPUTED_VALUE"""),1113.89)</f>
        <v>1113.89</v>
      </c>
      <c r="C4647" s="1">
        <f>IFERROR(__xludf.DUMMYFUNCTION("""COMPUTED_VALUE"""),1119.26)</f>
        <v>1119.26</v>
      </c>
      <c r="D4647" s="1">
        <f>IFERROR(__xludf.DUMMYFUNCTION("""COMPUTED_VALUE"""),1107.23)</f>
        <v>1107.23</v>
      </c>
      <c r="E4647" s="1">
        <f>IFERROR(__xludf.DUMMYFUNCTION("""COMPUTED_VALUE"""),1107.24)</f>
        <v>1107.24</v>
      </c>
      <c r="F4647" s="1">
        <f>IFERROR(__xludf.DUMMYFUNCTION("""COMPUTED_VALUE"""),1.6347E8)</f>
        <v>163470000</v>
      </c>
    </row>
    <row r="4648">
      <c r="A4648" s="2">
        <f>IFERROR(__xludf.DUMMYFUNCTION("""COMPUTED_VALUE"""),38110.666666666664)</f>
        <v>38110.66667</v>
      </c>
      <c r="B4648" s="1">
        <f>IFERROR(__xludf.DUMMYFUNCTION("""COMPUTED_VALUE"""),1107.3)</f>
        <v>1107.3</v>
      </c>
      <c r="C4648" s="1">
        <f>IFERROR(__xludf.DUMMYFUNCTION("""COMPUTED_VALUE"""),1118.72)</f>
        <v>1118.72</v>
      </c>
      <c r="D4648" s="1">
        <f>IFERROR(__xludf.DUMMYFUNCTION("""COMPUTED_VALUE"""),1107.3)</f>
        <v>1107.3</v>
      </c>
      <c r="E4648" s="1">
        <f>IFERROR(__xludf.DUMMYFUNCTION("""COMPUTED_VALUE"""),1117.56)</f>
        <v>1117.56</v>
      </c>
      <c r="F4648" s="1">
        <f>IFERROR(__xludf.DUMMYFUNCTION("""COMPUTED_VALUE"""),1.5716E8)</f>
        <v>157160000</v>
      </c>
    </row>
    <row r="4649">
      <c r="A4649" s="2">
        <f>IFERROR(__xludf.DUMMYFUNCTION("""COMPUTED_VALUE"""),38111.666666666664)</f>
        <v>38111.66667</v>
      </c>
      <c r="B4649" s="1">
        <f>IFERROR(__xludf.DUMMYFUNCTION("""COMPUTED_VALUE"""),1117.49)</f>
        <v>1117.49</v>
      </c>
      <c r="C4649" s="1">
        <f>IFERROR(__xludf.DUMMYFUNCTION("""COMPUTED_VALUE"""),1127.74)</f>
        <v>1127.74</v>
      </c>
      <c r="D4649" s="1">
        <f>IFERROR(__xludf.DUMMYFUNCTION("""COMPUTED_VALUE"""),1112.89)</f>
        <v>1112.89</v>
      </c>
      <c r="E4649" s="1">
        <f>IFERROR(__xludf.DUMMYFUNCTION("""COMPUTED_VALUE"""),1119.51)</f>
        <v>1119.51</v>
      </c>
      <c r="F4649" s="1">
        <f>IFERROR(__xludf.DUMMYFUNCTION("""COMPUTED_VALUE"""),1.6621E8)</f>
        <v>166210000</v>
      </c>
    </row>
    <row r="4650">
      <c r="A4650" s="2">
        <f>IFERROR(__xludf.DUMMYFUNCTION("""COMPUTED_VALUE"""),38112.666666666664)</f>
        <v>38112.66667</v>
      </c>
      <c r="B4650" s="1">
        <f>IFERROR(__xludf.DUMMYFUNCTION("""COMPUTED_VALUE"""),1119.55)</f>
        <v>1119.55</v>
      </c>
      <c r="C4650" s="1">
        <f>IFERROR(__xludf.DUMMYFUNCTION("""COMPUTED_VALUE"""),1125.07)</f>
        <v>1125.07</v>
      </c>
      <c r="D4650" s="1">
        <f>IFERROR(__xludf.DUMMYFUNCTION("""COMPUTED_VALUE"""),1117.86)</f>
        <v>1117.86</v>
      </c>
      <c r="E4650" s="1">
        <f>IFERROR(__xludf.DUMMYFUNCTION("""COMPUTED_VALUE"""),1121.58)</f>
        <v>1121.58</v>
      </c>
      <c r="F4650" s="1">
        <f>IFERROR(__xludf.DUMMYFUNCTION("""COMPUTED_VALUE"""),1.469E8)</f>
        <v>146900000</v>
      </c>
    </row>
    <row r="4651">
      <c r="A4651" s="2">
        <f>IFERROR(__xludf.DUMMYFUNCTION("""COMPUTED_VALUE"""),38113.666666666664)</f>
        <v>38113.66667</v>
      </c>
      <c r="B4651" s="1">
        <f>IFERROR(__xludf.DUMMYFUNCTION("""COMPUTED_VALUE"""),1121.53)</f>
        <v>1121.53</v>
      </c>
      <c r="C4651" s="1">
        <f>IFERROR(__xludf.DUMMYFUNCTION("""COMPUTED_VALUE"""),1121.53)</f>
        <v>1121.53</v>
      </c>
      <c r="D4651" s="1">
        <f>IFERROR(__xludf.DUMMYFUNCTION("""COMPUTED_VALUE"""),1106.3)</f>
        <v>1106.3</v>
      </c>
      <c r="E4651" s="1">
        <f>IFERROR(__xludf.DUMMYFUNCTION("""COMPUTED_VALUE"""),1113.95)</f>
        <v>1113.95</v>
      </c>
      <c r="F4651" s="1">
        <f>IFERROR(__xludf.DUMMYFUNCTION("""COMPUTED_VALUE"""),1.5093E8)</f>
        <v>150930000</v>
      </c>
    </row>
    <row r="4652">
      <c r="A4652" s="2">
        <f>IFERROR(__xludf.DUMMYFUNCTION("""COMPUTED_VALUE"""),38114.666666666664)</f>
        <v>38114.66667</v>
      </c>
      <c r="B4652" s="1">
        <f>IFERROR(__xludf.DUMMYFUNCTION("""COMPUTED_VALUE"""),1113.99)</f>
        <v>1113.99</v>
      </c>
      <c r="C4652" s="1">
        <f>IFERROR(__xludf.DUMMYFUNCTION("""COMPUTED_VALUE"""),1117.33)</f>
        <v>1117.33</v>
      </c>
      <c r="D4652" s="1">
        <f>IFERROR(__xludf.DUMMYFUNCTION("""COMPUTED_VALUE"""),1098.63)</f>
        <v>1098.63</v>
      </c>
      <c r="E4652" s="1">
        <f>IFERROR(__xludf.DUMMYFUNCTION("""COMPUTED_VALUE"""),1098.69)</f>
        <v>1098.69</v>
      </c>
      <c r="F4652" s="1">
        <f>IFERROR(__xludf.DUMMYFUNCTION("""COMPUTED_VALUE"""),1.6536E8)</f>
        <v>165360000</v>
      </c>
    </row>
    <row r="4653">
      <c r="A4653" s="2">
        <f>IFERROR(__xludf.DUMMYFUNCTION("""COMPUTED_VALUE"""),38117.666666666664)</f>
        <v>38117.66667</v>
      </c>
      <c r="B4653" s="1">
        <f>IFERROR(__xludf.DUMMYFUNCTION("""COMPUTED_VALUE"""),1098.7)</f>
        <v>1098.7</v>
      </c>
      <c r="C4653" s="1">
        <f>IFERROR(__xludf.DUMMYFUNCTION("""COMPUTED_VALUE"""),1098.7)</f>
        <v>1098.7</v>
      </c>
      <c r="D4653" s="1">
        <f>IFERROR(__xludf.DUMMYFUNCTION("""COMPUTED_VALUE"""),1080.67)</f>
        <v>1080.67</v>
      </c>
      <c r="E4653" s="1">
        <f>IFERROR(__xludf.DUMMYFUNCTION("""COMPUTED_VALUE"""),1080.67)</f>
        <v>1080.67</v>
      </c>
      <c r="F4653" s="1">
        <f>IFERROR(__xludf.DUMMYFUNCTION("""COMPUTED_VALUE"""),1.9184E8)</f>
        <v>191840000</v>
      </c>
    </row>
    <row r="4654">
      <c r="A4654" s="2">
        <f>IFERROR(__xludf.DUMMYFUNCTION("""COMPUTED_VALUE"""),38118.666666666664)</f>
        <v>38118.66667</v>
      </c>
      <c r="B4654" s="1">
        <f>IFERROR(__xludf.DUMMYFUNCTION("""COMPUTED_VALUE"""),1087.12)</f>
        <v>1087.12</v>
      </c>
      <c r="C4654" s="1">
        <f>IFERROR(__xludf.DUMMYFUNCTION("""COMPUTED_VALUE"""),1095.69)</f>
        <v>1095.69</v>
      </c>
      <c r="D4654" s="1">
        <f>IFERROR(__xludf.DUMMYFUNCTION("""COMPUTED_VALUE"""),1087.12)</f>
        <v>1087.12</v>
      </c>
      <c r="E4654" s="1">
        <f>IFERROR(__xludf.DUMMYFUNCTION("""COMPUTED_VALUE"""),1095.49)</f>
        <v>1095.49</v>
      </c>
      <c r="F4654" s="1">
        <f>IFERROR(__xludf.DUMMYFUNCTION("""COMPUTED_VALUE"""),1.5338E8)</f>
        <v>153380000</v>
      </c>
    </row>
    <row r="4655">
      <c r="A4655" s="2">
        <f>IFERROR(__xludf.DUMMYFUNCTION("""COMPUTED_VALUE"""),38119.666666666664)</f>
        <v>38119.66667</v>
      </c>
      <c r="B4655" s="1">
        <f>IFERROR(__xludf.DUMMYFUNCTION("""COMPUTED_VALUE"""),1095.45)</f>
        <v>1095.45</v>
      </c>
      <c r="C4655" s="1">
        <f>IFERROR(__xludf.DUMMYFUNCTION("""COMPUTED_VALUE"""),1097.55)</f>
        <v>1097.55</v>
      </c>
      <c r="D4655" s="1">
        <f>IFERROR(__xludf.DUMMYFUNCTION("""COMPUTED_VALUE"""),1076.32)</f>
        <v>1076.32</v>
      </c>
      <c r="E4655" s="1">
        <f>IFERROR(__xludf.DUMMYFUNCTION("""COMPUTED_VALUE"""),1097.26)</f>
        <v>1097.26</v>
      </c>
      <c r="F4655" s="1">
        <f>IFERROR(__xludf.DUMMYFUNCTION("""COMPUTED_VALUE"""),1.6976E8)</f>
        <v>169760000</v>
      </c>
    </row>
    <row r="4656">
      <c r="A4656" s="2">
        <f>IFERROR(__xludf.DUMMYFUNCTION("""COMPUTED_VALUE"""),38120.666666666664)</f>
        <v>38120.66667</v>
      </c>
      <c r="B4656" s="1">
        <f>IFERROR(__xludf.DUMMYFUNCTION("""COMPUTED_VALUE"""),1097.28)</f>
        <v>1097.28</v>
      </c>
      <c r="C4656" s="1">
        <f>IFERROR(__xludf.DUMMYFUNCTION("""COMPUTED_VALUE"""),1102.77)</f>
        <v>1102.77</v>
      </c>
      <c r="D4656" s="1">
        <f>IFERROR(__xludf.DUMMYFUNCTION("""COMPUTED_VALUE"""),1091.76)</f>
        <v>1091.76</v>
      </c>
      <c r="E4656" s="1">
        <f>IFERROR(__xludf.DUMMYFUNCTION("""COMPUTED_VALUE"""),1096.47)</f>
        <v>1096.47</v>
      </c>
      <c r="F4656" s="1">
        <f>IFERROR(__xludf.DUMMYFUNCTION("""COMPUTED_VALUE"""),1.4111E8)</f>
        <v>141110000</v>
      </c>
    </row>
    <row r="4657">
      <c r="A4657" s="2">
        <f>IFERROR(__xludf.DUMMYFUNCTION("""COMPUTED_VALUE"""),38121.666666666664)</f>
        <v>38121.66667</v>
      </c>
      <c r="B4657" s="1">
        <f>IFERROR(__xludf.DUMMYFUNCTION("""COMPUTED_VALUE"""),1096.44)</f>
        <v>1096.44</v>
      </c>
      <c r="C4657" s="1">
        <f>IFERROR(__xludf.DUMMYFUNCTION("""COMPUTED_VALUE"""),1102.37)</f>
        <v>1102.37</v>
      </c>
      <c r="D4657" s="1">
        <f>IFERROR(__xludf.DUMMYFUNCTION("""COMPUTED_VALUE"""),1088.24)</f>
        <v>1088.24</v>
      </c>
      <c r="E4657" s="1">
        <f>IFERROR(__xludf.DUMMYFUNCTION("""COMPUTED_VALUE"""),1095.66)</f>
        <v>1095.66</v>
      </c>
      <c r="F4657" s="1">
        <f>IFERROR(__xludf.DUMMYFUNCTION("""COMPUTED_VALUE"""),1.3359E8)</f>
        <v>133590000</v>
      </c>
    </row>
    <row r="4658">
      <c r="A4658" s="2">
        <f>IFERROR(__xludf.DUMMYFUNCTION("""COMPUTED_VALUE"""),38124.666666666664)</f>
        <v>38124.66667</v>
      </c>
      <c r="B4658" s="1">
        <f>IFERROR(__xludf.DUMMYFUNCTION("""COMPUTED_VALUE"""),1095.7)</f>
        <v>1095.7</v>
      </c>
      <c r="C4658" s="1">
        <f>IFERROR(__xludf.DUMMYFUNCTION("""COMPUTED_VALUE"""),1095.7)</f>
        <v>1095.7</v>
      </c>
      <c r="D4658" s="1">
        <f>IFERROR(__xludf.DUMMYFUNCTION("""COMPUTED_VALUE"""),1079.36)</f>
        <v>1079.36</v>
      </c>
      <c r="E4658" s="1">
        <f>IFERROR(__xludf.DUMMYFUNCTION("""COMPUTED_VALUE"""),1084.08)</f>
        <v>1084.08</v>
      </c>
      <c r="F4658" s="1">
        <f>IFERROR(__xludf.DUMMYFUNCTION("""COMPUTED_VALUE"""),1.4301E8)</f>
        <v>143010000</v>
      </c>
    </row>
    <row r="4659">
      <c r="A4659" s="2">
        <f>IFERROR(__xludf.DUMMYFUNCTION("""COMPUTED_VALUE"""),38125.666666666664)</f>
        <v>38125.66667</v>
      </c>
      <c r="B4659" s="1">
        <f>IFERROR(__xludf.DUMMYFUNCTION("""COMPUTED_VALUE"""),1084.1)</f>
        <v>1084.1</v>
      </c>
      <c r="C4659" s="1">
        <f>IFERROR(__xludf.DUMMYFUNCTION("""COMPUTED_VALUE"""),1094.14)</f>
        <v>1094.14</v>
      </c>
      <c r="D4659" s="1">
        <f>IFERROR(__xludf.DUMMYFUNCTION("""COMPUTED_VALUE"""),1084.1)</f>
        <v>1084.1</v>
      </c>
      <c r="E4659" s="1">
        <f>IFERROR(__xludf.DUMMYFUNCTION("""COMPUTED_VALUE"""),1091.53)</f>
        <v>1091.53</v>
      </c>
      <c r="F4659" s="1">
        <f>IFERROR(__xludf.DUMMYFUNCTION("""COMPUTED_VALUE"""),1.353E8)</f>
        <v>135300000</v>
      </c>
    </row>
    <row r="4660">
      <c r="A4660" s="2">
        <f>IFERROR(__xludf.DUMMYFUNCTION("""COMPUTED_VALUE"""),38126.666666666664)</f>
        <v>38126.66667</v>
      </c>
      <c r="B4660" s="1">
        <f>IFERROR(__xludf.DUMMYFUNCTION("""COMPUTED_VALUE"""),1091.49)</f>
        <v>1091.49</v>
      </c>
      <c r="C4660" s="1">
        <f>IFERROR(__xludf.DUMMYFUNCTION("""COMPUTED_VALUE"""),1105.93)</f>
        <v>1105.93</v>
      </c>
      <c r="D4660" s="1">
        <f>IFERROR(__xludf.DUMMYFUNCTION("""COMPUTED_VALUE"""),1088.49)</f>
        <v>1088.49</v>
      </c>
      <c r="E4660" s="1">
        <f>IFERROR(__xludf.DUMMYFUNCTION("""COMPUTED_VALUE"""),1088.67)</f>
        <v>1088.67</v>
      </c>
      <c r="F4660" s="1">
        <f>IFERROR(__xludf.DUMMYFUNCTION("""COMPUTED_VALUE"""),1.5486E8)</f>
        <v>154860000</v>
      </c>
    </row>
    <row r="4661">
      <c r="A4661" s="2">
        <f>IFERROR(__xludf.DUMMYFUNCTION("""COMPUTED_VALUE"""),38127.666666666664)</f>
        <v>38127.66667</v>
      </c>
      <c r="B4661" s="1">
        <f>IFERROR(__xludf.DUMMYFUNCTION("""COMPUTED_VALUE"""),1088.68)</f>
        <v>1088.68</v>
      </c>
      <c r="C4661" s="1">
        <f>IFERROR(__xludf.DUMMYFUNCTION("""COMPUTED_VALUE"""),1092.62)</f>
        <v>1092.62</v>
      </c>
      <c r="D4661" s="1">
        <f>IFERROR(__xludf.DUMMYFUNCTION("""COMPUTED_VALUE"""),1085.43)</f>
        <v>1085.43</v>
      </c>
      <c r="E4661" s="1">
        <f>IFERROR(__xludf.DUMMYFUNCTION("""COMPUTED_VALUE"""),1089.18)</f>
        <v>1089.18</v>
      </c>
      <c r="F4661" s="1">
        <f>IFERROR(__xludf.DUMMYFUNCTION("""COMPUTED_VALUE"""),1.211E8)</f>
        <v>121100000</v>
      </c>
    </row>
    <row r="4662">
      <c r="A4662" s="2">
        <f>IFERROR(__xludf.DUMMYFUNCTION("""COMPUTED_VALUE"""),38128.666666666664)</f>
        <v>38128.66667</v>
      </c>
      <c r="B4662" s="1">
        <f>IFERROR(__xludf.DUMMYFUNCTION("""COMPUTED_VALUE"""),1089.19)</f>
        <v>1089.19</v>
      </c>
      <c r="C4662" s="1">
        <f>IFERROR(__xludf.DUMMYFUNCTION("""COMPUTED_VALUE"""),1099.7)</f>
        <v>1099.7</v>
      </c>
      <c r="D4662" s="1">
        <f>IFERROR(__xludf.DUMMYFUNCTION("""COMPUTED_VALUE"""),1089.19)</f>
        <v>1089.19</v>
      </c>
      <c r="E4662" s="1">
        <f>IFERROR(__xludf.DUMMYFUNCTION("""COMPUTED_VALUE"""),1093.59)</f>
        <v>1093.59</v>
      </c>
      <c r="F4662" s="1">
        <f>IFERROR(__xludf.DUMMYFUNCTION("""COMPUTED_VALUE"""),1.2586E8)</f>
        <v>125860000</v>
      </c>
    </row>
    <row r="4663">
      <c r="A4663" s="2">
        <f>IFERROR(__xludf.DUMMYFUNCTION("""COMPUTED_VALUE"""),38131.666666666664)</f>
        <v>38131.66667</v>
      </c>
      <c r="B4663" s="1">
        <f>IFERROR(__xludf.DUMMYFUNCTION("""COMPUTED_VALUE"""),1093.56)</f>
        <v>1093.56</v>
      </c>
      <c r="C4663" s="1">
        <f>IFERROR(__xludf.DUMMYFUNCTION("""COMPUTED_VALUE"""),1101.71)</f>
        <v>1101.71</v>
      </c>
      <c r="D4663" s="1">
        <f>IFERROR(__xludf.DUMMYFUNCTION("""COMPUTED_VALUE"""),1091.77)</f>
        <v>1091.77</v>
      </c>
      <c r="E4663" s="1">
        <f>IFERROR(__xludf.DUMMYFUNCTION("""COMPUTED_VALUE"""),1095.34)</f>
        <v>1095.34</v>
      </c>
      <c r="F4663" s="1">
        <f>IFERROR(__xludf.DUMMYFUNCTION("""COMPUTED_VALUE"""),1.2275E8)</f>
        <v>122750000</v>
      </c>
    </row>
    <row r="4664">
      <c r="A4664" s="2">
        <f>IFERROR(__xludf.DUMMYFUNCTION("""COMPUTED_VALUE"""),38132.666666666664)</f>
        <v>38132.66667</v>
      </c>
      <c r="B4664" s="1">
        <f>IFERROR(__xludf.DUMMYFUNCTION("""COMPUTED_VALUE"""),1095.41)</f>
        <v>1095.41</v>
      </c>
      <c r="C4664" s="1">
        <f>IFERROR(__xludf.DUMMYFUNCTION("""COMPUTED_VALUE"""),1113.8)</f>
        <v>1113.8</v>
      </c>
      <c r="D4664" s="1">
        <f>IFERROR(__xludf.DUMMYFUNCTION("""COMPUTED_VALUE"""),1090.74)</f>
        <v>1090.74</v>
      </c>
      <c r="E4664" s="1">
        <f>IFERROR(__xludf.DUMMYFUNCTION("""COMPUTED_VALUE"""),1113.08)</f>
        <v>1113.08</v>
      </c>
      <c r="F4664" s="1">
        <f>IFERROR(__xludf.DUMMYFUNCTION("""COMPUTED_VALUE"""),1.5457E8)</f>
        <v>154570000</v>
      </c>
    </row>
    <row r="4665">
      <c r="A4665" s="2">
        <f>IFERROR(__xludf.DUMMYFUNCTION("""COMPUTED_VALUE"""),38133.666666666664)</f>
        <v>38133.66667</v>
      </c>
      <c r="B4665" s="1">
        <f>IFERROR(__xludf.DUMMYFUNCTION("""COMPUTED_VALUE"""),1113.05)</f>
        <v>1113.05</v>
      </c>
      <c r="C4665" s="1">
        <f>IFERROR(__xludf.DUMMYFUNCTION("""COMPUTED_VALUE"""),1116.71)</f>
        <v>1116.71</v>
      </c>
      <c r="D4665" s="1">
        <f>IFERROR(__xludf.DUMMYFUNCTION("""COMPUTED_VALUE"""),1109.91)</f>
        <v>1109.91</v>
      </c>
      <c r="E4665" s="1">
        <f>IFERROR(__xludf.DUMMYFUNCTION("""COMPUTED_VALUE"""),1114.95)</f>
        <v>1114.95</v>
      </c>
      <c r="F4665" s="1">
        <f>IFERROR(__xludf.DUMMYFUNCTION("""COMPUTED_VALUE"""),1.3694E8)</f>
        <v>136940000</v>
      </c>
    </row>
    <row r="4666">
      <c r="A4666" s="2">
        <f>IFERROR(__xludf.DUMMYFUNCTION("""COMPUTED_VALUE"""),38134.666666666664)</f>
        <v>38134.66667</v>
      </c>
      <c r="B4666" s="1">
        <f>IFERROR(__xludf.DUMMYFUNCTION("""COMPUTED_VALUE"""),1114.94)</f>
        <v>1114.94</v>
      </c>
      <c r="C4666" s="1">
        <f>IFERROR(__xludf.DUMMYFUNCTION("""COMPUTED_VALUE"""),1123.95)</f>
        <v>1123.95</v>
      </c>
      <c r="D4666" s="1">
        <f>IFERROR(__xludf.DUMMYFUNCTION("""COMPUTED_VALUE"""),1114.86)</f>
        <v>1114.86</v>
      </c>
      <c r="E4666" s="1">
        <f>IFERROR(__xludf.DUMMYFUNCTION("""COMPUTED_VALUE"""),1121.26)</f>
        <v>1121.26</v>
      </c>
      <c r="F4666" s="1">
        <f>IFERROR(__xludf.DUMMYFUNCTION("""COMPUTED_VALUE"""),1.4475E8)</f>
        <v>144750000</v>
      </c>
    </row>
    <row r="4667">
      <c r="A4667" s="2">
        <f>IFERROR(__xludf.DUMMYFUNCTION("""COMPUTED_VALUE"""),38135.666666666664)</f>
        <v>38135.66667</v>
      </c>
      <c r="B4667" s="1">
        <f>IFERROR(__xludf.DUMMYFUNCTION("""COMPUTED_VALUE"""),1121.28)</f>
        <v>1121.28</v>
      </c>
      <c r="C4667" s="1">
        <f>IFERROR(__xludf.DUMMYFUNCTION("""COMPUTED_VALUE"""),1122.69)</f>
        <v>1122.69</v>
      </c>
      <c r="D4667" s="1">
        <f>IFERROR(__xludf.DUMMYFUNCTION("""COMPUTED_VALUE"""),1118.1)</f>
        <v>1118.1</v>
      </c>
      <c r="E4667" s="1">
        <f>IFERROR(__xludf.DUMMYFUNCTION("""COMPUTED_VALUE"""),1120.63)</f>
        <v>1120.63</v>
      </c>
      <c r="F4667" s="1">
        <f>IFERROR(__xludf.DUMMYFUNCTION("""COMPUTED_VALUE"""),1.1726E8)</f>
        <v>117260000</v>
      </c>
    </row>
    <row r="4668">
      <c r="A4668" s="2">
        <f>IFERROR(__xludf.DUMMYFUNCTION("""COMPUTED_VALUE"""),38139.666666666664)</f>
        <v>38139.66667</v>
      </c>
      <c r="B4668" s="1">
        <f>IFERROR(__xludf.DUMMYFUNCTION("""COMPUTED_VALUE"""),1120.68)</f>
        <v>1120.68</v>
      </c>
      <c r="C4668" s="1">
        <f>IFERROR(__xludf.DUMMYFUNCTION("""COMPUTED_VALUE"""),1122.7)</f>
        <v>1122.7</v>
      </c>
      <c r="D4668" s="1">
        <f>IFERROR(__xludf.DUMMYFUNCTION("""COMPUTED_VALUE"""),1113.32)</f>
        <v>1113.32</v>
      </c>
      <c r="E4668" s="1">
        <f>IFERROR(__xludf.DUMMYFUNCTION("""COMPUTED_VALUE"""),1121.24)</f>
        <v>1121.24</v>
      </c>
      <c r="F4668" s="1">
        <f>IFERROR(__xludf.DUMMYFUNCTION("""COMPUTED_VALUE"""),1.238E8)</f>
        <v>123800000</v>
      </c>
    </row>
    <row r="4669">
      <c r="A4669" s="2">
        <f>IFERROR(__xludf.DUMMYFUNCTION("""COMPUTED_VALUE"""),38140.666666666664)</f>
        <v>38140.66667</v>
      </c>
      <c r="B4669" s="1">
        <f>IFERROR(__xludf.DUMMYFUNCTION("""COMPUTED_VALUE"""),1121.2)</f>
        <v>1121.2</v>
      </c>
      <c r="C4669" s="1">
        <f>IFERROR(__xludf.DUMMYFUNCTION("""COMPUTED_VALUE"""),1128.1)</f>
        <v>1128.1</v>
      </c>
      <c r="D4669" s="1">
        <f>IFERROR(__xludf.DUMMYFUNCTION("""COMPUTED_VALUE"""),1118.64)</f>
        <v>1118.64</v>
      </c>
      <c r="E4669" s="1">
        <f>IFERROR(__xludf.DUMMYFUNCTION("""COMPUTED_VALUE"""),1124.99)</f>
        <v>1124.99</v>
      </c>
      <c r="F4669" s="1">
        <f>IFERROR(__xludf.DUMMYFUNCTION("""COMPUTED_VALUE"""),1.2517E8)</f>
        <v>125170000</v>
      </c>
    </row>
    <row r="4670">
      <c r="A4670" s="2">
        <f>IFERROR(__xludf.DUMMYFUNCTION("""COMPUTED_VALUE"""),38141.666666666664)</f>
        <v>38141.66667</v>
      </c>
      <c r="B4670" s="1">
        <f>IFERROR(__xludf.DUMMYFUNCTION("""COMPUTED_VALUE"""),1124.99)</f>
        <v>1124.99</v>
      </c>
      <c r="C4670" s="1">
        <f>IFERROR(__xludf.DUMMYFUNCTION("""COMPUTED_VALUE"""),1125.31)</f>
        <v>1125.31</v>
      </c>
      <c r="D4670" s="1">
        <f>IFERROR(__xludf.DUMMYFUNCTION("""COMPUTED_VALUE"""),1116.56)</f>
        <v>1116.56</v>
      </c>
      <c r="E4670" s="1">
        <f>IFERROR(__xludf.DUMMYFUNCTION("""COMPUTED_VALUE"""),1116.63)</f>
        <v>1116.63</v>
      </c>
      <c r="F4670" s="1">
        <f>IFERROR(__xludf.DUMMYFUNCTION("""COMPUTED_VALUE"""),1.2324E8)</f>
        <v>123240000</v>
      </c>
    </row>
    <row r="4671">
      <c r="A4671" s="2">
        <f>IFERROR(__xludf.DUMMYFUNCTION("""COMPUTED_VALUE"""),38142.666666666664)</f>
        <v>38142.66667</v>
      </c>
      <c r="B4671" s="1">
        <f>IFERROR(__xludf.DUMMYFUNCTION("""COMPUTED_VALUE"""),1116.64)</f>
        <v>1116.64</v>
      </c>
      <c r="C4671" s="1">
        <f>IFERROR(__xludf.DUMMYFUNCTION("""COMPUTED_VALUE"""),1129.17)</f>
        <v>1129.17</v>
      </c>
      <c r="D4671" s="1">
        <f>IFERROR(__xludf.DUMMYFUNCTION("""COMPUTED_VALUE"""),1116.64)</f>
        <v>1116.64</v>
      </c>
      <c r="E4671" s="1">
        <f>IFERROR(__xludf.DUMMYFUNCTION("""COMPUTED_VALUE"""),1122.51)</f>
        <v>1122.51</v>
      </c>
      <c r="F4671" s="1">
        <f>IFERROR(__xludf.DUMMYFUNCTION("""COMPUTED_VALUE"""),1.1153E8)</f>
        <v>111530000</v>
      </c>
    </row>
    <row r="4672">
      <c r="A4672" s="2">
        <f>IFERROR(__xludf.DUMMYFUNCTION("""COMPUTED_VALUE"""),38145.666666666664)</f>
        <v>38145.66667</v>
      </c>
      <c r="B4672" s="1">
        <f>IFERROR(__xludf.DUMMYFUNCTION("""COMPUTED_VALUE"""),1122.5)</f>
        <v>1122.5</v>
      </c>
      <c r="C4672" s="1">
        <f>IFERROR(__xludf.DUMMYFUNCTION("""COMPUTED_VALUE"""),1140.54)</f>
        <v>1140.54</v>
      </c>
      <c r="D4672" s="1">
        <f>IFERROR(__xludf.DUMMYFUNCTION("""COMPUTED_VALUE"""),1122.5)</f>
        <v>1122.5</v>
      </c>
      <c r="E4672" s="1">
        <f>IFERROR(__xludf.DUMMYFUNCTION("""COMPUTED_VALUE"""),1140.53)</f>
        <v>1140.53</v>
      </c>
      <c r="F4672" s="1">
        <f>IFERROR(__xludf.DUMMYFUNCTION("""COMPUTED_VALUE"""),1.2118E8)</f>
        <v>121180000</v>
      </c>
    </row>
    <row r="4673">
      <c r="A4673" s="2">
        <f>IFERROR(__xludf.DUMMYFUNCTION("""COMPUTED_VALUE"""),38146.666666666664)</f>
        <v>38146.66667</v>
      </c>
      <c r="B4673" s="1">
        <f>IFERROR(__xludf.DUMMYFUNCTION("""COMPUTED_VALUE"""),1140.42)</f>
        <v>1140.42</v>
      </c>
      <c r="C4673" s="1">
        <f>IFERROR(__xludf.DUMMYFUNCTION("""COMPUTED_VALUE"""),1142.16)</f>
        <v>1142.16</v>
      </c>
      <c r="D4673" s="1">
        <f>IFERROR(__xludf.DUMMYFUNCTION("""COMPUTED_VALUE"""),1135.45)</f>
        <v>1135.45</v>
      </c>
      <c r="E4673" s="1">
        <f>IFERROR(__xludf.DUMMYFUNCTION("""COMPUTED_VALUE"""),1142.12)</f>
        <v>1142.12</v>
      </c>
      <c r="F4673" s="1">
        <f>IFERROR(__xludf.DUMMYFUNCTION("""COMPUTED_VALUE"""),1.1903E8)</f>
        <v>119030000</v>
      </c>
    </row>
    <row r="4674">
      <c r="A4674" s="2">
        <f>IFERROR(__xludf.DUMMYFUNCTION("""COMPUTED_VALUE"""),38147.666666666664)</f>
        <v>38147.66667</v>
      </c>
      <c r="B4674" s="1">
        <f>IFERROR(__xludf.DUMMYFUNCTION("""COMPUTED_VALUE"""),1142.18)</f>
        <v>1142.18</v>
      </c>
      <c r="C4674" s="1">
        <f>IFERROR(__xludf.DUMMYFUNCTION("""COMPUTED_VALUE"""),1142.18)</f>
        <v>1142.18</v>
      </c>
      <c r="D4674" s="1">
        <f>IFERROR(__xludf.DUMMYFUNCTION("""COMPUTED_VALUE"""),1131.11)</f>
        <v>1131.11</v>
      </c>
      <c r="E4674" s="1">
        <f>IFERROR(__xludf.DUMMYFUNCTION("""COMPUTED_VALUE"""),1131.3)</f>
        <v>1131.3</v>
      </c>
      <c r="F4674" s="1">
        <f>IFERROR(__xludf.DUMMYFUNCTION("""COMPUTED_VALUE"""),1.2768E8)</f>
        <v>127680000</v>
      </c>
    </row>
    <row r="4675">
      <c r="A4675" s="2">
        <f>IFERROR(__xludf.DUMMYFUNCTION("""COMPUTED_VALUE"""),38148.666666666664)</f>
        <v>38148.66667</v>
      </c>
      <c r="B4675" s="1">
        <f>IFERROR(__xludf.DUMMYFUNCTION("""COMPUTED_VALUE"""),1131.33)</f>
        <v>1131.33</v>
      </c>
      <c r="C4675" s="1">
        <f>IFERROR(__xludf.DUMMYFUNCTION("""COMPUTED_VALUE"""),1136.47)</f>
        <v>1136.47</v>
      </c>
      <c r="D4675" s="1">
        <f>IFERROR(__xludf.DUMMYFUNCTION("""COMPUTED_VALUE"""),1131.33)</f>
        <v>1131.33</v>
      </c>
      <c r="E4675" s="1">
        <f>IFERROR(__xludf.DUMMYFUNCTION("""COMPUTED_VALUE"""),1136.47)</f>
        <v>1136.47</v>
      </c>
      <c r="F4675" s="1">
        <f>IFERROR(__xludf.DUMMYFUNCTION("""COMPUTED_VALUE"""),1.1606E8)</f>
        <v>116060000</v>
      </c>
    </row>
    <row r="4676">
      <c r="A4676" s="2">
        <f>IFERROR(__xludf.DUMMYFUNCTION("""COMPUTED_VALUE"""),38152.666666666664)</f>
        <v>38152.66667</v>
      </c>
      <c r="B4676" s="1">
        <f>IFERROR(__xludf.DUMMYFUNCTION("""COMPUTED_VALUE"""),1136.47)</f>
        <v>1136.47</v>
      </c>
      <c r="C4676" s="1">
        <f>IFERROR(__xludf.DUMMYFUNCTION("""COMPUTED_VALUE"""),1136.47)</f>
        <v>1136.47</v>
      </c>
      <c r="D4676" s="1">
        <f>IFERROR(__xludf.DUMMYFUNCTION("""COMPUTED_VALUE"""),1122.16)</f>
        <v>1122.16</v>
      </c>
      <c r="E4676" s="1">
        <f>IFERROR(__xludf.DUMMYFUNCTION("""COMPUTED_VALUE"""),1125.26)</f>
        <v>1125.26</v>
      </c>
      <c r="F4676" s="1">
        <f>IFERROR(__xludf.DUMMYFUNCTION("""COMPUTED_VALUE"""),1.1794E8)</f>
        <v>117940000</v>
      </c>
    </row>
    <row r="4677">
      <c r="A4677" s="2">
        <f>IFERROR(__xludf.DUMMYFUNCTION("""COMPUTED_VALUE"""),38153.666666666664)</f>
        <v>38153.66667</v>
      </c>
      <c r="B4677" s="1">
        <f>IFERROR(__xludf.DUMMYFUNCTION("""COMPUTED_VALUE"""),1125.29)</f>
        <v>1125.29</v>
      </c>
      <c r="C4677" s="1">
        <f>IFERROR(__xludf.DUMMYFUNCTION("""COMPUTED_VALUE"""),1137.36)</f>
        <v>1137.36</v>
      </c>
      <c r="D4677" s="1">
        <f>IFERROR(__xludf.DUMMYFUNCTION("""COMPUTED_VALUE"""),1125.29)</f>
        <v>1125.29</v>
      </c>
      <c r="E4677" s="1">
        <f>IFERROR(__xludf.DUMMYFUNCTION("""COMPUTED_VALUE"""),1132.0)</f>
        <v>1132</v>
      </c>
      <c r="F4677" s="1">
        <f>IFERROR(__xludf.DUMMYFUNCTION("""COMPUTED_VALUE"""),1.3459E8)</f>
        <v>134590000</v>
      </c>
    </row>
    <row r="4678">
      <c r="A4678" s="2">
        <f>IFERROR(__xludf.DUMMYFUNCTION("""COMPUTED_VALUE"""),38154.666666666664)</f>
        <v>38154.66667</v>
      </c>
      <c r="B4678" s="1">
        <f>IFERROR(__xludf.DUMMYFUNCTION("""COMPUTED_VALUE"""),1132.01)</f>
        <v>1132.01</v>
      </c>
      <c r="C4678" s="1">
        <f>IFERROR(__xludf.DUMMYFUNCTION("""COMPUTED_VALUE"""),1135.28)</f>
        <v>1135.28</v>
      </c>
      <c r="D4678" s="1">
        <f>IFERROR(__xludf.DUMMYFUNCTION("""COMPUTED_VALUE"""),1130.55)</f>
        <v>1130.55</v>
      </c>
      <c r="E4678" s="1">
        <f>IFERROR(__xludf.DUMMYFUNCTION("""COMPUTED_VALUE"""),1133.6)</f>
        <v>1133.6</v>
      </c>
      <c r="F4678" s="1">
        <f>IFERROR(__xludf.DUMMYFUNCTION("""COMPUTED_VALUE"""),1.1684E8)</f>
        <v>116840000</v>
      </c>
    </row>
    <row r="4679">
      <c r="A4679" s="2">
        <f>IFERROR(__xludf.DUMMYFUNCTION("""COMPUTED_VALUE"""),38155.666666666664)</f>
        <v>38155.66667</v>
      </c>
      <c r="B4679" s="1">
        <f>IFERROR(__xludf.DUMMYFUNCTION("""COMPUTED_VALUE"""),1133.56)</f>
        <v>1133.56</v>
      </c>
      <c r="C4679" s="1">
        <f>IFERROR(__xludf.DUMMYFUNCTION("""COMPUTED_VALUE"""),1133.56)</f>
        <v>1133.56</v>
      </c>
      <c r="D4679" s="1">
        <f>IFERROR(__xludf.DUMMYFUNCTION("""COMPUTED_VALUE"""),1126.88)</f>
        <v>1126.88</v>
      </c>
      <c r="E4679" s="1">
        <f>IFERROR(__xludf.DUMMYFUNCTION("""COMPUTED_VALUE"""),1132.03)</f>
        <v>1132.03</v>
      </c>
      <c r="F4679" s="1">
        <f>IFERROR(__xludf.DUMMYFUNCTION("""COMPUTED_VALUE"""),1.2967E8)</f>
        <v>129670000</v>
      </c>
    </row>
    <row r="4680">
      <c r="A4680" s="2">
        <f>IFERROR(__xludf.DUMMYFUNCTION("""COMPUTED_VALUE"""),38156.666666666664)</f>
        <v>38156.66667</v>
      </c>
      <c r="B4680" s="1">
        <f>IFERROR(__xludf.DUMMYFUNCTION("""COMPUTED_VALUE"""),1132.05)</f>
        <v>1132.05</v>
      </c>
      <c r="C4680" s="1">
        <f>IFERROR(__xludf.DUMMYFUNCTION("""COMPUTED_VALUE"""),1139.08)</f>
        <v>1139.08</v>
      </c>
      <c r="D4680" s="1">
        <f>IFERROR(__xludf.DUMMYFUNCTION("""COMPUTED_VALUE"""),1129.82)</f>
        <v>1129.82</v>
      </c>
      <c r="E4680" s="1">
        <f>IFERROR(__xludf.DUMMYFUNCTION("""COMPUTED_VALUE"""),1135.21)</f>
        <v>1135.21</v>
      </c>
      <c r="F4680" s="1">
        <f>IFERROR(__xludf.DUMMYFUNCTION("""COMPUTED_VALUE"""),1.5006E8)</f>
        <v>150060000</v>
      </c>
    </row>
    <row r="4681">
      <c r="A4681" s="2">
        <f>IFERROR(__xludf.DUMMYFUNCTION("""COMPUTED_VALUE"""),38159.666666666664)</f>
        <v>38159.66667</v>
      </c>
      <c r="B4681" s="1">
        <f>IFERROR(__xludf.DUMMYFUNCTION("""COMPUTED_VALUE"""),1135.02)</f>
        <v>1135.02</v>
      </c>
      <c r="C4681" s="1">
        <f>IFERROR(__xludf.DUMMYFUNCTION("""COMPUTED_VALUE"""),1138.05)</f>
        <v>1138.05</v>
      </c>
      <c r="D4681" s="1">
        <f>IFERROR(__xludf.DUMMYFUNCTION("""COMPUTED_VALUE"""),1129.64)</f>
        <v>1129.64</v>
      </c>
      <c r="E4681" s="1">
        <f>IFERROR(__xludf.DUMMYFUNCTION("""COMPUTED_VALUE"""),1130.32)</f>
        <v>1130.32</v>
      </c>
      <c r="F4681" s="1">
        <f>IFERROR(__xludf.DUMMYFUNCTION("""COMPUTED_VALUE"""),1.1239E8)</f>
        <v>112390000</v>
      </c>
    </row>
    <row r="4682">
      <c r="A4682" s="2">
        <f>IFERROR(__xludf.DUMMYFUNCTION("""COMPUTED_VALUE"""),38160.666666666664)</f>
        <v>38160.66667</v>
      </c>
      <c r="B4682" s="1">
        <f>IFERROR(__xludf.DUMMYFUNCTION("""COMPUTED_VALUE"""),1130.3)</f>
        <v>1130.3</v>
      </c>
      <c r="C4682" s="1">
        <f>IFERROR(__xludf.DUMMYFUNCTION("""COMPUTED_VALUE"""),1135.05)</f>
        <v>1135.05</v>
      </c>
      <c r="D4682" s="1">
        <f>IFERROR(__xludf.DUMMYFUNCTION("""COMPUTED_VALUE"""),1124.37)</f>
        <v>1124.37</v>
      </c>
      <c r="E4682" s="1">
        <f>IFERROR(__xludf.DUMMYFUNCTION("""COMPUTED_VALUE"""),1134.41)</f>
        <v>1134.41</v>
      </c>
      <c r="F4682" s="1">
        <f>IFERROR(__xludf.DUMMYFUNCTION("""COMPUTED_VALUE"""),1.3823E8)</f>
        <v>138230000</v>
      </c>
    </row>
    <row r="4683">
      <c r="A4683" s="2">
        <f>IFERROR(__xludf.DUMMYFUNCTION("""COMPUTED_VALUE"""),38161.666666666664)</f>
        <v>38161.66667</v>
      </c>
      <c r="B4683" s="1">
        <f>IFERROR(__xludf.DUMMYFUNCTION("""COMPUTED_VALUE"""),1134.41)</f>
        <v>1134.41</v>
      </c>
      <c r="C4683" s="1">
        <f>IFERROR(__xludf.DUMMYFUNCTION("""COMPUTED_VALUE"""),1145.16)</f>
        <v>1145.16</v>
      </c>
      <c r="D4683" s="1">
        <f>IFERROR(__xludf.DUMMYFUNCTION("""COMPUTED_VALUE"""),1131.79)</f>
        <v>1131.79</v>
      </c>
      <c r="E4683" s="1">
        <f>IFERROR(__xludf.DUMMYFUNCTION("""COMPUTED_VALUE"""),1144.04)</f>
        <v>1144.04</v>
      </c>
      <c r="F4683" s="1">
        <f>IFERROR(__xludf.DUMMYFUNCTION("""COMPUTED_VALUE"""),1.4442E8)</f>
        <v>144420000</v>
      </c>
    </row>
    <row r="4684">
      <c r="A4684" s="2">
        <f>IFERROR(__xludf.DUMMYFUNCTION("""COMPUTED_VALUE"""),38162.666666666664)</f>
        <v>38162.66667</v>
      </c>
      <c r="B4684" s="1">
        <f>IFERROR(__xludf.DUMMYFUNCTION("""COMPUTED_VALUE"""),1144.06)</f>
        <v>1144.06</v>
      </c>
      <c r="C4684" s="1">
        <f>IFERROR(__xludf.DUMMYFUNCTION("""COMPUTED_VALUE"""),1146.34)</f>
        <v>1146.34</v>
      </c>
      <c r="D4684" s="1">
        <f>IFERROR(__xludf.DUMMYFUNCTION("""COMPUTED_VALUE"""),1139.94)</f>
        <v>1139.94</v>
      </c>
      <c r="E4684" s="1">
        <f>IFERROR(__xludf.DUMMYFUNCTION("""COMPUTED_VALUE"""),1140.62)</f>
        <v>1140.62</v>
      </c>
      <c r="F4684" s="1">
        <f>IFERROR(__xludf.DUMMYFUNCTION("""COMPUTED_VALUE"""),1.3949E8)</f>
        <v>139490000</v>
      </c>
    </row>
    <row r="4685">
      <c r="A4685" s="2">
        <f>IFERROR(__xludf.DUMMYFUNCTION("""COMPUTED_VALUE"""),38163.666666666664)</f>
        <v>38163.66667</v>
      </c>
      <c r="B4685" s="1">
        <f>IFERROR(__xludf.DUMMYFUNCTION("""COMPUTED_VALUE"""),1140.65)</f>
        <v>1140.65</v>
      </c>
      <c r="C4685" s="1">
        <f>IFERROR(__xludf.DUMMYFUNCTION("""COMPUTED_VALUE"""),1145.97)</f>
        <v>1145.97</v>
      </c>
      <c r="D4685" s="1">
        <f>IFERROR(__xludf.DUMMYFUNCTION("""COMPUTED_VALUE"""),1135.54)</f>
        <v>1135.54</v>
      </c>
      <c r="E4685" s="1">
        <f>IFERROR(__xludf.DUMMYFUNCTION("""COMPUTED_VALUE"""),1135.54)</f>
        <v>1135.54</v>
      </c>
      <c r="F4685" s="1">
        <f>IFERROR(__xludf.DUMMYFUNCTION("""COMPUTED_VALUE"""),1.8129E8)</f>
        <v>181290000</v>
      </c>
    </row>
    <row r="4686">
      <c r="A4686" s="2">
        <f>IFERROR(__xludf.DUMMYFUNCTION("""COMPUTED_VALUE"""),38166.666666666664)</f>
        <v>38166.66667</v>
      </c>
      <c r="B4686" s="1">
        <f>IFERROR(__xludf.DUMMYFUNCTION("""COMPUTED_VALUE"""),1134.43)</f>
        <v>1134.43</v>
      </c>
      <c r="C4686" s="1">
        <f>IFERROR(__xludf.DUMMYFUNCTION("""COMPUTED_VALUE"""),1142.6)</f>
        <v>1142.6</v>
      </c>
      <c r="D4686" s="1">
        <f>IFERROR(__xludf.DUMMYFUNCTION("""COMPUTED_VALUE"""),1131.62)</f>
        <v>1131.62</v>
      </c>
      <c r="E4686" s="1">
        <f>IFERROR(__xludf.DUMMYFUNCTION("""COMPUTED_VALUE"""),1133.52)</f>
        <v>1133.52</v>
      </c>
      <c r="F4686" s="1">
        <f>IFERROR(__xludf.DUMMYFUNCTION("""COMPUTED_VALUE"""),1.3546E8)</f>
        <v>135460000</v>
      </c>
    </row>
    <row r="4687">
      <c r="A4687" s="2">
        <f>IFERROR(__xludf.DUMMYFUNCTION("""COMPUTED_VALUE"""),38167.666666666664)</f>
        <v>38167.66667</v>
      </c>
      <c r="B4687" s="1">
        <f>IFERROR(__xludf.DUMMYFUNCTION("""COMPUTED_VALUE"""),1133.35)</f>
        <v>1133.35</v>
      </c>
      <c r="C4687" s="1">
        <f>IFERROR(__xludf.DUMMYFUNCTION("""COMPUTED_VALUE"""),1138.26)</f>
        <v>1138.26</v>
      </c>
      <c r="D4687" s="1">
        <f>IFERROR(__xludf.DUMMYFUNCTION("""COMPUTED_VALUE"""),1131.81)</f>
        <v>1131.81</v>
      </c>
      <c r="E4687" s="1">
        <f>IFERROR(__xludf.DUMMYFUNCTION("""COMPUTED_VALUE"""),1136.23)</f>
        <v>1136.23</v>
      </c>
      <c r="F4687" s="1">
        <f>IFERROR(__xludf.DUMMYFUNCTION("""COMPUTED_VALUE"""),1.375E8)</f>
        <v>137500000</v>
      </c>
    </row>
    <row r="4688">
      <c r="A4688" s="2">
        <f>IFERROR(__xludf.DUMMYFUNCTION("""COMPUTED_VALUE"""),38168.666666666664)</f>
        <v>38168.66667</v>
      </c>
      <c r="B4688" s="1">
        <f>IFERROR(__xludf.DUMMYFUNCTION("""COMPUTED_VALUE"""),1136.2)</f>
        <v>1136.2</v>
      </c>
      <c r="C4688" s="1">
        <f>IFERROR(__xludf.DUMMYFUNCTION("""COMPUTED_VALUE"""),1144.22)</f>
        <v>1144.22</v>
      </c>
      <c r="D4688" s="1">
        <f>IFERROR(__xludf.DUMMYFUNCTION("""COMPUTED_VALUE"""),1133.62)</f>
        <v>1133.62</v>
      </c>
      <c r="E4688" s="1">
        <f>IFERROR(__xludf.DUMMYFUNCTION("""COMPUTED_VALUE"""),1140.76)</f>
        <v>1140.76</v>
      </c>
      <c r="F4688" s="1">
        <f>IFERROR(__xludf.DUMMYFUNCTION("""COMPUTED_VALUE"""),1.4738E8)</f>
        <v>147380000</v>
      </c>
    </row>
    <row r="4689">
      <c r="A4689" s="2">
        <f>IFERROR(__xludf.DUMMYFUNCTION("""COMPUTED_VALUE"""),38169.666666666664)</f>
        <v>38169.66667</v>
      </c>
      <c r="B4689" s="1">
        <f>IFERROR(__xludf.DUMMYFUNCTION("""COMPUTED_VALUE"""),1140.84)</f>
        <v>1140.84</v>
      </c>
      <c r="C4689" s="1">
        <f>IFERROR(__xludf.DUMMYFUNCTION("""COMPUTED_VALUE"""),1140.84)</f>
        <v>1140.84</v>
      </c>
      <c r="D4689" s="1">
        <f>IFERROR(__xludf.DUMMYFUNCTION("""COMPUTED_VALUE"""),1123.06)</f>
        <v>1123.06</v>
      </c>
      <c r="E4689" s="1">
        <f>IFERROR(__xludf.DUMMYFUNCTION("""COMPUTED_VALUE"""),1128.98)</f>
        <v>1128.98</v>
      </c>
      <c r="F4689" s="1">
        <f>IFERROR(__xludf.DUMMYFUNCTION("""COMPUTED_VALUE"""),1.4957E8)</f>
        <v>149570000</v>
      </c>
    </row>
    <row r="4690">
      <c r="A4690" s="2">
        <f>IFERROR(__xludf.DUMMYFUNCTION("""COMPUTED_VALUE"""),38170.666666666664)</f>
        <v>38170.66667</v>
      </c>
      <c r="B4690" s="1">
        <f>IFERROR(__xludf.DUMMYFUNCTION("""COMPUTED_VALUE"""),1128.94)</f>
        <v>1128.94</v>
      </c>
      <c r="C4690" s="1">
        <f>IFERROR(__xludf.DUMMYFUNCTION("""COMPUTED_VALUE"""),1129.18)</f>
        <v>1129.18</v>
      </c>
      <c r="D4690" s="1">
        <f>IFERROR(__xludf.DUMMYFUNCTION("""COMPUTED_VALUE"""),1123.26)</f>
        <v>1123.26</v>
      </c>
      <c r="E4690" s="1">
        <f>IFERROR(__xludf.DUMMYFUNCTION("""COMPUTED_VALUE"""),1125.38)</f>
        <v>1125.38</v>
      </c>
      <c r="F4690" s="1">
        <f>IFERROR(__xludf.DUMMYFUNCTION("""COMPUTED_VALUE"""),1.085E8)</f>
        <v>108500000</v>
      </c>
    </row>
    <row r="4691">
      <c r="A4691" s="2">
        <f>IFERROR(__xludf.DUMMYFUNCTION("""COMPUTED_VALUE"""),38174.666666666664)</f>
        <v>38174.66667</v>
      </c>
      <c r="B4691" s="1">
        <f>IFERROR(__xludf.DUMMYFUNCTION("""COMPUTED_VALUE"""),1125.38)</f>
        <v>1125.38</v>
      </c>
      <c r="C4691" s="1">
        <f>IFERROR(__xludf.DUMMYFUNCTION("""COMPUTED_VALUE"""),1125.38)</f>
        <v>1125.38</v>
      </c>
      <c r="D4691" s="1">
        <f>IFERROR(__xludf.DUMMYFUNCTION("""COMPUTED_VALUE"""),1113.21)</f>
        <v>1113.21</v>
      </c>
      <c r="E4691" s="1">
        <f>IFERROR(__xludf.DUMMYFUNCTION("""COMPUTED_VALUE"""),1116.19)</f>
        <v>1116.19</v>
      </c>
      <c r="F4691" s="1">
        <f>IFERROR(__xludf.DUMMYFUNCTION("""COMPUTED_VALUE"""),1.2833E8)</f>
        <v>128330000</v>
      </c>
    </row>
    <row r="4692">
      <c r="A4692" s="2">
        <f>IFERROR(__xludf.DUMMYFUNCTION("""COMPUTED_VALUE"""),38175.666666666664)</f>
        <v>38175.66667</v>
      </c>
      <c r="B4692" s="1">
        <f>IFERROR(__xludf.DUMMYFUNCTION("""COMPUTED_VALUE"""),1116.21)</f>
        <v>1116.21</v>
      </c>
      <c r="C4692" s="1">
        <f>IFERROR(__xludf.DUMMYFUNCTION("""COMPUTED_VALUE"""),1122.37)</f>
        <v>1122.37</v>
      </c>
      <c r="D4692" s="1">
        <f>IFERROR(__xludf.DUMMYFUNCTION("""COMPUTED_VALUE"""),1115.13)</f>
        <v>1115.13</v>
      </c>
      <c r="E4692" s="1">
        <f>IFERROR(__xludf.DUMMYFUNCTION("""COMPUTED_VALUE"""),1118.33)</f>
        <v>1118.33</v>
      </c>
      <c r="F4692" s="1">
        <f>IFERROR(__xludf.DUMMYFUNCTION("""COMPUTED_VALUE"""),1.3286E8)</f>
        <v>132860000</v>
      </c>
    </row>
    <row r="4693">
      <c r="A4693" s="2">
        <f>IFERROR(__xludf.DUMMYFUNCTION("""COMPUTED_VALUE"""),38176.666666666664)</f>
        <v>38176.66667</v>
      </c>
      <c r="B4693" s="1">
        <f>IFERROR(__xludf.DUMMYFUNCTION("""COMPUTED_VALUE"""),1118.33)</f>
        <v>1118.33</v>
      </c>
      <c r="C4693" s="1">
        <f>IFERROR(__xludf.DUMMYFUNCTION("""COMPUTED_VALUE"""),1119.12)</f>
        <v>1119.12</v>
      </c>
      <c r="D4693" s="1">
        <f>IFERROR(__xludf.DUMMYFUNCTION("""COMPUTED_VALUE"""),1108.72)</f>
        <v>1108.72</v>
      </c>
      <c r="E4693" s="1">
        <f>IFERROR(__xludf.DUMMYFUNCTION("""COMPUTED_VALUE"""),1109.1)</f>
        <v>1109.1</v>
      </c>
      <c r="F4693" s="1">
        <f>IFERROR(__xludf.DUMMYFUNCTION("""COMPUTED_VALUE"""),1.4011E8)</f>
        <v>140110000</v>
      </c>
    </row>
    <row r="4694">
      <c r="A4694" s="2">
        <f>IFERROR(__xludf.DUMMYFUNCTION("""COMPUTED_VALUE"""),38177.666666666664)</f>
        <v>38177.66667</v>
      </c>
      <c r="B4694" s="1">
        <f>IFERROR(__xludf.DUMMYFUNCTION("""COMPUTED_VALUE"""),1109.11)</f>
        <v>1109.11</v>
      </c>
      <c r="C4694" s="1">
        <f>IFERROR(__xludf.DUMMYFUNCTION("""COMPUTED_VALUE"""),1115.57)</f>
        <v>1115.57</v>
      </c>
      <c r="D4694" s="1">
        <f>IFERROR(__xludf.DUMMYFUNCTION("""COMPUTED_VALUE"""),1109.11)</f>
        <v>1109.11</v>
      </c>
      <c r="E4694" s="1">
        <f>IFERROR(__xludf.DUMMYFUNCTION("""COMPUTED_VALUE"""),1112.81)</f>
        <v>1112.81</v>
      </c>
      <c r="F4694" s="1">
        <f>IFERROR(__xludf.DUMMYFUNCTION("""COMPUTED_VALUE"""),1.1863E8)</f>
        <v>118630000</v>
      </c>
    </row>
    <row r="4695">
      <c r="A4695" s="2">
        <f>IFERROR(__xludf.DUMMYFUNCTION("""COMPUTED_VALUE"""),38180.666666666664)</f>
        <v>38180.66667</v>
      </c>
      <c r="B4695" s="1">
        <f>IFERROR(__xludf.DUMMYFUNCTION("""COMPUTED_VALUE"""),1112.81)</f>
        <v>1112.81</v>
      </c>
      <c r="C4695" s="1">
        <f>IFERROR(__xludf.DUMMYFUNCTION("""COMPUTED_VALUE"""),1116.11)</f>
        <v>1116.11</v>
      </c>
      <c r="D4695" s="1">
        <f>IFERROR(__xludf.DUMMYFUNCTION("""COMPUTED_VALUE"""),1106.71)</f>
        <v>1106.71</v>
      </c>
      <c r="E4695" s="1">
        <f>IFERROR(__xludf.DUMMYFUNCTION("""COMPUTED_VALUE"""),1114.35)</f>
        <v>1114.35</v>
      </c>
      <c r="F4695" s="1">
        <f>IFERROR(__xludf.DUMMYFUNCTION("""COMPUTED_VALUE"""),1.1146E8)</f>
        <v>111460000</v>
      </c>
    </row>
    <row r="4696">
      <c r="A4696" s="2">
        <f>IFERROR(__xludf.DUMMYFUNCTION("""COMPUTED_VALUE"""),38181.666666666664)</f>
        <v>38181.66667</v>
      </c>
      <c r="B4696" s="1">
        <f>IFERROR(__xludf.DUMMYFUNCTION("""COMPUTED_VALUE"""),1114.35)</f>
        <v>1114.35</v>
      </c>
      <c r="C4696" s="1">
        <f>IFERROR(__xludf.DUMMYFUNCTION("""COMPUTED_VALUE"""),1116.3)</f>
        <v>1116.3</v>
      </c>
      <c r="D4696" s="1">
        <f>IFERROR(__xludf.DUMMYFUNCTION("""COMPUTED_VALUE"""),1112.99)</f>
        <v>1112.99</v>
      </c>
      <c r="E4696" s="1">
        <f>IFERROR(__xludf.DUMMYFUNCTION("""COMPUTED_VALUE"""),1115.14)</f>
        <v>1115.14</v>
      </c>
      <c r="F4696" s="1">
        <f>IFERROR(__xludf.DUMMYFUNCTION("""COMPUTED_VALUE"""),1.1997E8)</f>
        <v>119970000</v>
      </c>
    </row>
    <row r="4697">
      <c r="A4697" s="2">
        <f>IFERROR(__xludf.DUMMYFUNCTION("""COMPUTED_VALUE"""),38182.666666666664)</f>
        <v>38182.66667</v>
      </c>
      <c r="B4697" s="1">
        <f>IFERROR(__xludf.DUMMYFUNCTION("""COMPUTED_VALUE"""),1115.14)</f>
        <v>1115.14</v>
      </c>
      <c r="C4697" s="1">
        <f>IFERROR(__xludf.DUMMYFUNCTION("""COMPUTED_VALUE"""),1119.6)</f>
        <v>1119.6</v>
      </c>
      <c r="D4697" s="1">
        <f>IFERROR(__xludf.DUMMYFUNCTION("""COMPUTED_VALUE"""),1107.83)</f>
        <v>1107.83</v>
      </c>
      <c r="E4697" s="1">
        <f>IFERROR(__xludf.DUMMYFUNCTION("""COMPUTED_VALUE"""),1111.47)</f>
        <v>1111.47</v>
      </c>
      <c r="F4697" s="1">
        <f>IFERROR(__xludf.DUMMYFUNCTION("""COMPUTED_VALUE"""),1.462E8)</f>
        <v>146200000</v>
      </c>
    </row>
    <row r="4698">
      <c r="A4698" s="2">
        <f>IFERROR(__xludf.DUMMYFUNCTION("""COMPUTED_VALUE"""),38183.666666666664)</f>
        <v>38183.66667</v>
      </c>
      <c r="B4698" s="1">
        <f>IFERROR(__xludf.DUMMYFUNCTION("""COMPUTED_VALUE"""),1111.47)</f>
        <v>1111.47</v>
      </c>
      <c r="C4698" s="1">
        <f>IFERROR(__xludf.DUMMYFUNCTION("""COMPUTED_VALUE"""),1114.63)</f>
        <v>1114.63</v>
      </c>
      <c r="D4698" s="1">
        <f>IFERROR(__xludf.DUMMYFUNCTION("""COMPUTED_VALUE"""),1106.67)</f>
        <v>1106.67</v>
      </c>
      <c r="E4698" s="1">
        <f>IFERROR(__xludf.DUMMYFUNCTION("""COMPUTED_VALUE"""),1106.69)</f>
        <v>1106.69</v>
      </c>
      <c r="F4698" s="1">
        <f>IFERROR(__xludf.DUMMYFUNCTION("""COMPUTED_VALUE"""),1.4087E8)</f>
        <v>140870000</v>
      </c>
    </row>
    <row r="4699">
      <c r="A4699" s="2">
        <f>IFERROR(__xludf.DUMMYFUNCTION("""COMPUTED_VALUE"""),38184.666666666664)</f>
        <v>38184.66667</v>
      </c>
      <c r="B4699" s="1">
        <f>IFERROR(__xludf.DUMMYFUNCTION("""COMPUTED_VALUE"""),1106.69)</f>
        <v>1106.69</v>
      </c>
      <c r="C4699" s="1">
        <f>IFERROR(__xludf.DUMMYFUNCTION("""COMPUTED_VALUE"""),1112.17)</f>
        <v>1112.17</v>
      </c>
      <c r="D4699" s="1">
        <f>IFERROR(__xludf.DUMMYFUNCTION("""COMPUTED_VALUE"""),1101.07)</f>
        <v>1101.07</v>
      </c>
      <c r="E4699" s="1">
        <f>IFERROR(__xludf.DUMMYFUNCTION("""COMPUTED_VALUE"""),1101.27)</f>
        <v>1101.27</v>
      </c>
      <c r="F4699" s="1">
        <f>IFERROR(__xludf.DUMMYFUNCTION("""COMPUTED_VALUE"""),1.4503E8)</f>
        <v>145030000</v>
      </c>
    </row>
    <row r="4700">
      <c r="A4700" s="2">
        <f>IFERROR(__xludf.DUMMYFUNCTION("""COMPUTED_VALUE"""),38187.666666666664)</f>
        <v>38187.66667</v>
      </c>
      <c r="B4700" s="1">
        <f>IFERROR(__xludf.DUMMYFUNCTION("""COMPUTED_VALUE"""),1101.39)</f>
        <v>1101.39</v>
      </c>
      <c r="C4700" s="1">
        <f>IFERROR(__xludf.DUMMYFUNCTION("""COMPUTED_VALUE"""),1105.52)</f>
        <v>1105.52</v>
      </c>
      <c r="D4700" s="1">
        <f>IFERROR(__xludf.DUMMYFUNCTION("""COMPUTED_VALUE"""),1096.55)</f>
        <v>1096.55</v>
      </c>
      <c r="E4700" s="1">
        <f>IFERROR(__xludf.DUMMYFUNCTION("""COMPUTED_VALUE"""),1100.91)</f>
        <v>1100.91</v>
      </c>
      <c r="F4700" s="1">
        <f>IFERROR(__xludf.DUMMYFUNCTION("""COMPUTED_VALUE"""),1.3199E8)</f>
        <v>131990000</v>
      </c>
    </row>
    <row r="4701">
      <c r="A4701" s="2">
        <f>IFERROR(__xludf.DUMMYFUNCTION("""COMPUTED_VALUE"""),38188.666666666664)</f>
        <v>38188.66667</v>
      </c>
      <c r="B4701" s="1">
        <f>IFERROR(__xludf.DUMMYFUNCTION("""COMPUTED_VALUE"""),1100.9)</f>
        <v>1100.9</v>
      </c>
      <c r="C4701" s="1">
        <f>IFERROR(__xludf.DUMMYFUNCTION("""COMPUTED_VALUE"""),1108.88)</f>
        <v>1108.88</v>
      </c>
      <c r="D4701" s="1">
        <f>IFERROR(__xludf.DUMMYFUNCTION("""COMPUTED_VALUE"""),1099.1)</f>
        <v>1099.1</v>
      </c>
      <c r="E4701" s="1">
        <f>IFERROR(__xludf.DUMMYFUNCTION("""COMPUTED_VALUE"""),1108.67)</f>
        <v>1108.67</v>
      </c>
      <c r="F4701" s="1">
        <f>IFERROR(__xludf.DUMMYFUNCTION("""COMPUTED_VALUE"""),1.4458E8)</f>
        <v>144580000</v>
      </c>
    </row>
    <row r="4702">
      <c r="A4702" s="2">
        <f>IFERROR(__xludf.DUMMYFUNCTION("""COMPUTED_VALUE"""),38189.666666666664)</f>
        <v>38189.66667</v>
      </c>
      <c r="B4702" s="1">
        <f>IFERROR(__xludf.DUMMYFUNCTION("""COMPUTED_VALUE"""),1108.67)</f>
        <v>1108.67</v>
      </c>
      <c r="C4702" s="1">
        <f>IFERROR(__xludf.DUMMYFUNCTION("""COMPUTED_VALUE"""),1116.27)</f>
        <v>1116.27</v>
      </c>
      <c r="D4702" s="1">
        <f>IFERROR(__xludf.DUMMYFUNCTION("""COMPUTED_VALUE"""),1093.88)</f>
        <v>1093.88</v>
      </c>
      <c r="E4702" s="1">
        <f>IFERROR(__xludf.DUMMYFUNCTION("""COMPUTED_VALUE"""),1093.88)</f>
        <v>1093.88</v>
      </c>
      <c r="F4702" s="1">
        <f>IFERROR(__xludf.DUMMYFUNCTION("""COMPUTED_VALUE"""),1.6795E8)</f>
        <v>167950000</v>
      </c>
    </row>
    <row r="4703">
      <c r="A4703" s="2">
        <f>IFERROR(__xludf.DUMMYFUNCTION("""COMPUTED_VALUE"""),38190.666666666664)</f>
        <v>38190.66667</v>
      </c>
      <c r="B4703" s="1">
        <f>IFERROR(__xludf.DUMMYFUNCTION("""COMPUTED_VALUE"""),1093.88)</f>
        <v>1093.88</v>
      </c>
      <c r="C4703" s="1">
        <f>IFERROR(__xludf.DUMMYFUNCTION("""COMPUTED_VALUE"""),1099.69)</f>
        <v>1099.69</v>
      </c>
      <c r="D4703" s="1">
        <f>IFERROR(__xludf.DUMMYFUNCTION("""COMPUTED_VALUE"""),1084.16)</f>
        <v>1084.16</v>
      </c>
      <c r="E4703" s="1">
        <f>IFERROR(__xludf.DUMMYFUNCTION("""COMPUTED_VALUE"""),1096.85)</f>
        <v>1096.85</v>
      </c>
      <c r="F4703" s="1">
        <f>IFERROR(__xludf.DUMMYFUNCTION("""COMPUTED_VALUE"""),1.6808E8)</f>
        <v>168080000</v>
      </c>
    </row>
    <row r="4704">
      <c r="A4704" s="2">
        <f>IFERROR(__xludf.DUMMYFUNCTION("""COMPUTED_VALUE"""),38191.666666666664)</f>
        <v>38191.66667</v>
      </c>
      <c r="B4704" s="1">
        <f>IFERROR(__xludf.DUMMYFUNCTION("""COMPUTED_VALUE"""),1096.84)</f>
        <v>1096.84</v>
      </c>
      <c r="C4704" s="1">
        <f>IFERROR(__xludf.DUMMYFUNCTION("""COMPUTED_VALUE"""),1096.84)</f>
        <v>1096.84</v>
      </c>
      <c r="D4704" s="1">
        <f>IFERROR(__xludf.DUMMYFUNCTION("""COMPUTED_VALUE"""),1083.49)</f>
        <v>1083.49</v>
      </c>
      <c r="E4704" s="1">
        <f>IFERROR(__xludf.DUMMYFUNCTION("""COMPUTED_VALUE"""),1086.2)</f>
        <v>1086.2</v>
      </c>
      <c r="F4704" s="1">
        <f>IFERROR(__xludf.DUMMYFUNCTION("""COMPUTED_VALUE"""),1.3375E8)</f>
        <v>133750000</v>
      </c>
    </row>
    <row r="4705">
      <c r="A4705" s="2">
        <f>IFERROR(__xludf.DUMMYFUNCTION("""COMPUTED_VALUE"""),38194.666666666664)</f>
        <v>38194.66667</v>
      </c>
      <c r="B4705" s="1">
        <f>IFERROR(__xludf.DUMMYFUNCTION("""COMPUTED_VALUE"""),1086.2)</f>
        <v>1086.2</v>
      </c>
      <c r="C4705" s="1">
        <f>IFERROR(__xludf.DUMMYFUNCTION("""COMPUTED_VALUE"""),1089.82)</f>
        <v>1089.82</v>
      </c>
      <c r="D4705" s="1">
        <f>IFERROR(__xludf.DUMMYFUNCTION("""COMPUTED_VALUE"""),1078.78)</f>
        <v>1078.78</v>
      </c>
      <c r="E4705" s="1">
        <f>IFERROR(__xludf.DUMMYFUNCTION("""COMPUTED_VALUE"""),1084.07)</f>
        <v>1084.07</v>
      </c>
      <c r="F4705" s="1">
        <f>IFERROR(__xludf.DUMMYFUNCTION("""COMPUTED_VALUE"""),1.4134E8)</f>
        <v>141340000</v>
      </c>
    </row>
    <row r="4706">
      <c r="A4706" s="2">
        <f>IFERROR(__xludf.DUMMYFUNCTION("""COMPUTED_VALUE"""),38195.666666666664)</f>
        <v>38195.66667</v>
      </c>
      <c r="B4706" s="1">
        <f>IFERROR(__xludf.DUMMYFUNCTION("""COMPUTED_VALUE"""),1084.07)</f>
        <v>1084.07</v>
      </c>
      <c r="C4706" s="1">
        <f>IFERROR(__xludf.DUMMYFUNCTION("""COMPUTED_VALUE"""),1096.65)</f>
        <v>1096.65</v>
      </c>
      <c r="D4706" s="1">
        <f>IFERROR(__xludf.DUMMYFUNCTION("""COMPUTED_VALUE"""),1084.07)</f>
        <v>1084.07</v>
      </c>
      <c r="E4706" s="1">
        <f>IFERROR(__xludf.DUMMYFUNCTION("""COMPUTED_VALUE"""),1094.83)</f>
        <v>1094.83</v>
      </c>
      <c r="F4706" s="1">
        <f>IFERROR(__xludf.DUMMYFUNCTION("""COMPUTED_VALUE"""),1.6108E8)</f>
        <v>161080000</v>
      </c>
    </row>
    <row r="4707">
      <c r="A4707" s="2">
        <f>IFERROR(__xludf.DUMMYFUNCTION("""COMPUTED_VALUE"""),38196.666666666664)</f>
        <v>38196.66667</v>
      </c>
      <c r="B4707" s="1">
        <f>IFERROR(__xludf.DUMMYFUNCTION("""COMPUTED_VALUE"""),1094.83)</f>
        <v>1094.83</v>
      </c>
      <c r="C4707" s="1">
        <f>IFERROR(__xludf.DUMMYFUNCTION("""COMPUTED_VALUE"""),1098.84)</f>
        <v>1098.84</v>
      </c>
      <c r="D4707" s="1">
        <f>IFERROR(__xludf.DUMMYFUNCTION("""COMPUTED_VALUE"""),1082.17)</f>
        <v>1082.17</v>
      </c>
      <c r="E4707" s="1">
        <f>IFERROR(__xludf.DUMMYFUNCTION("""COMPUTED_VALUE"""),1095.43)</f>
        <v>1095.43</v>
      </c>
      <c r="F4707" s="1">
        <f>IFERROR(__xludf.DUMMYFUNCTION("""COMPUTED_VALUE"""),1.5543E8)</f>
        <v>155430000</v>
      </c>
    </row>
    <row r="4708">
      <c r="A4708" s="2">
        <f>IFERROR(__xludf.DUMMYFUNCTION("""COMPUTED_VALUE"""),38197.666666666664)</f>
        <v>38197.66667</v>
      </c>
      <c r="B4708" s="1">
        <f>IFERROR(__xludf.DUMMYFUNCTION("""COMPUTED_VALUE"""),1095.42)</f>
        <v>1095.42</v>
      </c>
      <c r="C4708" s="1">
        <f>IFERROR(__xludf.DUMMYFUNCTION("""COMPUTED_VALUE"""),1103.71)</f>
        <v>1103.71</v>
      </c>
      <c r="D4708" s="1">
        <f>IFERROR(__xludf.DUMMYFUNCTION("""COMPUTED_VALUE"""),1095.42)</f>
        <v>1095.42</v>
      </c>
      <c r="E4708" s="1">
        <f>IFERROR(__xludf.DUMMYFUNCTION("""COMPUTED_VALUE"""),1100.43)</f>
        <v>1100.43</v>
      </c>
      <c r="F4708" s="1">
        <f>IFERROR(__xludf.DUMMYFUNCTION("""COMPUTED_VALUE"""),1.5301E8)</f>
        <v>153010000</v>
      </c>
    </row>
    <row r="4709">
      <c r="A4709" s="2">
        <f>IFERROR(__xludf.DUMMYFUNCTION("""COMPUTED_VALUE"""),38198.666666666664)</f>
        <v>38198.66667</v>
      </c>
      <c r="B4709" s="1">
        <f>IFERROR(__xludf.DUMMYFUNCTION("""COMPUTED_VALUE"""),1100.43)</f>
        <v>1100.43</v>
      </c>
      <c r="C4709" s="1">
        <f>IFERROR(__xludf.DUMMYFUNCTION("""COMPUTED_VALUE"""),1103.73)</f>
        <v>1103.73</v>
      </c>
      <c r="D4709" s="1">
        <f>IFERROR(__xludf.DUMMYFUNCTION("""COMPUTED_VALUE"""),1096.96)</f>
        <v>1096.96</v>
      </c>
      <c r="E4709" s="1">
        <f>IFERROR(__xludf.DUMMYFUNCTION("""COMPUTED_VALUE"""),1101.72)</f>
        <v>1101.72</v>
      </c>
      <c r="F4709" s="1">
        <f>IFERROR(__xludf.DUMMYFUNCTION("""COMPUTED_VALUE"""),1.2982E8)</f>
        <v>129820000</v>
      </c>
    </row>
    <row r="4710">
      <c r="A4710" s="2">
        <f>IFERROR(__xludf.DUMMYFUNCTION("""COMPUTED_VALUE"""),38201.666666666664)</f>
        <v>38201.66667</v>
      </c>
      <c r="B4710" s="1">
        <f>IFERROR(__xludf.DUMMYFUNCTION("""COMPUTED_VALUE"""),1101.72)</f>
        <v>1101.72</v>
      </c>
      <c r="C4710" s="1">
        <f>IFERROR(__xludf.DUMMYFUNCTION("""COMPUTED_VALUE"""),1108.6)</f>
        <v>1108.6</v>
      </c>
      <c r="D4710" s="1">
        <f>IFERROR(__xludf.DUMMYFUNCTION("""COMPUTED_VALUE"""),1097.34)</f>
        <v>1097.34</v>
      </c>
      <c r="E4710" s="1">
        <f>IFERROR(__xludf.DUMMYFUNCTION("""COMPUTED_VALUE"""),1106.62)</f>
        <v>1106.62</v>
      </c>
      <c r="F4710" s="1">
        <f>IFERROR(__xludf.DUMMYFUNCTION("""COMPUTED_VALUE"""),1.276E8)</f>
        <v>127600000</v>
      </c>
    </row>
    <row r="4711">
      <c r="A4711" s="2">
        <f>IFERROR(__xludf.DUMMYFUNCTION("""COMPUTED_VALUE"""),38202.666666666664)</f>
        <v>38202.66667</v>
      </c>
      <c r="B4711" s="1">
        <f>IFERROR(__xludf.DUMMYFUNCTION("""COMPUTED_VALUE"""),1106.62)</f>
        <v>1106.62</v>
      </c>
      <c r="C4711" s="1">
        <f>IFERROR(__xludf.DUMMYFUNCTION("""COMPUTED_VALUE"""),1106.62)</f>
        <v>1106.62</v>
      </c>
      <c r="D4711" s="1">
        <f>IFERROR(__xludf.DUMMYFUNCTION("""COMPUTED_VALUE"""),1099.2)</f>
        <v>1099.2</v>
      </c>
      <c r="E4711" s="1">
        <f>IFERROR(__xludf.DUMMYFUNCTION("""COMPUTED_VALUE"""),1099.69)</f>
        <v>1099.69</v>
      </c>
      <c r="F4711" s="1">
        <f>IFERROR(__xludf.DUMMYFUNCTION("""COMPUTED_VALUE"""),1.3383E8)</f>
        <v>133830000</v>
      </c>
    </row>
    <row r="4712">
      <c r="A4712" s="2">
        <f>IFERROR(__xludf.DUMMYFUNCTION("""COMPUTED_VALUE"""),38203.666666666664)</f>
        <v>38203.66667</v>
      </c>
      <c r="B4712" s="1">
        <f>IFERROR(__xludf.DUMMYFUNCTION("""COMPUTED_VALUE"""),1099.69)</f>
        <v>1099.69</v>
      </c>
      <c r="C4712" s="1">
        <f>IFERROR(__xludf.DUMMYFUNCTION("""COMPUTED_VALUE"""),1102.45)</f>
        <v>1102.45</v>
      </c>
      <c r="D4712" s="1">
        <f>IFERROR(__xludf.DUMMYFUNCTION("""COMPUTED_VALUE"""),1092.4)</f>
        <v>1092.4</v>
      </c>
      <c r="E4712" s="1">
        <f>IFERROR(__xludf.DUMMYFUNCTION("""COMPUTED_VALUE"""),1098.63)</f>
        <v>1098.63</v>
      </c>
      <c r="F4712" s="1">
        <f>IFERROR(__xludf.DUMMYFUNCTION("""COMPUTED_VALUE"""),1.3692E8)</f>
        <v>136920000</v>
      </c>
    </row>
    <row r="4713">
      <c r="A4713" s="2">
        <f>IFERROR(__xludf.DUMMYFUNCTION("""COMPUTED_VALUE"""),38204.666666666664)</f>
        <v>38204.66667</v>
      </c>
      <c r="B4713" s="1">
        <f>IFERROR(__xludf.DUMMYFUNCTION("""COMPUTED_VALUE"""),1098.63)</f>
        <v>1098.63</v>
      </c>
      <c r="C4713" s="1">
        <f>IFERROR(__xludf.DUMMYFUNCTION("""COMPUTED_VALUE"""),1098.83)</f>
        <v>1098.83</v>
      </c>
      <c r="D4713" s="1">
        <f>IFERROR(__xludf.DUMMYFUNCTION("""COMPUTED_VALUE"""),1079.98)</f>
        <v>1079.98</v>
      </c>
      <c r="E4713" s="1">
        <f>IFERROR(__xludf.DUMMYFUNCTION("""COMPUTED_VALUE"""),1080.7)</f>
        <v>1080.7</v>
      </c>
      <c r="F4713" s="1">
        <f>IFERROR(__xludf.DUMMYFUNCTION("""COMPUTED_VALUE"""),1.3974E8)</f>
        <v>139740000</v>
      </c>
    </row>
    <row r="4714">
      <c r="A4714" s="2">
        <f>IFERROR(__xludf.DUMMYFUNCTION("""COMPUTED_VALUE"""),38205.666666666664)</f>
        <v>38205.66667</v>
      </c>
      <c r="B4714" s="1">
        <f>IFERROR(__xludf.DUMMYFUNCTION("""COMPUTED_VALUE"""),1080.7)</f>
        <v>1080.7</v>
      </c>
      <c r="C4714" s="1">
        <f>IFERROR(__xludf.DUMMYFUNCTION("""COMPUTED_VALUE"""),1080.7)</f>
        <v>1080.7</v>
      </c>
      <c r="D4714" s="1">
        <f>IFERROR(__xludf.DUMMYFUNCTION("""COMPUTED_VALUE"""),1062.23)</f>
        <v>1062.23</v>
      </c>
      <c r="E4714" s="1">
        <f>IFERROR(__xludf.DUMMYFUNCTION("""COMPUTED_VALUE"""),1063.97)</f>
        <v>1063.97</v>
      </c>
      <c r="F4714" s="1">
        <f>IFERROR(__xludf.DUMMYFUNCTION("""COMPUTED_VALUE"""),1.521E8)</f>
        <v>152100000</v>
      </c>
    </row>
    <row r="4715">
      <c r="A4715" s="2">
        <f>IFERROR(__xludf.DUMMYFUNCTION("""COMPUTED_VALUE"""),38208.666666666664)</f>
        <v>38208.66667</v>
      </c>
      <c r="B4715" s="1">
        <f>IFERROR(__xludf.DUMMYFUNCTION("""COMPUTED_VALUE"""),1063.97)</f>
        <v>1063.97</v>
      </c>
      <c r="C4715" s="1">
        <f>IFERROR(__xludf.DUMMYFUNCTION("""COMPUTED_VALUE"""),1069.46)</f>
        <v>1069.46</v>
      </c>
      <c r="D4715" s="1">
        <f>IFERROR(__xludf.DUMMYFUNCTION("""COMPUTED_VALUE"""),1063.97)</f>
        <v>1063.97</v>
      </c>
      <c r="E4715" s="1">
        <f>IFERROR(__xludf.DUMMYFUNCTION("""COMPUTED_VALUE"""),1065.22)</f>
        <v>1065.22</v>
      </c>
      <c r="F4715" s="1">
        <f>IFERROR(__xludf.DUMMYFUNCTION("""COMPUTED_VALUE"""),1.086E8)</f>
        <v>108600000</v>
      </c>
    </row>
    <row r="4716">
      <c r="A4716" s="2">
        <f>IFERROR(__xludf.DUMMYFUNCTION("""COMPUTED_VALUE"""),38209.666666666664)</f>
        <v>38209.66667</v>
      </c>
      <c r="B4716" s="1">
        <f>IFERROR(__xludf.DUMMYFUNCTION("""COMPUTED_VALUE"""),1065.22)</f>
        <v>1065.22</v>
      </c>
      <c r="C4716" s="1">
        <f>IFERROR(__xludf.DUMMYFUNCTION("""COMPUTED_VALUE"""),1079.04)</f>
        <v>1079.04</v>
      </c>
      <c r="D4716" s="1">
        <f>IFERROR(__xludf.DUMMYFUNCTION("""COMPUTED_VALUE"""),1065.22)</f>
        <v>1065.22</v>
      </c>
      <c r="E4716" s="1">
        <f>IFERROR(__xludf.DUMMYFUNCTION("""COMPUTED_VALUE"""),1079.04)</f>
        <v>1079.04</v>
      </c>
      <c r="F4716" s="1">
        <f>IFERROR(__xludf.DUMMYFUNCTION("""COMPUTED_VALUE"""),1.2456E8)</f>
        <v>124560000</v>
      </c>
    </row>
    <row r="4717">
      <c r="A4717" s="2">
        <f>IFERROR(__xludf.DUMMYFUNCTION("""COMPUTED_VALUE"""),38210.666666666664)</f>
        <v>38210.66667</v>
      </c>
      <c r="B4717" s="1">
        <f>IFERROR(__xludf.DUMMYFUNCTION("""COMPUTED_VALUE"""),1079.04)</f>
        <v>1079.04</v>
      </c>
      <c r="C4717" s="1">
        <f>IFERROR(__xludf.DUMMYFUNCTION("""COMPUTED_VALUE"""),1079.04)</f>
        <v>1079.04</v>
      </c>
      <c r="D4717" s="1">
        <f>IFERROR(__xludf.DUMMYFUNCTION("""COMPUTED_VALUE"""),1065.92)</f>
        <v>1065.92</v>
      </c>
      <c r="E4717" s="1">
        <f>IFERROR(__xludf.DUMMYFUNCTION("""COMPUTED_VALUE"""),1075.79)</f>
        <v>1075.79</v>
      </c>
      <c r="F4717" s="1">
        <f>IFERROR(__xludf.DUMMYFUNCTION("""COMPUTED_VALUE"""),1.4104E8)</f>
        <v>141040000</v>
      </c>
    </row>
    <row r="4718">
      <c r="A4718" s="2">
        <f>IFERROR(__xludf.DUMMYFUNCTION("""COMPUTED_VALUE"""),38211.666666666664)</f>
        <v>38211.66667</v>
      </c>
      <c r="B4718" s="1">
        <f>IFERROR(__xludf.DUMMYFUNCTION("""COMPUTED_VALUE"""),1075.79)</f>
        <v>1075.79</v>
      </c>
      <c r="C4718" s="1">
        <f>IFERROR(__xludf.DUMMYFUNCTION("""COMPUTED_VALUE"""),1075.79)</f>
        <v>1075.79</v>
      </c>
      <c r="D4718" s="1">
        <f>IFERROR(__xludf.DUMMYFUNCTION("""COMPUTED_VALUE"""),1062.82)</f>
        <v>1062.82</v>
      </c>
      <c r="E4718" s="1">
        <f>IFERROR(__xludf.DUMMYFUNCTION("""COMPUTED_VALUE"""),1063.23)</f>
        <v>1063.23</v>
      </c>
      <c r="F4718" s="1">
        <f>IFERROR(__xludf.DUMMYFUNCTION("""COMPUTED_VALUE"""),1.4051E8)</f>
        <v>140510000</v>
      </c>
    </row>
    <row r="4719">
      <c r="A4719" s="2">
        <f>IFERROR(__xludf.DUMMYFUNCTION("""COMPUTED_VALUE"""),38212.666666666664)</f>
        <v>38212.66667</v>
      </c>
      <c r="B4719" s="1">
        <f>IFERROR(__xludf.DUMMYFUNCTION("""COMPUTED_VALUE"""),1063.23)</f>
        <v>1063.23</v>
      </c>
      <c r="C4719" s="1">
        <f>IFERROR(__xludf.DUMMYFUNCTION("""COMPUTED_VALUE"""),1067.58)</f>
        <v>1067.58</v>
      </c>
      <c r="D4719" s="1">
        <f>IFERROR(__xludf.DUMMYFUNCTION("""COMPUTED_VALUE"""),1060.72)</f>
        <v>1060.72</v>
      </c>
      <c r="E4719" s="1">
        <f>IFERROR(__xludf.DUMMYFUNCTION("""COMPUTED_VALUE"""),1064.8)</f>
        <v>1064.8</v>
      </c>
      <c r="F4719" s="1">
        <f>IFERROR(__xludf.DUMMYFUNCTION("""COMPUTED_VALUE"""),1.1751E8)</f>
        <v>117510000</v>
      </c>
    </row>
    <row r="4720">
      <c r="A4720" s="2">
        <f>IFERROR(__xludf.DUMMYFUNCTION("""COMPUTED_VALUE"""),38215.666666666664)</f>
        <v>38215.66667</v>
      </c>
      <c r="B4720" s="1">
        <f>IFERROR(__xludf.DUMMYFUNCTION("""COMPUTED_VALUE"""),1064.8)</f>
        <v>1064.8</v>
      </c>
      <c r="C4720" s="1">
        <f>IFERROR(__xludf.DUMMYFUNCTION("""COMPUTED_VALUE"""),1080.66)</f>
        <v>1080.66</v>
      </c>
      <c r="D4720" s="1">
        <f>IFERROR(__xludf.DUMMYFUNCTION("""COMPUTED_VALUE"""),1064.8)</f>
        <v>1064.8</v>
      </c>
      <c r="E4720" s="1">
        <f>IFERROR(__xludf.DUMMYFUNCTION("""COMPUTED_VALUE"""),1079.34)</f>
        <v>1079.34</v>
      </c>
      <c r="F4720" s="1">
        <f>IFERROR(__xludf.DUMMYFUNCTION("""COMPUTED_VALUE"""),1.2062E8)</f>
        <v>120620000</v>
      </c>
    </row>
    <row r="4721">
      <c r="A4721" s="2">
        <f>IFERROR(__xludf.DUMMYFUNCTION("""COMPUTED_VALUE"""),38216.666666666664)</f>
        <v>38216.66667</v>
      </c>
      <c r="B4721" s="1">
        <f>IFERROR(__xludf.DUMMYFUNCTION("""COMPUTED_VALUE"""),1079.34)</f>
        <v>1079.34</v>
      </c>
      <c r="C4721" s="1">
        <f>IFERROR(__xludf.DUMMYFUNCTION("""COMPUTED_VALUE"""),1086.96)</f>
        <v>1086.96</v>
      </c>
      <c r="D4721" s="1">
        <f>IFERROR(__xludf.DUMMYFUNCTION("""COMPUTED_VALUE"""),1079.34)</f>
        <v>1079.34</v>
      </c>
      <c r="E4721" s="1">
        <f>IFERROR(__xludf.DUMMYFUNCTION("""COMPUTED_VALUE"""),1081.71)</f>
        <v>1081.71</v>
      </c>
      <c r="F4721" s="1">
        <f>IFERROR(__xludf.DUMMYFUNCTION("""COMPUTED_VALUE"""),1.2678E8)</f>
        <v>126780000</v>
      </c>
    </row>
    <row r="4722">
      <c r="A4722" s="2">
        <f>IFERROR(__xludf.DUMMYFUNCTION("""COMPUTED_VALUE"""),38217.666666666664)</f>
        <v>38217.66667</v>
      </c>
      <c r="B4722" s="1">
        <f>IFERROR(__xludf.DUMMYFUNCTION("""COMPUTED_VALUE"""),1081.71)</f>
        <v>1081.71</v>
      </c>
      <c r="C4722" s="1">
        <f>IFERROR(__xludf.DUMMYFUNCTION("""COMPUTED_VALUE"""),1095.17)</f>
        <v>1095.17</v>
      </c>
      <c r="D4722" s="1">
        <f>IFERROR(__xludf.DUMMYFUNCTION("""COMPUTED_VALUE"""),1078.93)</f>
        <v>1078.93</v>
      </c>
      <c r="E4722" s="1">
        <f>IFERROR(__xludf.DUMMYFUNCTION("""COMPUTED_VALUE"""),1095.17)</f>
        <v>1095.17</v>
      </c>
      <c r="F4722" s="1">
        <f>IFERROR(__xludf.DUMMYFUNCTION("""COMPUTED_VALUE"""),1.2825E8)</f>
        <v>128250000</v>
      </c>
    </row>
    <row r="4723">
      <c r="A4723" s="2">
        <f>IFERROR(__xludf.DUMMYFUNCTION("""COMPUTED_VALUE"""),38218.666666666664)</f>
        <v>38218.66667</v>
      </c>
      <c r="B4723" s="1">
        <f>IFERROR(__xludf.DUMMYFUNCTION("""COMPUTED_VALUE"""),1095.17)</f>
        <v>1095.17</v>
      </c>
      <c r="C4723" s="1">
        <f>IFERROR(__xludf.DUMMYFUNCTION("""COMPUTED_VALUE"""),1095.17)</f>
        <v>1095.17</v>
      </c>
      <c r="D4723" s="1">
        <f>IFERROR(__xludf.DUMMYFUNCTION("""COMPUTED_VALUE"""),1086.28)</f>
        <v>1086.28</v>
      </c>
      <c r="E4723" s="1">
        <f>IFERROR(__xludf.DUMMYFUNCTION("""COMPUTED_VALUE"""),1091.23)</f>
        <v>1091.23</v>
      </c>
      <c r="F4723" s="1">
        <f>IFERROR(__xludf.DUMMYFUNCTION("""COMPUTED_VALUE"""),1.2494E8)</f>
        <v>124940000</v>
      </c>
    </row>
    <row r="4724">
      <c r="A4724" s="2">
        <f>IFERROR(__xludf.DUMMYFUNCTION("""COMPUTED_VALUE"""),38219.666666666664)</f>
        <v>38219.66667</v>
      </c>
      <c r="B4724" s="1">
        <f>IFERROR(__xludf.DUMMYFUNCTION("""COMPUTED_VALUE"""),1091.23)</f>
        <v>1091.23</v>
      </c>
      <c r="C4724" s="1">
        <f>IFERROR(__xludf.DUMMYFUNCTION("""COMPUTED_VALUE"""),1100.26)</f>
        <v>1100.26</v>
      </c>
      <c r="D4724" s="1">
        <f>IFERROR(__xludf.DUMMYFUNCTION("""COMPUTED_VALUE"""),1089.57)</f>
        <v>1089.57</v>
      </c>
      <c r="E4724" s="1">
        <f>IFERROR(__xludf.DUMMYFUNCTION("""COMPUTED_VALUE"""),1098.37)</f>
        <v>1098.37</v>
      </c>
      <c r="F4724" s="1">
        <f>IFERROR(__xludf.DUMMYFUNCTION("""COMPUTED_VALUE"""),1.1999E8)</f>
        <v>119990000</v>
      </c>
    </row>
    <row r="4725">
      <c r="A4725" s="2">
        <f>IFERROR(__xludf.DUMMYFUNCTION("""COMPUTED_VALUE"""),38222.666666666664)</f>
        <v>38222.66667</v>
      </c>
      <c r="B4725" s="1">
        <f>IFERROR(__xludf.DUMMYFUNCTION("""COMPUTED_VALUE"""),1098.35)</f>
        <v>1098.35</v>
      </c>
      <c r="C4725" s="1">
        <f>IFERROR(__xludf.DUMMYFUNCTION("""COMPUTED_VALUE"""),1101.4)</f>
        <v>1101.4</v>
      </c>
      <c r="D4725" s="1">
        <f>IFERROR(__xludf.DUMMYFUNCTION("""COMPUTED_VALUE"""),1094.73)</f>
        <v>1094.73</v>
      </c>
      <c r="E4725" s="1">
        <f>IFERROR(__xludf.DUMMYFUNCTION("""COMPUTED_VALUE"""),1095.68)</f>
        <v>1095.68</v>
      </c>
      <c r="F4725" s="1">
        <f>IFERROR(__xludf.DUMMYFUNCTION("""COMPUTED_VALUE"""),1.0219E8)</f>
        <v>102190000</v>
      </c>
    </row>
    <row r="4726">
      <c r="A4726" s="2">
        <f>IFERROR(__xludf.DUMMYFUNCTION("""COMPUTED_VALUE"""),38223.666666666664)</f>
        <v>38223.66667</v>
      </c>
      <c r="B4726" s="1">
        <f>IFERROR(__xludf.DUMMYFUNCTION("""COMPUTED_VALUE"""),1095.68)</f>
        <v>1095.68</v>
      </c>
      <c r="C4726" s="1">
        <f>IFERROR(__xludf.DUMMYFUNCTION("""COMPUTED_VALUE"""),1100.94)</f>
        <v>1100.94</v>
      </c>
      <c r="D4726" s="1">
        <f>IFERROR(__xludf.DUMMYFUNCTION("""COMPUTED_VALUE"""),1092.82)</f>
        <v>1092.82</v>
      </c>
      <c r="E4726" s="1">
        <f>IFERROR(__xludf.DUMMYFUNCTION("""COMPUTED_VALUE"""),1096.19)</f>
        <v>1096.19</v>
      </c>
      <c r="F4726" s="1">
        <f>IFERROR(__xludf.DUMMYFUNCTION("""COMPUTED_VALUE"""),1.0925E8)</f>
        <v>109250000</v>
      </c>
    </row>
    <row r="4727">
      <c r="A4727" s="2">
        <f>IFERROR(__xludf.DUMMYFUNCTION("""COMPUTED_VALUE"""),38224.666666666664)</f>
        <v>38224.66667</v>
      </c>
      <c r="B4727" s="1">
        <f>IFERROR(__xludf.DUMMYFUNCTION("""COMPUTED_VALUE"""),1096.19)</f>
        <v>1096.19</v>
      </c>
      <c r="C4727" s="1">
        <f>IFERROR(__xludf.DUMMYFUNCTION("""COMPUTED_VALUE"""),1106.29)</f>
        <v>1106.29</v>
      </c>
      <c r="D4727" s="1">
        <f>IFERROR(__xludf.DUMMYFUNCTION("""COMPUTED_VALUE"""),1093.24)</f>
        <v>1093.24</v>
      </c>
      <c r="E4727" s="1">
        <f>IFERROR(__xludf.DUMMYFUNCTION("""COMPUTED_VALUE"""),1104.96)</f>
        <v>1104.96</v>
      </c>
      <c r="F4727" s="1">
        <f>IFERROR(__xludf.DUMMYFUNCTION("""COMPUTED_VALUE"""),1.1922E8)</f>
        <v>119220000</v>
      </c>
    </row>
    <row r="4728">
      <c r="A4728" s="2">
        <f>IFERROR(__xludf.DUMMYFUNCTION("""COMPUTED_VALUE"""),38225.666666666664)</f>
        <v>38225.66667</v>
      </c>
      <c r="B4728" s="1">
        <f>IFERROR(__xludf.DUMMYFUNCTION("""COMPUTED_VALUE"""),1104.96)</f>
        <v>1104.96</v>
      </c>
      <c r="C4728" s="1">
        <f>IFERROR(__xludf.DUMMYFUNCTION("""COMPUTED_VALUE"""),1106.78)</f>
        <v>1106.78</v>
      </c>
      <c r="D4728" s="1">
        <f>IFERROR(__xludf.DUMMYFUNCTION("""COMPUTED_VALUE"""),1102.43)</f>
        <v>1102.43</v>
      </c>
      <c r="E4728" s="1">
        <f>IFERROR(__xludf.DUMMYFUNCTION("""COMPUTED_VALUE"""),1105.09)</f>
        <v>1105.09</v>
      </c>
      <c r="F4728" s="1">
        <f>IFERROR(__xludf.DUMMYFUNCTION("""COMPUTED_VALUE"""),1.0236E8)</f>
        <v>102360000</v>
      </c>
    </row>
    <row r="4729">
      <c r="A4729" s="2">
        <f>IFERROR(__xludf.DUMMYFUNCTION("""COMPUTED_VALUE"""),38226.666666666664)</f>
        <v>38226.66667</v>
      </c>
      <c r="B4729" s="1">
        <f>IFERROR(__xludf.DUMMYFUNCTION("""COMPUTED_VALUE"""),1105.09)</f>
        <v>1105.09</v>
      </c>
      <c r="C4729" s="1">
        <f>IFERROR(__xludf.DUMMYFUNCTION("""COMPUTED_VALUE"""),1109.68)</f>
        <v>1109.68</v>
      </c>
      <c r="D4729" s="1">
        <f>IFERROR(__xludf.DUMMYFUNCTION("""COMPUTED_VALUE"""),1104.61)</f>
        <v>1104.61</v>
      </c>
      <c r="E4729" s="1">
        <f>IFERROR(__xludf.DUMMYFUNCTION("""COMPUTED_VALUE"""),1107.77)</f>
        <v>1107.77</v>
      </c>
      <c r="F4729" s="1">
        <f>IFERROR(__xludf.DUMMYFUNCTION("""COMPUTED_VALUE"""),3.454E7)</f>
        <v>34540000</v>
      </c>
    </row>
    <row r="4730">
      <c r="A4730" s="2">
        <f>IFERROR(__xludf.DUMMYFUNCTION("""COMPUTED_VALUE"""),38229.666666666664)</f>
        <v>38229.66667</v>
      </c>
      <c r="B4730" s="1">
        <f>IFERROR(__xludf.DUMMYFUNCTION("""COMPUTED_VALUE"""),1107.77)</f>
        <v>1107.77</v>
      </c>
      <c r="C4730" s="1">
        <f>IFERROR(__xludf.DUMMYFUNCTION("""COMPUTED_VALUE"""),1107.77)</f>
        <v>1107.77</v>
      </c>
      <c r="D4730" s="1">
        <f>IFERROR(__xludf.DUMMYFUNCTION("""COMPUTED_VALUE"""),1099.15)</f>
        <v>1099.15</v>
      </c>
      <c r="E4730" s="1">
        <f>IFERROR(__xludf.DUMMYFUNCTION("""COMPUTED_VALUE"""),1099.15)</f>
        <v>1099.15</v>
      </c>
      <c r="F4730" s="1">
        <f>IFERROR(__xludf.DUMMYFUNCTION("""COMPUTED_VALUE"""),3.431E7)</f>
        <v>34310000</v>
      </c>
    </row>
    <row r="4731">
      <c r="A4731" s="2">
        <f>IFERROR(__xludf.DUMMYFUNCTION("""COMPUTED_VALUE"""),38230.666666666664)</f>
        <v>38230.66667</v>
      </c>
      <c r="B4731" s="1">
        <f>IFERROR(__xludf.DUMMYFUNCTION("""COMPUTED_VALUE"""),1099.15)</f>
        <v>1099.15</v>
      </c>
      <c r="C4731" s="1">
        <f>IFERROR(__xludf.DUMMYFUNCTION("""COMPUTED_VALUE"""),1104.24)</f>
        <v>1104.24</v>
      </c>
      <c r="D4731" s="1">
        <f>IFERROR(__xludf.DUMMYFUNCTION("""COMPUTED_VALUE"""),1094.72)</f>
        <v>1094.72</v>
      </c>
      <c r="E4731" s="1">
        <f>IFERROR(__xludf.DUMMYFUNCTION("""COMPUTED_VALUE"""),1104.24)</f>
        <v>1104.24</v>
      </c>
      <c r="F4731" s="1">
        <f>IFERROR(__xludf.DUMMYFUNCTION("""COMPUTED_VALUE"""),1.1382E8)</f>
        <v>113820000</v>
      </c>
    </row>
    <row r="4732">
      <c r="A4732" s="2">
        <f>IFERROR(__xludf.DUMMYFUNCTION("""COMPUTED_VALUE"""),38231.666666666664)</f>
        <v>38231.66667</v>
      </c>
      <c r="B4732" s="1">
        <f>IFERROR(__xludf.DUMMYFUNCTION("""COMPUTED_VALUE"""),1104.24)</f>
        <v>1104.24</v>
      </c>
      <c r="C4732" s="1">
        <f>IFERROR(__xludf.DUMMYFUNCTION("""COMPUTED_VALUE"""),1109.25)</f>
        <v>1109.25</v>
      </c>
      <c r="D4732" s="1">
        <f>IFERROR(__xludf.DUMMYFUNCTION("""COMPUTED_VALUE"""),1099.11)</f>
        <v>1099.11</v>
      </c>
      <c r="E4732" s="1">
        <f>IFERROR(__xludf.DUMMYFUNCTION("""COMPUTED_VALUE"""),1105.92)</f>
        <v>1105.92</v>
      </c>
      <c r="F4732" s="1">
        <f>IFERROR(__xludf.DUMMYFUNCTION("""COMPUTED_VALUE"""),1.1421E8)</f>
        <v>114210000</v>
      </c>
    </row>
    <row r="4733">
      <c r="A4733" s="2">
        <f>IFERROR(__xludf.DUMMYFUNCTION("""COMPUTED_VALUE"""),38232.666666666664)</f>
        <v>38232.66667</v>
      </c>
      <c r="B4733" s="1">
        <f>IFERROR(__xludf.DUMMYFUNCTION("""COMPUTED_VALUE"""),1105.91)</f>
        <v>1105.91</v>
      </c>
      <c r="C4733" s="1">
        <f>IFERROR(__xludf.DUMMYFUNCTION("""COMPUTED_VALUE"""),1119.11)</f>
        <v>1119.11</v>
      </c>
      <c r="D4733" s="1">
        <f>IFERROR(__xludf.DUMMYFUNCTION("""COMPUTED_VALUE"""),1105.6)</f>
        <v>1105.6</v>
      </c>
      <c r="E4733" s="1">
        <f>IFERROR(__xludf.DUMMYFUNCTION("""COMPUTED_VALUE"""),1118.31)</f>
        <v>1118.31</v>
      </c>
      <c r="F4733" s="1">
        <f>IFERROR(__xludf.DUMMYFUNCTION("""COMPUTED_VALUE"""),1.1184E8)</f>
        <v>111840000</v>
      </c>
    </row>
    <row r="4734">
      <c r="A4734" s="2">
        <f>IFERROR(__xludf.DUMMYFUNCTION("""COMPUTED_VALUE"""),38233.666666666664)</f>
        <v>38233.66667</v>
      </c>
      <c r="B4734" s="1">
        <f>IFERROR(__xludf.DUMMYFUNCTION("""COMPUTED_VALUE"""),1118.31)</f>
        <v>1118.31</v>
      </c>
      <c r="C4734" s="1">
        <f>IFERROR(__xludf.DUMMYFUNCTION("""COMPUTED_VALUE"""),1120.8)</f>
        <v>1120.8</v>
      </c>
      <c r="D4734" s="1">
        <f>IFERROR(__xludf.DUMMYFUNCTION("""COMPUTED_VALUE"""),1113.57)</f>
        <v>1113.57</v>
      </c>
      <c r="E4734" s="1">
        <f>IFERROR(__xludf.DUMMYFUNCTION("""COMPUTED_VALUE"""),1113.63)</f>
        <v>1113.63</v>
      </c>
      <c r="F4734" s="1">
        <f>IFERROR(__xludf.DUMMYFUNCTION("""COMPUTED_VALUE"""),4.2417E7)</f>
        <v>42417000</v>
      </c>
    </row>
    <row r="4735">
      <c r="A4735" s="2">
        <f>IFERROR(__xludf.DUMMYFUNCTION("""COMPUTED_VALUE"""),38237.666666666664)</f>
        <v>38237.66667</v>
      </c>
      <c r="B4735" s="1">
        <f>IFERROR(__xludf.DUMMYFUNCTION("""COMPUTED_VALUE"""),1113.63)</f>
        <v>1113.63</v>
      </c>
      <c r="C4735" s="1">
        <f>IFERROR(__xludf.DUMMYFUNCTION("""COMPUTED_VALUE"""),1124.08)</f>
        <v>1124.08</v>
      </c>
      <c r="D4735" s="1">
        <f>IFERROR(__xludf.DUMMYFUNCTION("""COMPUTED_VALUE"""),1113.63)</f>
        <v>1113.63</v>
      </c>
      <c r="E4735" s="1">
        <f>IFERROR(__xludf.DUMMYFUNCTION("""COMPUTED_VALUE"""),1121.29)</f>
        <v>1121.29</v>
      </c>
      <c r="F4735" s="1">
        <f>IFERROR(__xludf.DUMMYFUNCTION("""COMPUTED_VALUE"""),1.2144E8)</f>
        <v>121440000</v>
      </c>
    </row>
    <row r="4736">
      <c r="A4736" s="2">
        <f>IFERROR(__xludf.DUMMYFUNCTION("""COMPUTED_VALUE"""),38238.666666666664)</f>
        <v>38238.66667</v>
      </c>
      <c r="B4736" s="1">
        <f>IFERROR(__xludf.DUMMYFUNCTION("""COMPUTED_VALUE"""),1121.3)</f>
        <v>1121.3</v>
      </c>
      <c r="C4736" s="1">
        <f>IFERROR(__xludf.DUMMYFUNCTION("""COMPUTED_VALUE"""),1123.05)</f>
        <v>1123.05</v>
      </c>
      <c r="D4736" s="1">
        <f>IFERROR(__xludf.DUMMYFUNCTION("""COMPUTED_VALUE"""),1116.27)</f>
        <v>1116.27</v>
      </c>
      <c r="E4736" s="1">
        <f>IFERROR(__xludf.DUMMYFUNCTION("""COMPUTED_VALUE"""),1116.27)</f>
        <v>1116.27</v>
      </c>
      <c r="F4736" s="1">
        <f>IFERROR(__xludf.DUMMYFUNCTION("""COMPUTED_VALUE"""),1.2463E8)</f>
        <v>124630000</v>
      </c>
    </row>
    <row r="4737">
      <c r="A4737" s="2">
        <f>IFERROR(__xludf.DUMMYFUNCTION("""COMPUTED_VALUE"""),38239.666666666664)</f>
        <v>38239.66667</v>
      </c>
      <c r="B4737" s="1">
        <f>IFERROR(__xludf.DUMMYFUNCTION("""COMPUTED_VALUE"""),1116.27)</f>
        <v>1116.27</v>
      </c>
      <c r="C4737" s="1">
        <f>IFERROR(__xludf.DUMMYFUNCTION("""COMPUTED_VALUE"""),1121.3)</f>
        <v>1121.3</v>
      </c>
      <c r="D4737" s="1">
        <f>IFERROR(__xludf.DUMMYFUNCTION("""COMPUTED_VALUE"""),1113.62)</f>
        <v>1113.62</v>
      </c>
      <c r="E4737" s="1">
        <f>IFERROR(__xludf.DUMMYFUNCTION("""COMPUTED_VALUE"""),1118.38)</f>
        <v>1118.38</v>
      </c>
      <c r="F4737" s="1">
        <f>IFERROR(__xludf.DUMMYFUNCTION("""COMPUTED_VALUE"""),1.3713E8)</f>
        <v>137130000</v>
      </c>
    </row>
    <row r="4738">
      <c r="A4738" s="2">
        <f>IFERROR(__xludf.DUMMYFUNCTION("""COMPUTED_VALUE"""),38240.666666666664)</f>
        <v>38240.66667</v>
      </c>
      <c r="B4738" s="1">
        <f>IFERROR(__xludf.DUMMYFUNCTION("""COMPUTED_VALUE"""),1118.38)</f>
        <v>1118.38</v>
      </c>
      <c r="C4738" s="1">
        <f>IFERROR(__xludf.DUMMYFUNCTION("""COMPUTED_VALUE"""),1125.26)</f>
        <v>1125.26</v>
      </c>
      <c r="D4738" s="1">
        <f>IFERROR(__xludf.DUMMYFUNCTION("""COMPUTED_VALUE"""),1114.39)</f>
        <v>1114.39</v>
      </c>
      <c r="E4738" s="1">
        <f>IFERROR(__xludf.DUMMYFUNCTION("""COMPUTED_VALUE"""),1123.92)</f>
        <v>1123.92</v>
      </c>
      <c r="F4738" s="1">
        <f>IFERROR(__xludf.DUMMYFUNCTION("""COMPUTED_VALUE"""),1.2612E8)</f>
        <v>126120000</v>
      </c>
    </row>
    <row r="4739">
      <c r="A4739" s="2">
        <f>IFERROR(__xludf.DUMMYFUNCTION("""COMPUTED_VALUE"""),38243.666666666664)</f>
        <v>38243.66667</v>
      </c>
      <c r="B4739" s="1">
        <f>IFERROR(__xludf.DUMMYFUNCTION("""COMPUTED_VALUE"""),1123.92)</f>
        <v>1123.92</v>
      </c>
      <c r="C4739" s="1">
        <f>IFERROR(__xludf.DUMMYFUNCTION("""COMPUTED_VALUE"""),1129.78)</f>
        <v>1129.78</v>
      </c>
      <c r="D4739" s="1">
        <f>IFERROR(__xludf.DUMMYFUNCTION("""COMPUTED_VALUE"""),1123.35)</f>
        <v>1123.35</v>
      </c>
      <c r="E4739" s="1">
        <f>IFERROR(__xludf.DUMMYFUNCTION("""COMPUTED_VALUE"""),1125.81)</f>
        <v>1125.81</v>
      </c>
      <c r="F4739" s="1">
        <f>IFERROR(__xludf.DUMMYFUNCTION("""COMPUTED_VALUE"""),1.2998E8)</f>
        <v>129980000</v>
      </c>
    </row>
    <row r="4740">
      <c r="A4740" s="2">
        <f>IFERROR(__xludf.DUMMYFUNCTION("""COMPUTED_VALUE"""),38244.666666666664)</f>
        <v>38244.66667</v>
      </c>
      <c r="B4740" s="1">
        <f>IFERROR(__xludf.DUMMYFUNCTION("""COMPUTED_VALUE"""),1125.82)</f>
        <v>1125.82</v>
      </c>
      <c r="C4740" s="1">
        <f>IFERROR(__xludf.DUMMYFUNCTION("""COMPUTED_VALUE"""),1129.46)</f>
        <v>1129.46</v>
      </c>
      <c r="D4740" s="1">
        <f>IFERROR(__xludf.DUMMYFUNCTION("""COMPUTED_VALUE"""),1124.72)</f>
        <v>1124.72</v>
      </c>
      <c r="E4740" s="1">
        <f>IFERROR(__xludf.DUMMYFUNCTION("""COMPUTED_VALUE"""),1128.31)</f>
        <v>1128.31</v>
      </c>
      <c r="F4740" s="1">
        <f>IFERROR(__xludf.DUMMYFUNCTION("""COMPUTED_VALUE"""),1.2045E8)</f>
        <v>120450000</v>
      </c>
    </row>
    <row r="4741">
      <c r="A4741" s="2">
        <f>IFERROR(__xludf.DUMMYFUNCTION("""COMPUTED_VALUE"""),38245.666666666664)</f>
        <v>38245.66667</v>
      </c>
      <c r="B4741" s="1">
        <f>IFERROR(__xludf.DUMMYFUNCTION("""COMPUTED_VALUE"""),1128.33)</f>
        <v>1128.33</v>
      </c>
      <c r="C4741" s="1">
        <f>IFERROR(__xludf.DUMMYFUNCTION("""COMPUTED_VALUE"""),1128.33)</f>
        <v>1128.33</v>
      </c>
      <c r="D4741" s="1">
        <f>IFERROR(__xludf.DUMMYFUNCTION("""COMPUTED_VALUE"""),1119.74)</f>
        <v>1119.74</v>
      </c>
      <c r="E4741" s="1">
        <f>IFERROR(__xludf.DUMMYFUNCTION("""COMPUTED_VALUE"""),1120.37)</f>
        <v>1120.37</v>
      </c>
      <c r="F4741" s="1">
        <f>IFERROR(__xludf.DUMMYFUNCTION("""COMPUTED_VALUE"""),1.256E8)</f>
        <v>125600000</v>
      </c>
    </row>
    <row r="4742">
      <c r="A4742" s="2">
        <f>IFERROR(__xludf.DUMMYFUNCTION("""COMPUTED_VALUE"""),38246.666666666664)</f>
        <v>38246.66667</v>
      </c>
      <c r="B4742" s="1">
        <f>IFERROR(__xludf.DUMMYFUNCTION("""COMPUTED_VALUE"""),1120.37)</f>
        <v>1120.37</v>
      </c>
      <c r="C4742" s="1">
        <f>IFERROR(__xludf.DUMMYFUNCTION("""COMPUTED_VALUE"""),1126.06)</f>
        <v>1126.06</v>
      </c>
      <c r="D4742" s="1">
        <f>IFERROR(__xludf.DUMMYFUNCTION("""COMPUTED_VALUE"""),1120.37)</f>
        <v>1120.37</v>
      </c>
      <c r="E4742" s="1">
        <f>IFERROR(__xludf.DUMMYFUNCTION("""COMPUTED_VALUE"""),1123.5)</f>
        <v>1123.5</v>
      </c>
      <c r="F4742" s="1">
        <f>IFERROR(__xludf.DUMMYFUNCTION("""COMPUTED_VALUE"""),1.1139E8)</f>
        <v>111390000</v>
      </c>
    </row>
    <row r="4743">
      <c r="A4743" s="2">
        <f>IFERROR(__xludf.DUMMYFUNCTION("""COMPUTED_VALUE"""),38247.666666666664)</f>
        <v>38247.66667</v>
      </c>
      <c r="B4743" s="1">
        <f>IFERROR(__xludf.DUMMYFUNCTION("""COMPUTED_VALUE"""),1123.5)</f>
        <v>1123.5</v>
      </c>
      <c r="C4743" s="1">
        <f>IFERROR(__xludf.DUMMYFUNCTION("""COMPUTED_VALUE"""),1130.48)</f>
        <v>1130.48</v>
      </c>
      <c r="D4743" s="1">
        <f>IFERROR(__xludf.DUMMYFUNCTION("""COMPUTED_VALUE"""),1123.5)</f>
        <v>1123.5</v>
      </c>
      <c r="E4743" s="1">
        <f>IFERROR(__xludf.DUMMYFUNCTION("""COMPUTED_VALUE"""),1128.55)</f>
        <v>1128.55</v>
      </c>
      <c r="F4743" s="1">
        <f>IFERROR(__xludf.DUMMYFUNCTION("""COMPUTED_VALUE"""),1.4226E8)</f>
        <v>142260000</v>
      </c>
    </row>
    <row r="4744">
      <c r="A4744" s="2">
        <f>IFERROR(__xludf.DUMMYFUNCTION("""COMPUTED_VALUE"""),38250.666666666664)</f>
        <v>38250.66667</v>
      </c>
      <c r="B4744" s="1">
        <f>IFERROR(__xludf.DUMMYFUNCTION("""COMPUTED_VALUE"""),1128.55)</f>
        <v>1128.55</v>
      </c>
      <c r="C4744" s="1">
        <f>IFERROR(__xludf.DUMMYFUNCTION("""COMPUTED_VALUE"""),1128.55)</f>
        <v>1128.55</v>
      </c>
      <c r="D4744" s="1">
        <f>IFERROR(__xludf.DUMMYFUNCTION("""COMPUTED_VALUE"""),1120.34)</f>
        <v>1120.34</v>
      </c>
      <c r="E4744" s="1">
        <f>IFERROR(__xludf.DUMMYFUNCTION("""COMPUTED_VALUE"""),1122.2)</f>
        <v>1122.2</v>
      </c>
      <c r="F4744" s="1">
        <f>IFERROR(__xludf.DUMMYFUNCTION("""COMPUTED_VALUE"""),1.1976E8)</f>
        <v>119760000</v>
      </c>
    </row>
    <row r="4745">
      <c r="A4745" s="2">
        <f>IFERROR(__xludf.DUMMYFUNCTION("""COMPUTED_VALUE"""),38251.666666666664)</f>
        <v>38251.66667</v>
      </c>
      <c r="B4745" s="1">
        <f>IFERROR(__xludf.DUMMYFUNCTION("""COMPUTED_VALUE"""),1122.2)</f>
        <v>1122.2</v>
      </c>
      <c r="C4745" s="1">
        <f>IFERROR(__xludf.DUMMYFUNCTION("""COMPUTED_VALUE"""),1131.54)</f>
        <v>1131.54</v>
      </c>
      <c r="D4745" s="1">
        <f>IFERROR(__xludf.DUMMYFUNCTION("""COMPUTED_VALUE"""),1122.2)</f>
        <v>1122.2</v>
      </c>
      <c r="E4745" s="1">
        <f>IFERROR(__xludf.DUMMYFUNCTION("""COMPUTED_VALUE"""),1129.3)</f>
        <v>1129.3</v>
      </c>
      <c r="F4745" s="1">
        <f>IFERROR(__xludf.DUMMYFUNCTION("""COMPUTED_VALUE"""),1.325E8)</f>
        <v>132500000</v>
      </c>
    </row>
    <row r="4746">
      <c r="A4746" s="2">
        <f>IFERROR(__xludf.DUMMYFUNCTION("""COMPUTED_VALUE"""),38252.666666666664)</f>
        <v>38252.66667</v>
      </c>
      <c r="B4746" s="1">
        <f>IFERROR(__xludf.DUMMYFUNCTION("""COMPUTED_VALUE"""),1129.3)</f>
        <v>1129.3</v>
      </c>
      <c r="C4746" s="1">
        <f>IFERROR(__xludf.DUMMYFUNCTION("""COMPUTED_VALUE"""),1129.3)</f>
        <v>1129.3</v>
      </c>
      <c r="D4746" s="1">
        <f>IFERROR(__xludf.DUMMYFUNCTION("""COMPUTED_VALUE"""),1112.67)</f>
        <v>1112.67</v>
      </c>
      <c r="E4746" s="1">
        <f>IFERROR(__xludf.DUMMYFUNCTION("""COMPUTED_VALUE"""),1113.56)</f>
        <v>1113.56</v>
      </c>
      <c r="F4746" s="1">
        <f>IFERROR(__xludf.DUMMYFUNCTION("""COMPUTED_VALUE"""),1.3799E8)</f>
        <v>137990000</v>
      </c>
    </row>
    <row r="4747">
      <c r="A4747" s="2">
        <f>IFERROR(__xludf.DUMMYFUNCTION("""COMPUTED_VALUE"""),38253.666666666664)</f>
        <v>38253.66667</v>
      </c>
      <c r="B4747" s="1">
        <f>IFERROR(__xludf.DUMMYFUNCTION("""COMPUTED_VALUE"""),1113.56)</f>
        <v>1113.56</v>
      </c>
      <c r="C4747" s="1">
        <f>IFERROR(__xludf.DUMMYFUNCTION("""COMPUTED_VALUE"""),1113.61)</f>
        <v>1113.61</v>
      </c>
      <c r="D4747" s="1">
        <f>IFERROR(__xludf.DUMMYFUNCTION("""COMPUTED_VALUE"""),1108.05)</f>
        <v>1108.05</v>
      </c>
      <c r="E4747" s="1">
        <f>IFERROR(__xludf.DUMMYFUNCTION("""COMPUTED_VALUE"""),1108.36)</f>
        <v>1108.36</v>
      </c>
      <c r="F4747" s="1">
        <f>IFERROR(__xludf.DUMMYFUNCTION("""COMPUTED_VALUE"""),1.2863E8)</f>
        <v>128630000</v>
      </c>
    </row>
    <row r="4748">
      <c r="A4748" s="2">
        <f>IFERROR(__xludf.DUMMYFUNCTION("""COMPUTED_VALUE"""),38254.666666666664)</f>
        <v>38254.66667</v>
      </c>
      <c r="B4748" s="1">
        <f>IFERROR(__xludf.DUMMYFUNCTION("""COMPUTED_VALUE"""),1108.36)</f>
        <v>1108.36</v>
      </c>
      <c r="C4748" s="1">
        <f>IFERROR(__xludf.DUMMYFUNCTION("""COMPUTED_VALUE"""),1113.81)</f>
        <v>1113.81</v>
      </c>
      <c r="D4748" s="1">
        <f>IFERROR(__xludf.DUMMYFUNCTION("""COMPUTED_VALUE"""),1108.36)</f>
        <v>1108.36</v>
      </c>
      <c r="E4748" s="1">
        <f>IFERROR(__xludf.DUMMYFUNCTION("""COMPUTED_VALUE"""),1110.11)</f>
        <v>1110.11</v>
      </c>
      <c r="F4748" s="1">
        <f>IFERROR(__xludf.DUMMYFUNCTION("""COMPUTED_VALUE"""),1.2554E8)</f>
        <v>125540000</v>
      </c>
    </row>
    <row r="4749">
      <c r="A4749" s="2">
        <f>IFERROR(__xludf.DUMMYFUNCTION("""COMPUTED_VALUE"""),38257.666666666664)</f>
        <v>38257.66667</v>
      </c>
      <c r="B4749" s="1">
        <f>IFERROR(__xludf.DUMMYFUNCTION("""COMPUTED_VALUE"""),1110.11)</f>
        <v>1110.11</v>
      </c>
      <c r="C4749" s="1">
        <f>IFERROR(__xludf.DUMMYFUNCTION("""COMPUTED_VALUE"""),1110.11)</f>
        <v>1110.11</v>
      </c>
      <c r="D4749" s="1">
        <f>IFERROR(__xludf.DUMMYFUNCTION("""COMPUTED_VALUE"""),1103.24)</f>
        <v>1103.24</v>
      </c>
      <c r="E4749" s="1">
        <f>IFERROR(__xludf.DUMMYFUNCTION("""COMPUTED_VALUE"""),1103.56)</f>
        <v>1103.56</v>
      </c>
      <c r="F4749" s="1">
        <f>IFERROR(__xludf.DUMMYFUNCTION("""COMPUTED_VALUE"""),1.2635E8)</f>
        <v>126350000</v>
      </c>
    </row>
    <row r="4750">
      <c r="A4750" s="2">
        <f>IFERROR(__xludf.DUMMYFUNCTION("""COMPUTED_VALUE"""),38258.666666666664)</f>
        <v>38258.66667</v>
      </c>
      <c r="B4750" s="1">
        <f>IFERROR(__xludf.DUMMYFUNCTION("""COMPUTED_VALUE"""),1103.52)</f>
        <v>1103.52</v>
      </c>
      <c r="C4750" s="1">
        <f>IFERROR(__xludf.DUMMYFUNCTION("""COMPUTED_VALUE"""),1111.77)</f>
        <v>1111.77</v>
      </c>
      <c r="D4750" s="1">
        <f>IFERROR(__xludf.DUMMYFUNCTION("""COMPUTED_VALUE"""),1101.29)</f>
        <v>1101.29</v>
      </c>
      <c r="E4750" s="1">
        <f>IFERROR(__xludf.DUMMYFUNCTION("""COMPUTED_VALUE"""),1110.06)</f>
        <v>1110.06</v>
      </c>
      <c r="F4750" s="1">
        <f>IFERROR(__xludf.DUMMYFUNCTION("""COMPUTED_VALUE"""),1.3966E8)</f>
        <v>139660000</v>
      </c>
    </row>
    <row r="4751">
      <c r="A4751" s="2">
        <f>IFERROR(__xludf.DUMMYFUNCTION("""COMPUTED_VALUE"""),38259.666666666664)</f>
        <v>38259.66667</v>
      </c>
      <c r="B4751" s="1">
        <f>IFERROR(__xludf.DUMMYFUNCTION("""COMPUTED_VALUE"""),1110.06)</f>
        <v>1110.06</v>
      </c>
      <c r="C4751" s="1">
        <f>IFERROR(__xludf.DUMMYFUNCTION("""COMPUTED_VALUE"""),1114.8)</f>
        <v>1114.8</v>
      </c>
      <c r="D4751" s="1">
        <f>IFERROR(__xludf.DUMMYFUNCTION("""COMPUTED_VALUE"""),1107.36)</f>
        <v>1107.36</v>
      </c>
      <c r="E4751" s="1">
        <f>IFERROR(__xludf.DUMMYFUNCTION("""COMPUTED_VALUE"""),1114.8)</f>
        <v>1114.8</v>
      </c>
      <c r="F4751" s="1">
        <f>IFERROR(__xludf.DUMMYFUNCTION("""COMPUTED_VALUE"""),1.4029E8)</f>
        <v>140290000</v>
      </c>
    </row>
    <row r="4752">
      <c r="A4752" s="2">
        <f>IFERROR(__xludf.DUMMYFUNCTION("""COMPUTED_VALUE"""),38260.666666666664)</f>
        <v>38260.66667</v>
      </c>
      <c r="B4752" s="1">
        <f>IFERROR(__xludf.DUMMYFUNCTION("""COMPUTED_VALUE"""),1114.8)</f>
        <v>1114.8</v>
      </c>
      <c r="C4752" s="1">
        <f>IFERROR(__xludf.DUMMYFUNCTION("""COMPUTED_VALUE"""),1116.31)</f>
        <v>1116.31</v>
      </c>
      <c r="D4752" s="1">
        <f>IFERROR(__xludf.DUMMYFUNCTION("""COMPUTED_VALUE"""),1109.61)</f>
        <v>1109.61</v>
      </c>
      <c r="E4752" s="1">
        <f>IFERROR(__xludf.DUMMYFUNCTION("""COMPUTED_VALUE"""),1114.56)</f>
        <v>1114.56</v>
      </c>
      <c r="F4752" s="1">
        <f>IFERROR(__xludf.DUMMYFUNCTION("""COMPUTED_VALUE"""),1.748E8)</f>
        <v>174800000</v>
      </c>
    </row>
    <row r="4753">
      <c r="A4753" s="2">
        <f>IFERROR(__xludf.DUMMYFUNCTION("""COMPUTED_VALUE"""),38261.666666666664)</f>
        <v>38261.66667</v>
      </c>
      <c r="B4753" s="1">
        <f>IFERROR(__xludf.DUMMYFUNCTION("""COMPUTED_VALUE"""),1114.58)</f>
        <v>1114.58</v>
      </c>
      <c r="C4753" s="1">
        <f>IFERROR(__xludf.DUMMYFUNCTION("""COMPUTED_VALUE"""),1131.64)</f>
        <v>1131.64</v>
      </c>
      <c r="D4753" s="1">
        <f>IFERROR(__xludf.DUMMYFUNCTION("""COMPUTED_VALUE"""),1114.58)</f>
        <v>1114.58</v>
      </c>
      <c r="E4753" s="1">
        <f>IFERROR(__xludf.DUMMYFUNCTION("""COMPUTED_VALUE"""),1131.5)</f>
        <v>1131.5</v>
      </c>
      <c r="F4753" s="1">
        <f>IFERROR(__xludf.DUMMYFUNCTION("""COMPUTED_VALUE"""),1.5822E8)</f>
        <v>158220000</v>
      </c>
    </row>
    <row r="4754">
      <c r="A4754" s="2">
        <f>IFERROR(__xludf.DUMMYFUNCTION("""COMPUTED_VALUE"""),38264.666666666664)</f>
        <v>38264.66667</v>
      </c>
      <c r="B4754" s="1">
        <f>IFERROR(__xludf.DUMMYFUNCTION("""COMPUTED_VALUE"""),1131.5)</f>
        <v>1131.5</v>
      </c>
      <c r="C4754" s="1">
        <f>IFERROR(__xludf.DUMMYFUNCTION("""COMPUTED_VALUE"""),1140.19)</f>
        <v>1140.19</v>
      </c>
      <c r="D4754" s="1">
        <f>IFERROR(__xludf.DUMMYFUNCTION("""COMPUTED_VALUE"""),1131.5)</f>
        <v>1131.5</v>
      </c>
      <c r="E4754" s="1">
        <f>IFERROR(__xludf.DUMMYFUNCTION("""COMPUTED_VALUE"""),1135.17)</f>
        <v>1135.17</v>
      </c>
      <c r="F4754" s="1">
        <f>IFERROR(__xludf.DUMMYFUNCTION("""COMPUTED_VALUE"""),1.534E8)</f>
        <v>153400000</v>
      </c>
    </row>
    <row r="4755">
      <c r="A4755" s="2">
        <f>IFERROR(__xludf.DUMMYFUNCTION("""COMPUTED_VALUE"""),38265.666666666664)</f>
        <v>38265.66667</v>
      </c>
      <c r="B4755" s="1">
        <f>IFERROR(__xludf.DUMMYFUNCTION("""COMPUTED_VALUE"""),1135.17)</f>
        <v>1135.17</v>
      </c>
      <c r="C4755" s="1">
        <f>IFERROR(__xludf.DUMMYFUNCTION("""COMPUTED_VALUE"""),1137.87)</f>
        <v>1137.87</v>
      </c>
      <c r="D4755" s="1">
        <f>IFERROR(__xludf.DUMMYFUNCTION("""COMPUTED_VALUE"""),1132.03)</f>
        <v>1132.03</v>
      </c>
      <c r="E4755" s="1">
        <f>IFERROR(__xludf.DUMMYFUNCTION("""COMPUTED_VALUE"""),1134.48)</f>
        <v>1134.48</v>
      </c>
      <c r="F4755" s="1">
        <f>IFERROR(__xludf.DUMMYFUNCTION("""COMPUTED_VALUE"""),1.4184E8)</f>
        <v>141840000</v>
      </c>
    </row>
    <row r="4756">
      <c r="A4756" s="2">
        <f>IFERROR(__xludf.DUMMYFUNCTION("""COMPUTED_VALUE"""),38266.666666666664)</f>
        <v>38266.66667</v>
      </c>
      <c r="B4756" s="1">
        <f>IFERROR(__xludf.DUMMYFUNCTION("""COMPUTED_VALUE"""),1134.48)</f>
        <v>1134.48</v>
      </c>
      <c r="C4756" s="1">
        <f>IFERROR(__xludf.DUMMYFUNCTION("""COMPUTED_VALUE"""),1142.05)</f>
        <v>1142.05</v>
      </c>
      <c r="D4756" s="1">
        <f>IFERROR(__xludf.DUMMYFUNCTION("""COMPUTED_VALUE"""),1132.94)</f>
        <v>1132.94</v>
      </c>
      <c r="E4756" s="1">
        <f>IFERROR(__xludf.DUMMYFUNCTION("""COMPUTED_VALUE"""),1142.05)</f>
        <v>1142.05</v>
      </c>
      <c r="F4756" s="1">
        <f>IFERROR(__xludf.DUMMYFUNCTION("""COMPUTED_VALUE"""),1.4167E8)</f>
        <v>141670000</v>
      </c>
    </row>
    <row r="4757">
      <c r="A4757" s="2">
        <f>IFERROR(__xludf.DUMMYFUNCTION("""COMPUTED_VALUE"""),38267.666666666664)</f>
        <v>38267.66667</v>
      </c>
      <c r="B4757" s="1">
        <f>IFERROR(__xludf.DUMMYFUNCTION("""COMPUTED_VALUE"""),1142.05)</f>
        <v>1142.05</v>
      </c>
      <c r="C4757" s="1">
        <f>IFERROR(__xludf.DUMMYFUNCTION("""COMPUTED_VALUE"""),1142.05)</f>
        <v>1142.05</v>
      </c>
      <c r="D4757" s="1">
        <f>IFERROR(__xludf.DUMMYFUNCTION("""COMPUTED_VALUE"""),1130.46)</f>
        <v>1130.46</v>
      </c>
      <c r="E4757" s="1">
        <f>IFERROR(__xludf.DUMMYFUNCTION("""COMPUTED_VALUE"""),1130.65)</f>
        <v>1130.65</v>
      </c>
      <c r="F4757" s="1">
        <f>IFERROR(__xludf.DUMMYFUNCTION("""COMPUTED_VALUE"""),1.4475E8)</f>
        <v>144750000</v>
      </c>
    </row>
    <row r="4758">
      <c r="A4758" s="2">
        <f>IFERROR(__xludf.DUMMYFUNCTION("""COMPUTED_VALUE"""),38268.666666666664)</f>
        <v>38268.66667</v>
      </c>
      <c r="B4758" s="1">
        <f>IFERROR(__xludf.DUMMYFUNCTION("""COMPUTED_VALUE"""),1130.65)</f>
        <v>1130.65</v>
      </c>
      <c r="C4758" s="1">
        <f>IFERROR(__xludf.DUMMYFUNCTION("""COMPUTED_VALUE"""),1132.92)</f>
        <v>1132.92</v>
      </c>
      <c r="D4758" s="1">
        <f>IFERROR(__xludf.DUMMYFUNCTION("""COMPUTED_VALUE"""),1120.19)</f>
        <v>1120.19</v>
      </c>
      <c r="E4758" s="1">
        <f>IFERROR(__xludf.DUMMYFUNCTION("""COMPUTED_VALUE"""),1122.14)</f>
        <v>1122.14</v>
      </c>
      <c r="F4758" s="1">
        <f>IFERROR(__xludf.DUMMYFUNCTION("""COMPUTED_VALUE"""),1.2916E8)</f>
        <v>129160000</v>
      </c>
    </row>
    <row r="4759">
      <c r="A4759" s="2">
        <f>IFERROR(__xludf.DUMMYFUNCTION("""COMPUTED_VALUE"""),38271.666666666664)</f>
        <v>38271.66667</v>
      </c>
      <c r="B4759" s="1">
        <f>IFERROR(__xludf.DUMMYFUNCTION("""COMPUTED_VALUE"""),1122.14)</f>
        <v>1122.14</v>
      </c>
      <c r="C4759" s="1">
        <f>IFERROR(__xludf.DUMMYFUNCTION("""COMPUTED_VALUE"""),1126.2)</f>
        <v>1126.2</v>
      </c>
      <c r="D4759" s="1">
        <f>IFERROR(__xludf.DUMMYFUNCTION("""COMPUTED_VALUE"""),1122.14)</f>
        <v>1122.14</v>
      </c>
      <c r="E4759" s="1">
        <f>IFERROR(__xludf.DUMMYFUNCTION("""COMPUTED_VALUE"""),1124.39)</f>
        <v>1124.39</v>
      </c>
      <c r="F4759" s="1">
        <f>IFERROR(__xludf.DUMMYFUNCTION("""COMPUTED_VALUE"""),4.438E7)</f>
        <v>44380000</v>
      </c>
    </row>
    <row r="4760">
      <c r="A4760" s="2">
        <f>IFERROR(__xludf.DUMMYFUNCTION("""COMPUTED_VALUE"""),38272.666666666664)</f>
        <v>38272.66667</v>
      </c>
      <c r="B4760" s="1">
        <f>IFERROR(__xludf.DUMMYFUNCTION("""COMPUTED_VALUE"""),1124.39)</f>
        <v>1124.39</v>
      </c>
      <c r="C4760" s="1">
        <f>IFERROR(__xludf.DUMMYFUNCTION("""COMPUTED_VALUE"""),1124.39)</f>
        <v>1124.39</v>
      </c>
      <c r="D4760" s="1">
        <f>IFERROR(__xludf.DUMMYFUNCTION("""COMPUTED_VALUE"""),1115.77)</f>
        <v>1115.77</v>
      </c>
      <c r="E4760" s="1">
        <f>IFERROR(__xludf.DUMMYFUNCTION("""COMPUTED_VALUE"""),1121.84)</f>
        <v>1121.84</v>
      </c>
      <c r="F4760" s="1">
        <f>IFERROR(__xludf.DUMMYFUNCTION("""COMPUTED_VALUE"""),1.3201E8)</f>
        <v>132010000</v>
      </c>
    </row>
    <row r="4761">
      <c r="A4761" s="2">
        <f>IFERROR(__xludf.DUMMYFUNCTION("""COMPUTED_VALUE"""),38273.666666666664)</f>
        <v>38273.66667</v>
      </c>
      <c r="B4761" s="1">
        <f>IFERROR(__xludf.DUMMYFUNCTION("""COMPUTED_VALUE"""),1121.84)</f>
        <v>1121.84</v>
      </c>
      <c r="C4761" s="1">
        <f>IFERROR(__xludf.DUMMYFUNCTION("""COMPUTED_VALUE"""),1127.01)</f>
        <v>1127.01</v>
      </c>
      <c r="D4761" s="1">
        <f>IFERROR(__xludf.DUMMYFUNCTION("""COMPUTED_VALUE"""),1109.63)</f>
        <v>1109.63</v>
      </c>
      <c r="E4761" s="1">
        <f>IFERROR(__xludf.DUMMYFUNCTION("""COMPUTED_VALUE"""),1113.64)</f>
        <v>1113.64</v>
      </c>
      <c r="F4761" s="1">
        <f>IFERROR(__xludf.DUMMYFUNCTION("""COMPUTED_VALUE"""),1.5462E8)</f>
        <v>154620000</v>
      </c>
    </row>
    <row r="4762">
      <c r="A4762" s="2">
        <f>IFERROR(__xludf.DUMMYFUNCTION("""COMPUTED_VALUE"""),38274.666666666664)</f>
        <v>38274.66667</v>
      </c>
      <c r="B4762" s="1">
        <f>IFERROR(__xludf.DUMMYFUNCTION("""COMPUTED_VALUE"""),1113.65)</f>
        <v>1113.65</v>
      </c>
      <c r="C4762" s="1">
        <f>IFERROR(__xludf.DUMMYFUNCTION("""COMPUTED_VALUE"""),1114.97)</f>
        <v>1114.97</v>
      </c>
      <c r="D4762" s="1">
        <f>IFERROR(__xludf.DUMMYFUNCTION("""COMPUTED_VALUE"""),1102.06)</f>
        <v>1102.06</v>
      </c>
      <c r="E4762" s="1">
        <f>IFERROR(__xludf.DUMMYFUNCTION("""COMPUTED_VALUE"""),1103.29)</f>
        <v>1103.29</v>
      </c>
      <c r="F4762" s="1">
        <f>IFERROR(__xludf.DUMMYFUNCTION("""COMPUTED_VALUE"""),1.4895E8)</f>
        <v>148950000</v>
      </c>
    </row>
    <row r="4763">
      <c r="A4763" s="2">
        <f>IFERROR(__xludf.DUMMYFUNCTION("""COMPUTED_VALUE"""),38275.666666666664)</f>
        <v>38275.66667</v>
      </c>
      <c r="B4763" s="1">
        <f>IFERROR(__xludf.DUMMYFUNCTION("""COMPUTED_VALUE"""),1103.29)</f>
        <v>1103.29</v>
      </c>
      <c r="C4763" s="1">
        <f>IFERROR(__xludf.DUMMYFUNCTION("""COMPUTED_VALUE"""),1113.17)</f>
        <v>1113.17</v>
      </c>
      <c r="D4763" s="1">
        <f>IFERROR(__xludf.DUMMYFUNCTION("""COMPUTED_VALUE"""),1102.14)</f>
        <v>1102.14</v>
      </c>
      <c r="E4763" s="1">
        <f>IFERROR(__xludf.DUMMYFUNCTION("""COMPUTED_VALUE"""),1108.2)</f>
        <v>1108.2</v>
      </c>
      <c r="F4763" s="1">
        <f>IFERROR(__xludf.DUMMYFUNCTION("""COMPUTED_VALUE"""),1.6451E8)</f>
        <v>164510000</v>
      </c>
    </row>
    <row r="4764">
      <c r="A4764" s="2">
        <f>IFERROR(__xludf.DUMMYFUNCTION("""COMPUTED_VALUE"""),38278.666666666664)</f>
        <v>38278.66667</v>
      </c>
      <c r="B4764" s="1">
        <f>IFERROR(__xludf.DUMMYFUNCTION("""COMPUTED_VALUE"""),1108.2)</f>
        <v>1108.2</v>
      </c>
      <c r="C4764" s="1">
        <f>IFERROR(__xludf.DUMMYFUNCTION("""COMPUTED_VALUE"""),1114.46)</f>
        <v>1114.46</v>
      </c>
      <c r="D4764" s="1">
        <f>IFERROR(__xludf.DUMMYFUNCTION("""COMPUTED_VALUE"""),1103.33)</f>
        <v>1103.33</v>
      </c>
      <c r="E4764" s="1">
        <f>IFERROR(__xludf.DUMMYFUNCTION("""COMPUTED_VALUE"""),1114.04)</f>
        <v>1114.04</v>
      </c>
      <c r="F4764" s="1">
        <f>IFERROR(__xludf.DUMMYFUNCTION("""COMPUTED_VALUE"""),1.3733E8)</f>
        <v>137330000</v>
      </c>
    </row>
    <row r="4765">
      <c r="A4765" s="2">
        <f>IFERROR(__xludf.DUMMYFUNCTION("""COMPUTED_VALUE"""),38279.666666666664)</f>
        <v>38279.66667</v>
      </c>
      <c r="B4765" s="1">
        <f>IFERROR(__xludf.DUMMYFUNCTION("""COMPUTED_VALUE"""),1114.02)</f>
        <v>1114.02</v>
      </c>
      <c r="C4765" s="1">
        <f>IFERROR(__xludf.DUMMYFUNCTION("""COMPUTED_VALUE"""),1118.03)</f>
        <v>1118.03</v>
      </c>
      <c r="D4765" s="1">
        <f>IFERROR(__xludf.DUMMYFUNCTION("""COMPUTED_VALUE"""),1103.15)</f>
        <v>1103.15</v>
      </c>
      <c r="E4765" s="1">
        <f>IFERROR(__xludf.DUMMYFUNCTION("""COMPUTED_VALUE"""),1103.24)</f>
        <v>1103.24</v>
      </c>
      <c r="F4765" s="1">
        <f>IFERROR(__xludf.DUMMYFUNCTION("""COMPUTED_VALUE"""),1.7375E8)</f>
        <v>173750000</v>
      </c>
    </row>
    <row r="4766">
      <c r="A4766" s="2">
        <f>IFERROR(__xludf.DUMMYFUNCTION("""COMPUTED_VALUE"""),38280.666666666664)</f>
        <v>38280.66667</v>
      </c>
      <c r="B4766" s="1">
        <f>IFERROR(__xludf.DUMMYFUNCTION("""COMPUTED_VALUE"""),1103.23)</f>
        <v>1103.23</v>
      </c>
      <c r="C4766" s="1">
        <f>IFERROR(__xludf.DUMMYFUNCTION("""COMPUTED_VALUE"""),1104.09)</f>
        <v>1104.09</v>
      </c>
      <c r="D4766" s="1">
        <f>IFERROR(__xludf.DUMMYFUNCTION("""COMPUTED_VALUE"""),1094.25)</f>
        <v>1094.25</v>
      </c>
      <c r="E4766" s="1">
        <f>IFERROR(__xludf.DUMMYFUNCTION("""COMPUTED_VALUE"""),1103.66)</f>
        <v>1103.66</v>
      </c>
      <c r="F4766" s="1">
        <f>IFERROR(__xludf.DUMMYFUNCTION("""COMPUTED_VALUE"""),1.6857E8)</f>
        <v>168570000</v>
      </c>
    </row>
    <row r="4767">
      <c r="A4767" s="2">
        <f>IFERROR(__xludf.DUMMYFUNCTION("""COMPUTED_VALUE"""),38281.666666666664)</f>
        <v>38281.66667</v>
      </c>
      <c r="B4767" s="1">
        <f>IFERROR(__xludf.DUMMYFUNCTION("""COMPUTED_VALUE"""),1103.66)</f>
        <v>1103.66</v>
      </c>
      <c r="C4767" s="1">
        <f>IFERROR(__xludf.DUMMYFUNCTION("""COMPUTED_VALUE"""),1108.96)</f>
        <v>1108.96</v>
      </c>
      <c r="D4767" s="1">
        <f>IFERROR(__xludf.DUMMYFUNCTION("""COMPUTED_VALUE"""),1098.47)</f>
        <v>1098.47</v>
      </c>
      <c r="E4767" s="1">
        <f>IFERROR(__xludf.DUMMYFUNCTION("""COMPUTED_VALUE"""),1106.49)</f>
        <v>1106.49</v>
      </c>
      <c r="F4767" s="1">
        <f>IFERROR(__xludf.DUMMYFUNCTION("""COMPUTED_VALUE"""),1.673E8)</f>
        <v>167300000</v>
      </c>
    </row>
    <row r="4768">
      <c r="A4768" s="2">
        <f>IFERROR(__xludf.DUMMYFUNCTION("""COMPUTED_VALUE"""),38282.666666666664)</f>
        <v>38282.66667</v>
      </c>
      <c r="B4768" s="1">
        <f>IFERROR(__xludf.DUMMYFUNCTION("""COMPUTED_VALUE"""),1106.49)</f>
        <v>1106.49</v>
      </c>
      <c r="C4768" s="1">
        <f>IFERROR(__xludf.DUMMYFUNCTION("""COMPUTED_VALUE"""),1108.32)</f>
        <v>1108.32</v>
      </c>
      <c r="D4768" s="1">
        <f>IFERROR(__xludf.DUMMYFUNCTION("""COMPUTED_VALUE"""),1095.29)</f>
        <v>1095.29</v>
      </c>
      <c r="E4768" s="1">
        <f>IFERROR(__xludf.DUMMYFUNCTION("""COMPUTED_VALUE"""),1095.74)</f>
        <v>1095.74</v>
      </c>
      <c r="F4768" s="1">
        <f>IFERROR(__xludf.DUMMYFUNCTION("""COMPUTED_VALUE"""),1.4696E8)</f>
        <v>146960000</v>
      </c>
    </row>
    <row r="4769">
      <c r="A4769" s="2">
        <f>IFERROR(__xludf.DUMMYFUNCTION("""COMPUTED_VALUE"""),38285.666666666664)</f>
        <v>38285.66667</v>
      </c>
      <c r="B4769" s="1">
        <f>IFERROR(__xludf.DUMMYFUNCTION("""COMPUTED_VALUE"""),1095.74)</f>
        <v>1095.74</v>
      </c>
      <c r="C4769" s="1">
        <f>IFERROR(__xludf.DUMMYFUNCTION("""COMPUTED_VALUE"""),1096.81)</f>
        <v>1096.81</v>
      </c>
      <c r="D4769" s="1">
        <f>IFERROR(__xludf.DUMMYFUNCTION("""COMPUTED_VALUE"""),1090.19)</f>
        <v>1090.19</v>
      </c>
      <c r="E4769" s="1">
        <f>IFERROR(__xludf.DUMMYFUNCTION("""COMPUTED_VALUE"""),1094.8)</f>
        <v>1094.8</v>
      </c>
      <c r="F4769" s="1">
        <f>IFERROR(__xludf.DUMMYFUNCTION("""COMPUTED_VALUE"""),1.3805E8)</f>
        <v>138050000</v>
      </c>
    </row>
    <row r="4770">
      <c r="A4770" s="2">
        <f>IFERROR(__xludf.DUMMYFUNCTION("""COMPUTED_VALUE"""),38286.666666666664)</f>
        <v>38286.66667</v>
      </c>
      <c r="B4770" s="1">
        <f>IFERROR(__xludf.DUMMYFUNCTION("""COMPUTED_VALUE"""),1094.81)</f>
        <v>1094.81</v>
      </c>
      <c r="C4770" s="1">
        <f>IFERROR(__xludf.DUMMYFUNCTION("""COMPUTED_VALUE"""),1111.09)</f>
        <v>1111.09</v>
      </c>
      <c r="D4770" s="1">
        <f>IFERROR(__xludf.DUMMYFUNCTION("""COMPUTED_VALUE"""),1094.81)</f>
        <v>1094.81</v>
      </c>
      <c r="E4770" s="1">
        <f>IFERROR(__xludf.DUMMYFUNCTION("""COMPUTED_VALUE"""),1111.09)</f>
        <v>1111.09</v>
      </c>
      <c r="F4770" s="1">
        <f>IFERROR(__xludf.DUMMYFUNCTION("""COMPUTED_VALUE"""),1.6854E8)</f>
        <v>168540000</v>
      </c>
    </row>
    <row r="4771">
      <c r="A4771" s="2">
        <f>IFERROR(__xludf.DUMMYFUNCTION("""COMPUTED_VALUE"""),38287.666666666664)</f>
        <v>38287.66667</v>
      </c>
      <c r="B4771" s="1">
        <f>IFERROR(__xludf.DUMMYFUNCTION("""COMPUTED_VALUE"""),1111.09)</f>
        <v>1111.09</v>
      </c>
      <c r="C4771" s="1">
        <f>IFERROR(__xludf.DUMMYFUNCTION("""COMPUTED_VALUE"""),1126.29)</f>
        <v>1126.29</v>
      </c>
      <c r="D4771" s="1">
        <f>IFERROR(__xludf.DUMMYFUNCTION("""COMPUTED_VALUE"""),1107.43)</f>
        <v>1107.43</v>
      </c>
      <c r="E4771" s="1">
        <f>IFERROR(__xludf.DUMMYFUNCTION("""COMPUTED_VALUE"""),1125.4)</f>
        <v>1125.4</v>
      </c>
      <c r="F4771" s="1">
        <f>IFERROR(__xludf.DUMMYFUNCTION("""COMPUTED_VALUE"""),1.7419E8)</f>
        <v>174190000</v>
      </c>
    </row>
    <row r="4772">
      <c r="A4772" s="2">
        <f>IFERROR(__xludf.DUMMYFUNCTION("""COMPUTED_VALUE"""),38288.666666666664)</f>
        <v>38288.66667</v>
      </c>
      <c r="B4772" s="1">
        <f>IFERROR(__xludf.DUMMYFUNCTION("""COMPUTED_VALUE"""),1125.34)</f>
        <v>1125.34</v>
      </c>
      <c r="C4772" s="1">
        <f>IFERROR(__xludf.DUMMYFUNCTION("""COMPUTED_VALUE"""),1130.67)</f>
        <v>1130.67</v>
      </c>
      <c r="D4772" s="1">
        <f>IFERROR(__xludf.DUMMYFUNCTION("""COMPUTED_VALUE"""),1120.57)</f>
        <v>1120.57</v>
      </c>
      <c r="E4772" s="1">
        <f>IFERROR(__xludf.DUMMYFUNCTION("""COMPUTED_VALUE"""),1127.43)</f>
        <v>1127.43</v>
      </c>
      <c r="F4772" s="1">
        <f>IFERROR(__xludf.DUMMYFUNCTION("""COMPUTED_VALUE"""),1.6282E8)</f>
        <v>162820000</v>
      </c>
    </row>
    <row r="4773">
      <c r="A4773" s="2">
        <f>IFERROR(__xludf.DUMMYFUNCTION("""COMPUTED_VALUE"""),38289.666666666664)</f>
        <v>38289.66667</v>
      </c>
      <c r="B4773" s="1">
        <f>IFERROR(__xludf.DUMMYFUNCTION("""COMPUTED_VALUE"""),1127.44)</f>
        <v>1127.44</v>
      </c>
      <c r="C4773" s="1">
        <f>IFERROR(__xludf.DUMMYFUNCTION("""COMPUTED_VALUE"""),1131.44)</f>
        <v>1131.44</v>
      </c>
      <c r="D4773" s="1">
        <f>IFERROR(__xludf.DUMMYFUNCTION("""COMPUTED_VALUE"""),1124.62)</f>
        <v>1124.62</v>
      </c>
      <c r="E4773" s="1">
        <f>IFERROR(__xludf.DUMMYFUNCTION("""COMPUTED_VALUE"""),1130.17)</f>
        <v>1130.17</v>
      </c>
      <c r="F4773" s="1">
        <f>IFERROR(__xludf.DUMMYFUNCTION("""COMPUTED_VALUE"""),1.5008E8)</f>
        <v>150080000</v>
      </c>
    </row>
    <row r="4774">
      <c r="A4774" s="2">
        <f>IFERROR(__xludf.DUMMYFUNCTION("""COMPUTED_VALUE"""),38292.666666666664)</f>
        <v>38292.66667</v>
      </c>
      <c r="B4774" s="1">
        <f>IFERROR(__xludf.DUMMYFUNCTION("""COMPUTED_VALUE"""),1130.2)</f>
        <v>1130.2</v>
      </c>
      <c r="C4774" s="1">
        <f>IFERROR(__xludf.DUMMYFUNCTION("""COMPUTED_VALUE"""),1133.43)</f>
        <v>1133.43</v>
      </c>
      <c r="D4774" s="1">
        <f>IFERROR(__xludf.DUMMYFUNCTION("""COMPUTED_VALUE"""),1127.53)</f>
        <v>1127.53</v>
      </c>
      <c r="E4774" s="1">
        <f>IFERROR(__xludf.DUMMYFUNCTION("""COMPUTED_VALUE"""),1130.51)</f>
        <v>1130.51</v>
      </c>
      <c r="F4774" s="1">
        <f>IFERROR(__xludf.DUMMYFUNCTION("""COMPUTED_VALUE"""),1.3959E8)</f>
        <v>139590000</v>
      </c>
    </row>
    <row r="4775">
      <c r="A4775" s="2">
        <f>IFERROR(__xludf.DUMMYFUNCTION("""COMPUTED_VALUE"""),38293.666666666664)</f>
        <v>38293.66667</v>
      </c>
      <c r="B4775" s="1">
        <f>IFERROR(__xludf.DUMMYFUNCTION("""COMPUTED_VALUE"""),1130.51)</f>
        <v>1130.51</v>
      </c>
      <c r="C4775" s="1">
        <f>IFERROR(__xludf.DUMMYFUNCTION("""COMPUTED_VALUE"""),1140.48)</f>
        <v>1140.48</v>
      </c>
      <c r="D4775" s="1">
        <f>IFERROR(__xludf.DUMMYFUNCTION("""COMPUTED_VALUE"""),1128.12)</f>
        <v>1128.12</v>
      </c>
      <c r="E4775" s="1">
        <f>IFERROR(__xludf.DUMMYFUNCTION("""COMPUTED_VALUE"""),1130.58)</f>
        <v>1130.58</v>
      </c>
      <c r="F4775" s="1">
        <f>IFERROR(__xludf.DUMMYFUNCTION("""COMPUTED_VALUE"""),1.659E8)</f>
        <v>165900000</v>
      </c>
    </row>
    <row r="4776">
      <c r="A4776" s="2">
        <f>IFERROR(__xludf.DUMMYFUNCTION("""COMPUTED_VALUE"""),38294.666666666664)</f>
        <v>38294.66667</v>
      </c>
      <c r="B4776" s="1">
        <f>IFERROR(__xludf.DUMMYFUNCTION("""COMPUTED_VALUE"""),1130.54)</f>
        <v>1130.54</v>
      </c>
      <c r="C4776" s="1">
        <f>IFERROR(__xludf.DUMMYFUNCTION("""COMPUTED_VALUE"""),1147.6)</f>
        <v>1147.6</v>
      </c>
      <c r="D4776" s="1">
        <f>IFERROR(__xludf.DUMMYFUNCTION("""COMPUTED_VALUE"""),1130.54)</f>
        <v>1130.54</v>
      </c>
      <c r="E4776" s="1">
        <f>IFERROR(__xludf.DUMMYFUNCTION("""COMPUTED_VALUE"""),1143.19)</f>
        <v>1143.19</v>
      </c>
      <c r="F4776" s="1">
        <f>IFERROR(__xludf.DUMMYFUNCTION("""COMPUTED_VALUE"""),1.7675E8)</f>
        <v>176750000</v>
      </c>
    </row>
    <row r="4777">
      <c r="A4777" s="2">
        <f>IFERROR(__xludf.DUMMYFUNCTION("""COMPUTED_VALUE"""),38295.666666666664)</f>
        <v>38295.66667</v>
      </c>
      <c r="B4777" s="1">
        <f>IFERROR(__xludf.DUMMYFUNCTION("""COMPUTED_VALUE"""),1143.2)</f>
        <v>1143.2</v>
      </c>
      <c r="C4777" s="1">
        <f>IFERROR(__xludf.DUMMYFUNCTION("""COMPUTED_VALUE"""),1161.67)</f>
        <v>1161.67</v>
      </c>
      <c r="D4777" s="1">
        <f>IFERROR(__xludf.DUMMYFUNCTION("""COMPUTED_VALUE"""),1142.34)</f>
        <v>1142.34</v>
      </c>
      <c r="E4777" s="1">
        <f>IFERROR(__xludf.DUMMYFUNCTION("""COMPUTED_VALUE"""),1161.67)</f>
        <v>1161.67</v>
      </c>
      <c r="F4777" s="1">
        <f>IFERROR(__xludf.DUMMYFUNCTION("""COMPUTED_VALUE"""),1.7827E8)</f>
        <v>178270000</v>
      </c>
    </row>
    <row r="4778">
      <c r="A4778" s="2">
        <f>IFERROR(__xludf.DUMMYFUNCTION("""COMPUTED_VALUE"""),38296.666666666664)</f>
        <v>38296.66667</v>
      </c>
      <c r="B4778" s="1">
        <f>IFERROR(__xludf.DUMMYFUNCTION("""COMPUTED_VALUE"""),1161.67)</f>
        <v>1161.67</v>
      </c>
      <c r="C4778" s="1">
        <f>IFERROR(__xludf.DUMMYFUNCTION("""COMPUTED_VALUE"""),1170.87)</f>
        <v>1170.87</v>
      </c>
      <c r="D4778" s="1">
        <f>IFERROR(__xludf.DUMMYFUNCTION("""COMPUTED_VALUE"""),1160.36)</f>
        <v>1160.36</v>
      </c>
      <c r="E4778" s="1">
        <f>IFERROR(__xludf.DUMMYFUNCTION("""COMPUTED_VALUE"""),1166.17)</f>
        <v>1166.17</v>
      </c>
      <c r="F4778" s="1">
        <f>IFERROR(__xludf.DUMMYFUNCTION("""COMPUTED_VALUE"""),1.7244E8)</f>
        <v>172440000</v>
      </c>
    </row>
    <row r="4779">
      <c r="A4779" s="2">
        <f>IFERROR(__xludf.DUMMYFUNCTION("""COMPUTED_VALUE"""),38299.666666666664)</f>
        <v>38299.66667</v>
      </c>
      <c r="B4779" s="1">
        <f>IFERROR(__xludf.DUMMYFUNCTION("""COMPUTED_VALUE"""),1166.17)</f>
        <v>1166.17</v>
      </c>
      <c r="C4779" s="1">
        <f>IFERROR(__xludf.DUMMYFUNCTION("""COMPUTED_VALUE"""),1166.86)</f>
        <v>1166.86</v>
      </c>
      <c r="D4779" s="1">
        <f>IFERROR(__xludf.DUMMYFUNCTION("""COMPUTED_VALUE"""),1162.32)</f>
        <v>1162.32</v>
      </c>
      <c r="E4779" s="1">
        <f>IFERROR(__xludf.DUMMYFUNCTION("""COMPUTED_VALUE"""),1164.89)</f>
        <v>1164.89</v>
      </c>
      <c r="F4779" s="1">
        <f>IFERROR(__xludf.DUMMYFUNCTION("""COMPUTED_VALUE"""),1.3587E8)</f>
        <v>135870000</v>
      </c>
    </row>
    <row r="4780">
      <c r="A4780" s="2">
        <f>IFERROR(__xludf.DUMMYFUNCTION("""COMPUTED_VALUE"""),38300.666666666664)</f>
        <v>38300.66667</v>
      </c>
      <c r="B4780" s="1">
        <f>IFERROR(__xludf.DUMMYFUNCTION("""COMPUTED_VALUE"""),1164.89)</f>
        <v>1164.89</v>
      </c>
      <c r="C4780" s="1">
        <f>IFERROR(__xludf.DUMMYFUNCTION("""COMPUTED_VALUE"""),1168.97)</f>
        <v>1168.97</v>
      </c>
      <c r="D4780" s="1">
        <f>IFERROR(__xludf.DUMMYFUNCTION("""COMPUTED_VALUE"""),1162.48)</f>
        <v>1162.48</v>
      </c>
      <c r="E4780" s="1">
        <f>IFERROR(__xludf.DUMMYFUNCTION("""COMPUTED_VALUE"""),1164.08)</f>
        <v>1164.08</v>
      </c>
      <c r="F4780" s="1">
        <f>IFERROR(__xludf.DUMMYFUNCTION("""COMPUTED_VALUE"""),1.4508E8)</f>
        <v>145080000</v>
      </c>
    </row>
    <row r="4781">
      <c r="A4781" s="2">
        <f>IFERROR(__xludf.DUMMYFUNCTION("""COMPUTED_VALUE"""),38301.666666666664)</f>
        <v>38301.66667</v>
      </c>
      <c r="B4781" s="1">
        <f>IFERROR(__xludf.DUMMYFUNCTION("""COMPUTED_VALUE"""),1164.08)</f>
        <v>1164.08</v>
      </c>
      <c r="C4781" s="1">
        <f>IFERROR(__xludf.DUMMYFUNCTION("""COMPUTED_VALUE"""),1169.35)</f>
        <v>1169.35</v>
      </c>
      <c r="D4781" s="1">
        <f>IFERROR(__xludf.DUMMYFUNCTION("""COMPUTED_VALUE"""),1162.51)</f>
        <v>1162.51</v>
      </c>
      <c r="E4781" s="1">
        <f>IFERROR(__xludf.DUMMYFUNCTION("""COMPUTED_VALUE"""),1162.91)</f>
        <v>1162.91</v>
      </c>
      <c r="F4781" s="1">
        <f>IFERROR(__xludf.DUMMYFUNCTION("""COMPUTED_VALUE"""),1.5043E8)</f>
        <v>150430000</v>
      </c>
    </row>
    <row r="4782">
      <c r="A4782" s="2">
        <f>IFERROR(__xludf.DUMMYFUNCTION("""COMPUTED_VALUE"""),38302.666666666664)</f>
        <v>38302.66667</v>
      </c>
      <c r="B4782" s="1">
        <f>IFERROR(__xludf.DUMMYFUNCTION("""COMPUTED_VALUE"""),1162.91)</f>
        <v>1162.91</v>
      </c>
      <c r="C4782" s="1">
        <f>IFERROR(__xludf.DUMMYFUNCTION("""COMPUTED_VALUE"""),1174.82)</f>
        <v>1174.82</v>
      </c>
      <c r="D4782" s="1">
        <f>IFERROR(__xludf.DUMMYFUNCTION("""COMPUTED_VALUE"""),1162.91)</f>
        <v>1162.91</v>
      </c>
      <c r="E4782" s="1">
        <f>IFERROR(__xludf.DUMMYFUNCTION("""COMPUTED_VALUE"""),1173.48)</f>
        <v>1173.48</v>
      </c>
      <c r="F4782" s="1">
        <f>IFERROR(__xludf.DUMMYFUNCTION("""COMPUTED_VALUE"""),1.393E8)</f>
        <v>139300000</v>
      </c>
    </row>
    <row r="4783">
      <c r="A4783" s="2">
        <f>IFERROR(__xludf.DUMMYFUNCTION("""COMPUTED_VALUE"""),38303.666666666664)</f>
        <v>38303.66667</v>
      </c>
      <c r="B4783" s="1">
        <f>IFERROR(__xludf.DUMMYFUNCTION("""COMPUTED_VALUE"""),1173.48)</f>
        <v>1173.48</v>
      </c>
      <c r="C4783" s="1">
        <f>IFERROR(__xludf.DUMMYFUNCTION("""COMPUTED_VALUE"""),1184.17)</f>
        <v>1184.17</v>
      </c>
      <c r="D4783" s="1">
        <f>IFERROR(__xludf.DUMMYFUNCTION("""COMPUTED_VALUE"""),1171.39)</f>
        <v>1171.39</v>
      </c>
      <c r="E4783" s="1">
        <f>IFERROR(__xludf.DUMMYFUNCTION("""COMPUTED_VALUE"""),1184.17)</f>
        <v>1184.17</v>
      </c>
      <c r="F4783" s="1">
        <f>IFERROR(__xludf.DUMMYFUNCTION("""COMPUTED_VALUE"""),1.5316E8)</f>
        <v>153160000</v>
      </c>
    </row>
    <row r="4784">
      <c r="A4784" s="2">
        <f>IFERROR(__xludf.DUMMYFUNCTION("""COMPUTED_VALUE"""),38306.666666666664)</f>
        <v>38306.66667</v>
      </c>
      <c r="B4784" s="1">
        <f>IFERROR(__xludf.DUMMYFUNCTION("""COMPUTED_VALUE"""),1184.17)</f>
        <v>1184.17</v>
      </c>
      <c r="C4784" s="1">
        <f>IFERROR(__xludf.DUMMYFUNCTION("""COMPUTED_VALUE"""),1184.48)</f>
        <v>1184.48</v>
      </c>
      <c r="D4784" s="1">
        <f>IFERROR(__xludf.DUMMYFUNCTION("""COMPUTED_VALUE"""),1179.85)</f>
        <v>1179.85</v>
      </c>
      <c r="E4784" s="1">
        <f>IFERROR(__xludf.DUMMYFUNCTION("""COMPUTED_VALUE"""),1183.82)</f>
        <v>1183.82</v>
      </c>
      <c r="F4784" s="1">
        <f>IFERROR(__xludf.DUMMYFUNCTION("""COMPUTED_VALUE"""),1.4533E8)</f>
        <v>145330000</v>
      </c>
    </row>
    <row r="4785">
      <c r="A4785" s="2">
        <f>IFERROR(__xludf.DUMMYFUNCTION("""COMPUTED_VALUE"""),38307.666666666664)</f>
        <v>38307.66667</v>
      </c>
      <c r="B4785" s="1">
        <f>IFERROR(__xludf.DUMMYFUNCTION("""COMPUTED_VALUE"""),1183.81)</f>
        <v>1183.81</v>
      </c>
      <c r="C4785" s="1">
        <f>IFERROR(__xludf.DUMMYFUNCTION("""COMPUTED_VALUE"""),1183.81)</f>
        <v>1183.81</v>
      </c>
      <c r="D4785" s="1">
        <f>IFERROR(__xludf.DUMMYFUNCTION("""COMPUTED_VALUE"""),1175.32)</f>
        <v>1175.32</v>
      </c>
      <c r="E4785" s="1">
        <f>IFERROR(__xludf.DUMMYFUNCTION("""COMPUTED_VALUE"""),1175.43)</f>
        <v>1175.43</v>
      </c>
      <c r="F4785" s="1">
        <f>IFERROR(__xludf.DUMMYFUNCTION("""COMPUTED_VALUE"""),1.3644E8)</f>
        <v>136440000</v>
      </c>
    </row>
    <row r="4786">
      <c r="A4786" s="2">
        <f>IFERROR(__xludf.DUMMYFUNCTION("""COMPUTED_VALUE"""),38308.666666666664)</f>
        <v>38308.66667</v>
      </c>
      <c r="B4786" s="1">
        <f>IFERROR(__xludf.DUMMYFUNCTION("""COMPUTED_VALUE"""),1175.43)</f>
        <v>1175.43</v>
      </c>
      <c r="C4786" s="1">
        <f>IFERROR(__xludf.DUMMYFUNCTION("""COMPUTED_VALUE"""),1188.46)</f>
        <v>1188.46</v>
      </c>
      <c r="D4786" s="1">
        <f>IFERROR(__xludf.DUMMYFUNCTION("""COMPUTED_VALUE"""),1175.43)</f>
        <v>1175.43</v>
      </c>
      <c r="E4786" s="1">
        <f>IFERROR(__xludf.DUMMYFUNCTION("""COMPUTED_VALUE"""),1181.94)</f>
        <v>1181.94</v>
      </c>
      <c r="F4786" s="1">
        <f>IFERROR(__xludf.DUMMYFUNCTION("""COMPUTED_VALUE"""),1.6842E8)</f>
        <v>168420000</v>
      </c>
    </row>
    <row r="4787">
      <c r="A4787" s="2">
        <f>IFERROR(__xludf.DUMMYFUNCTION("""COMPUTED_VALUE"""),38309.666666666664)</f>
        <v>38309.66667</v>
      </c>
      <c r="B4787" s="1">
        <f>IFERROR(__xludf.DUMMYFUNCTION("""COMPUTED_VALUE"""),1181.94)</f>
        <v>1181.94</v>
      </c>
      <c r="C4787" s="1">
        <f>IFERROR(__xludf.DUMMYFUNCTION("""COMPUTED_VALUE"""),1184.9)</f>
        <v>1184.9</v>
      </c>
      <c r="D4787" s="1">
        <f>IFERROR(__xludf.DUMMYFUNCTION("""COMPUTED_VALUE"""),1180.15)</f>
        <v>1180.15</v>
      </c>
      <c r="E4787" s="1">
        <f>IFERROR(__xludf.DUMMYFUNCTION("""COMPUTED_VALUE"""),1183.55)</f>
        <v>1183.55</v>
      </c>
      <c r="F4787" s="1">
        <f>IFERROR(__xludf.DUMMYFUNCTION("""COMPUTED_VALUE"""),1.4567E8)</f>
        <v>145670000</v>
      </c>
    </row>
    <row r="4788">
      <c r="A4788" s="2">
        <f>IFERROR(__xludf.DUMMYFUNCTION("""COMPUTED_VALUE"""),38310.666666666664)</f>
        <v>38310.66667</v>
      </c>
      <c r="B4788" s="1">
        <f>IFERROR(__xludf.DUMMYFUNCTION("""COMPUTED_VALUE"""),1183.55)</f>
        <v>1183.55</v>
      </c>
      <c r="C4788" s="1">
        <f>IFERROR(__xludf.DUMMYFUNCTION("""COMPUTED_VALUE"""),1184.0)</f>
        <v>1184</v>
      </c>
      <c r="D4788" s="1">
        <f>IFERROR(__xludf.DUMMYFUNCTION("""COMPUTED_VALUE"""),1169.17)</f>
        <v>1169.17</v>
      </c>
      <c r="E4788" s="1">
        <f>IFERROR(__xludf.DUMMYFUNCTION("""COMPUTED_VALUE"""),1170.34)</f>
        <v>1170.34</v>
      </c>
      <c r="F4788" s="1">
        <f>IFERROR(__xludf.DUMMYFUNCTION("""COMPUTED_VALUE"""),1.5266E8)</f>
        <v>152660000</v>
      </c>
    </row>
    <row r="4789">
      <c r="A4789" s="2">
        <f>IFERROR(__xludf.DUMMYFUNCTION("""COMPUTED_VALUE"""),38313.666666666664)</f>
        <v>38313.66667</v>
      </c>
      <c r="B4789" s="1">
        <f>IFERROR(__xludf.DUMMYFUNCTION("""COMPUTED_VALUE"""),1170.34)</f>
        <v>1170.34</v>
      </c>
      <c r="C4789" s="1">
        <f>IFERROR(__xludf.DUMMYFUNCTION("""COMPUTED_VALUE"""),1178.18)</f>
        <v>1178.18</v>
      </c>
      <c r="D4789" s="1">
        <f>IFERROR(__xludf.DUMMYFUNCTION("""COMPUTED_VALUE"""),1167.89)</f>
        <v>1167.89</v>
      </c>
      <c r="E4789" s="1">
        <f>IFERROR(__xludf.DUMMYFUNCTION("""COMPUTED_VALUE"""),1177.24)</f>
        <v>1177.24</v>
      </c>
      <c r="F4789" s="1">
        <f>IFERROR(__xludf.DUMMYFUNCTION("""COMPUTED_VALUE"""),1.3927E8)</f>
        <v>139270000</v>
      </c>
    </row>
    <row r="4790">
      <c r="A4790" s="2">
        <f>IFERROR(__xludf.DUMMYFUNCTION("""COMPUTED_VALUE"""),38314.666666666664)</f>
        <v>38314.66667</v>
      </c>
      <c r="B4790" s="1">
        <f>IFERROR(__xludf.DUMMYFUNCTION("""COMPUTED_VALUE"""),1177.24)</f>
        <v>1177.24</v>
      </c>
      <c r="C4790" s="1">
        <f>IFERROR(__xludf.DUMMYFUNCTION("""COMPUTED_VALUE"""),1179.52)</f>
        <v>1179.52</v>
      </c>
      <c r="D4790" s="1">
        <f>IFERROR(__xludf.DUMMYFUNCTION("""COMPUTED_VALUE"""),1171.41)</f>
        <v>1171.41</v>
      </c>
      <c r="E4790" s="1">
        <f>IFERROR(__xludf.DUMMYFUNCTION("""COMPUTED_VALUE"""),1176.94)</f>
        <v>1176.94</v>
      </c>
      <c r="F4790" s="1">
        <f>IFERROR(__xludf.DUMMYFUNCTION("""COMPUTED_VALUE"""),1.4283E8)</f>
        <v>142830000</v>
      </c>
    </row>
    <row r="4791">
      <c r="A4791" s="2">
        <f>IFERROR(__xludf.DUMMYFUNCTION("""COMPUTED_VALUE"""),38315.666666666664)</f>
        <v>38315.66667</v>
      </c>
      <c r="B4791" s="1">
        <f>IFERROR(__xludf.DUMMYFUNCTION("""COMPUTED_VALUE"""),1176.94)</f>
        <v>1176.94</v>
      </c>
      <c r="C4791" s="1">
        <f>IFERROR(__xludf.DUMMYFUNCTION("""COMPUTED_VALUE"""),1182.46)</f>
        <v>1182.46</v>
      </c>
      <c r="D4791" s="1">
        <f>IFERROR(__xludf.DUMMYFUNCTION("""COMPUTED_VALUE"""),1176.94)</f>
        <v>1176.94</v>
      </c>
      <c r="E4791" s="1">
        <f>IFERROR(__xludf.DUMMYFUNCTION("""COMPUTED_VALUE"""),1181.76)</f>
        <v>1181.76</v>
      </c>
      <c r="F4791" s="1">
        <f>IFERROR(__xludf.DUMMYFUNCTION("""COMPUTED_VALUE"""),1.1496E8)</f>
        <v>114960000</v>
      </c>
    </row>
    <row r="4792">
      <c r="A4792" s="2">
        <f>IFERROR(__xludf.DUMMYFUNCTION("""COMPUTED_VALUE"""),38317.666666666664)</f>
        <v>38317.66667</v>
      </c>
      <c r="B4792" s="1">
        <f>IFERROR(__xludf.DUMMYFUNCTION("""COMPUTED_VALUE"""),1181.76)</f>
        <v>1181.76</v>
      </c>
      <c r="C4792" s="1">
        <f>IFERROR(__xludf.DUMMYFUNCTION("""COMPUTED_VALUE"""),1186.62)</f>
        <v>1186.62</v>
      </c>
      <c r="D4792" s="1">
        <f>IFERROR(__xludf.DUMMYFUNCTION("""COMPUTED_VALUE"""),1181.08)</f>
        <v>1181.08</v>
      </c>
      <c r="E4792" s="1">
        <f>IFERROR(__xludf.DUMMYFUNCTION("""COMPUTED_VALUE"""),1182.65)</f>
        <v>1182.65</v>
      </c>
      <c r="F4792" s="1">
        <f>IFERROR(__xludf.DUMMYFUNCTION("""COMPUTED_VALUE"""),5.0458E7)</f>
        <v>50458000</v>
      </c>
    </row>
    <row r="4793">
      <c r="A4793" s="2">
        <f>IFERROR(__xludf.DUMMYFUNCTION("""COMPUTED_VALUE"""),38320.666666666664)</f>
        <v>38320.66667</v>
      </c>
      <c r="B4793" s="1">
        <f>IFERROR(__xludf.DUMMYFUNCTION("""COMPUTED_VALUE"""),1182.65)</f>
        <v>1182.65</v>
      </c>
      <c r="C4793" s="1">
        <f>IFERROR(__xludf.DUMMYFUNCTION("""COMPUTED_VALUE"""),1186.94)</f>
        <v>1186.94</v>
      </c>
      <c r="D4793" s="1">
        <f>IFERROR(__xludf.DUMMYFUNCTION("""COMPUTED_VALUE"""),1172.37)</f>
        <v>1172.37</v>
      </c>
      <c r="E4793" s="1">
        <f>IFERROR(__xludf.DUMMYFUNCTION("""COMPUTED_VALUE"""),1178.57)</f>
        <v>1178.57</v>
      </c>
      <c r="F4793" s="1">
        <f>IFERROR(__xludf.DUMMYFUNCTION("""COMPUTED_VALUE"""),1.3785E8)</f>
        <v>137850000</v>
      </c>
    </row>
    <row r="4794">
      <c r="A4794" s="2">
        <f>IFERROR(__xludf.DUMMYFUNCTION("""COMPUTED_VALUE"""),38321.666666666664)</f>
        <v>38321.66667</v>
      </c>
      <c r="B4794" s="1">
        <f>IFERROR(__xludf.DUMMYFUNCTION("""COMPUTED_VALUE"""),1178.57)</f>
        <v>1178.57</v>
      </c>
      <c r="C4794" s="1">
        <f>IFERROR(__xludf.DUMMYFUNCTION("""COMPUTED_VALUE"""),1178.66)</f>
        <v>1178.66</v>
      </c>
      <c r="D4794" s="1">
        <f>IFERROR(__xludf.DUMMYFUNCTION("""COMPUTED_VALUE"""),1173.81)</f>
        <v>1173.81</v>
      </c>
      <c r="E4794" s="1">
        <f>IFERROR(__xludf.DUMMYFUNCTION("""COMPUTED_VALUE"""),1173.81)</f>
        <v>1173.81</v>
      </c>
      <c r="F4794" s="1">
        <f>IFERROR(__xludf.DUMMYFUNCTION("""COMPUTED_VALUE"""),1.5535E8)</f>
        <v>155350000</v>
      </c>
    </row>
    <row r="4795">
      <c r="A4795" s="2">
        <f>IFERROR(__xludf.DUMMYFUNCTION("""COMPUTED_VALUE"""),38322.666666666664)</f>
        <v>38322.66667</v>
      </c>
      <c r="B4795" s="1">
        <f>IFERROR(__xludf.DUMMYFUNCTION("""COMPUTED_VALUE"""),1173.78)</f>
        <v>1173.78</v>
      </c>
      <c r="C4795" s="1">
        <f>IFERROR(__xludf.DUMMYFUNCTION("""COMPUTED_VALUE"""),1191.37)</f>
        <v>1191.37</v>
      </c>
      <c r="D4795" s="1">
        <f>IFERROR(__xludf.DUMMYFUNCTION("""COMPUTED_VALUE"""),1173.78)</f>
        <v>1173.78</v>
      </c>
      <c r="E4795" s="1">
        <f>IFERROR(__xludf.DUMMYFUNCTION("""COMPUTED_VALUE"""),1191.37)</f>
        <v>1191.37</v>
      </c>
      <c r="F4795" s="1">
        <f>IFERROR(__xludf.DUMMYFUNCTION("""COMPUTED_VALUE"""),1.7728E8)</f>
        <v>177280000</v>
      </c>
    </row>
    <row r="4796">
      <c r="A4796" s="2">
        <f>IFERROR(__xludf.DUMMYFUNCTION("""COMPUTED_VALUE"""),38323.666666666664)</f>
        <v>38323.66667</v>
      </c>
      <c r="B4796" s="1">
        <f>IFERROR(__xludf.DUMMYFUNCTION("""COMPUTED_VALUE"""),1191.37)</f>
        <v>1191.37</v>
      </c>
      <c r="C4796" s="1">
        <f>IFERROR(__xludf.DUMMYFUNCTION("""COMPUTED_VALUE"""),1194.81)</f>
        <v>1194.81</v>
      </c>
      <c r="D4796" s="1">
        <f>IFERROR(__xludf.DUMMYFUNCTION("""COMPUTED_VALUE"""),1186.66)</f>
        <v>1186.66</v>
      </c>
      <c r="E4796" s="1">
        <f>IFERROR(__xludf.DUMMYFUNCTION("""COMPUTED_VALUE"""),1190.33)</f>
        <v>1190.33</v>
      </c>
      <c r="F4796" s="1">
        <f>IFERROR(__xludf.DUMMYFUNCTION("""COMPUTED_VALUE"""),1.7749E8)</f>
        <v>177490000</v>
      </c>
    </row>
    <row r="4797">
      <c r="A4797" s="2">
        <f>IFERROR(__xludf.DUMMYFUNCTION("""COMPUTED_VALUE"""),38324.666666666664)</f>
        <v>38324.66667</v>
      </c>
      <c r="B4797" s="1">
        <f>IFERROR(__xludf.DUMMYFUNCTION("""COMPUTED_VALUE"""),1190.33)</f>
        <v>1190.33</v>
      </c>
      <c r="C4797" s="1">
        <f>IFERROR(__xludf.DUMMYFUNCTION("""COMPUTED_VALUE"""),1197.46)</f>
        <v>1197.46</v>
      </c>
      <c r="D4797" s="1">
        <f>IFERROR(__xludf.DUMMYFUNCTION("""COMPUTED_VALUE"""),1187.7)</f>
        <v>1187.7</v>
      </c>
      <c r="E4797" s="1">
        <f>IFERROR(__xludf.DUMMYFUNCTION("""COMPUTED_VALUE"""),1191.17)</f>
        <v>1191.17</v>
      </c>
      <c r="F4797" s="1">
        <f>IFERROR(__xludf.DUMMYFUNCTION("""COMPUTED_VALUE"""),1.5667E8)</f>
        <v>156670000</v>
      </c>
    </row>
    <row r="4798">
      <c r="A4798" s="2">
        <f>IFERROR(__xludf.DUMMYFUNCTION("""COMPUTED_VALUE"""),38327.666666666664)</f>
        <v>38327.66667</v>
      </c>
      <c r="B4798" s="1">
        <f>IFERROR(__xludf.DUMMYFUNCTION("""COMPUTED_VALUE"""),1191.17)</f>
        <v>1191.17</v>
      </c>
      <c r="C4798" s="1">
        <f>IFERROR(__xludf.DUMMYFUNCTION("""COMPUTED_VALUE"""),1192.41)</f>
        <v>1192.41</v>
      </c>
      <c r="D4798" s="1">
        <f>IFERROR(__xludf.DUMMYFUNCTION("""COMPUTED_VALUE"""),1185.18)</f>
        <v>1185.18</v>
      </c>
      <c r="E4798" s="1">
        <f>IFERROR(__xludf.DUMMYFUNCTION("""COMPUTED_VALUE"""),1190.25)</f>
        <v>1190.25</v>
      </c>
      <c r="F4798" s="1">
        <f>IFERROR(__xludf.DUMMYFUNCTION("""COMPUTED_VALUE"""),1.3544E8)</f>
        <v>135440000</v>
      </c>
    </row>
    <row r="4799">
      <c r="A4799" s="2">
        <f>IFERROR(__xludf.DUMMYFUNCTION("""COMPUTED_VALUE"""),38328.666666666664)</f>
        <v>38328.66667</v>
      </c>
      <c r="B4799" s="1">
        <f>IFERROR(__xludf.DUMMYFUNCTION("""COMPUTED_VALUE"""),1190.25)</f>
        <v>1190.25</v>
      </c>
      <c r="C4799" s="1">
        <f>IFERROR(__xludf.DUMMYFUNCTION("""COMPUTED_VALUE"""),1192.19)</f>
        <v>1192.19</v>
      </c>
      <c r="D4799" s="1">
        <f>IFERROR(__xludf.DUMMYFUNCTION("""COMPUTED_VALUE"""),1177.07)</f>
        <v>1177.07</v>
      </c>
      <c r="E4799" s="1">
        <f>IFERROR(__xludf.DUMMYFUNCTION("""COMPUTED_VALUE"""),1177.08)</f>
        <v>1177.08</v>
      </c>
      <c r="F4799" s="1">
        <f>IFERROR(__xludf.DUMMYFUNCTION("""COMPUTED_VALUE"""),1.5339E8)</f>
        <v>153390000</v>
      </c>
    </row>
    <row r="4800">
      <c r="A4800" s="2">
        <f>IFERROR(__xludf.DUMMYFUNCTION("""COMPUTED_VALUE"""),38329.666666666664)</f>
        <v>38329.66667</v>
      </c>
      <c r="B4800" s="1">
        <f>IFERROR(__xludf.DUMMYFUNCTION("""COMPUTED_VALUE"""),1177.07)</f>
        <v>1177.07</v>
      </c>
      <c r="C4800" s="1">
        <f>IFERROR(__xludf.DUMMYFUNCTION("""COMPUTED_VALUE"""),1184.05)</f>
        <v>1184.05</v>
      </c>
      <c r="D4800" s="1">
        <f>IFERROR(__xludf.DUMMYFUNCTION("""COMPUTED_VALUE"""),1176.8)</f>
        <v>1176.8</v>
      </c>
      <c r="E4800" s="1">
        <f>IFERROR(__xludf.DUMMYFUNCTION("""COMPUTED_VALUE"""),1182.81)</f>
        <v>1182.81</v>
      </c>
      <c r="F4800" s="1">
        <f>IFERROR(__xludf.DUMMYFUNCTION("""COMPUTED_VALUE"""),1.5252E8)</f>
        <v>152520000</v>
      </c>
    </row>
    <row r="4801">
      <c r="A4801" s="2">
        <f>IFERROR(__xludf.DUMMYFUNCTION("""COMPUTED_VALUE"""),38330.666666666664)</f>
        <v>38330.66667</v>
      </c>
      <c r="B4801" s="1">
        <f>IFERROR(__xludf.DUMMYFUNCTION("""COMPUTED_VALUE"""),1182.81)</f>
        <v>1182.81</v>
      </c>
      <c r="C4801" s="1">
        <f>IFERROR(__xludf.DUMMYFUNCTION("""COMPUTED_VALUE"""),1190.51)</f>
        <v>1190.51</v>
      </c>
      <c r="D4801" s="1">
        <f>IFERROR(__xludf.DUMMYFUNCTION("""COMPUTED_VALUE"""),1173.76)</f>
        <v>1173.76</v>
      </c>
      <c r="E4801" s="1">
        <f>IFERROR(__xludf.DUMMYFUNCTION("""COMPUTED_VALUE"""),1189.24)</f>
        <v>1189.24</v>
      </c>
      <c r="F4801" s="1">
        <f>IFERROR(__xludf.DUMMYFUNCTION("""COMPUTED_VALUE"""),1.6247E8)</f>
        <v>162470000</v>
      </c>
    </row>
    <row r="4802">
      <c r="A4802" s="2">
        <f>IFERROR(__xludf.DUMMYFUNCTION("""COMPUTED_VALUE"""),38331.666666666664)</f>
        <v>38331.66667</v>
      </c>
      <c r="B4802" s="1">
        <f>IFERROR(__xludf.DUMMYFUNCTION("""COMPUTED_VALUE"""),1189.24)</f>
        <v>1189.24</v>
      </c>
      <c r="C4802" s="1">
        <f>IFERROR(__xludf.DUMMYFUNCTION("""COMPUTED_VALUE"""),1191.45)</f>
        <v>1191.45</v>
      </c>
      <c r="D4802" s="1">
        <f>IFERROR(__xludf.DUMMYFUNCTION("""COMPUTED_VALUE"""),1185.24)</f>
        <v>1185.24</v>
      </c>
      <c r="E4802" s="1">
        <f>IFERROR(__xludf.DUMMYFUNCTION("""COMPUTED_VALUE"""),1188.0)</f>
        <v>1188</v>
      </c>
      <c r="F4802" s="1">
        <f>IFERROR(__xludf.DUMMYFUNCTION("""COMPUTED_VALUE"""),1.4437E8)</f>
        <v>144370000</v>
      </c>
    </row>
    <row r="4803">
      <c r="A4803" s="2">
        <f>IFERROR(__xludf.DUMMYFUNCTION("""COMPUTED_VALUE"""),38334.666666666664)</f>
        <v>38334.66667</v>
      </c>
      <c r="B4803" s="1">
        <f>IFERROR(__xludf.DUMMYFUNCTION("""COMPUTED_VALUE"""),1188.0)</f>
        <v>1188</v>
      </c>
      <c r="C4803" s="1">
        <f>IFERROR(__xludf.DUMMYFUNCTION("""COMPUTED_VALUE"""),1198.77)</f>
        <v>1198.77</v>
      </c>
      <c r="D4803" s="1">
        <f>IFERROR(__xludf.DUMMYFUNCTION("""COMPUTED_VALUE"""),1188.0)</f>
        <v>1188</v>
      </c>
      <c r="E4803" s="1">
        <f>IFERROR(__xludf.DUMMYFUNCTION("""COMPUTED_VALUE"""),1198.68)</f>
        <v>1198.68</v>
      </c>
      <c r="F4803" s="1">
        <f>IFERROR(__xludf.DUMMYFUNCTION("""COMPUTED_VALUE"""),1.4361E8)</f>
        <v>143610000</v>
      </c>
    </row>
    <row r="4804">
      <c r="A4804" s="2">
        <f>IFERROR(__xludf.DUMMYFUNCTION("""COMPUTED_VALUE"""),38335.666666666664)</f>
        <v>38335.66667</v>
      </c>
      <c r="B4804" s="1">
        <f>IFERROR(__xludf.DUMMYFUNCTION("""COMPUTED_VALUE"""),1198.68)</f>
        <v>1198.68</v>
      </c>
      <c r="C4804" s="1">
        <f>IFERROR(__xludf.DUMMYFUNCTION("""COMPUTED_VALUE"""),1205.29)</f>
        <v>1205.29</v>
      </c>
      <c r="D4804" s="1">
        <f>IFERROR(__xludf.DUMMYFUNCTION("""COMPUTED_VALUE"""),1197.84)</f>
        <v>1197.84</v>
      </c>
      <c r="E4804" s="1">
        <f>IFERROR(__xludf.DUMMYFUNCTION("""COMPUTED_VALUE"""),1203.38)</f>
        <v>1203.38</v>
      </c>
      <c r="F4804" s="1">
        <f>IFERROR(__xludf.DUMMYFUNCTION("""COMPUTED_VALUE"""),1.5444E8)</f>
        <v>154440000</v>
      </c>
    </row>
    <row r="4805">
      <c r="A4805" s="2">
        <f>IFERROR(__xludf.DUMMYFUNCTION("""COMPUTED_VALUE"""),38336.666666666664)</f>
        <v>38336.66667</v>
      </c>
      <c r="B4805" s="1">
        <f>IFERROR(__xludf.DUMMYFUNCTION("""COMPUTED_VALUE"""),1203.38)</f>
        <v>1203.38</v>
      </c>
      <c r="C4805" s="1">
        <f>IFERROR(__xludf.DUMMYFUNCTION("""COMPUTED_VALUE"""),1206.61)</f>
        <v>1206.61</v>
      </c>
      <c r="D4805" s="1">
        <f>IFERROR(__xludf.DUMMYFUNCTION("""COMPUTED_VALUE"""),1199.44)</f>
        <v>1199.44</v>
      </c>
      <c r="E4805" s="1">
        <f>IFERROR(__xludf.DUMMYFUNCTION("""COMPUTED_VALUE"""),1205.72)</f>
        <v>1205.72</v>
      </c>
      <c r="F4805" s="1">
        <f>IFERROR(__xludf.DUMMYFUNCTION("""COMPUTED_VALUE"""),1.6958E8)</f>
        <v>169580000</v>
      </c>
    </row>
    <row r="4806">
      <c r="A4806" s="2">
        <f>IFERROR(__xludf.DUMMYFUNCTION("""COMPUTED_VALUE"""),38337.666666666664)</f>
        <v>38337.66667</v>
      </c>
      <c r="B4806" s="1">
        <f>IFERROR(__xludf.DUMMYFUNCTION("""COMPUTED_VALUE"""),1205.72)</f>
        <v>1205.72</v>
      </c>
      <c r="C4806" s="1">
        <f>IFERROR(__xludf.DUMMYFUNCTION("""COMPUTED_VALUE"""),1207.97)</f>
        <v>1207.97</v>
      </c>
      <c r="D4806" s="1">
        <f>IFERROR(__xludf.DUMMYFUNCTION("""COMPUTED_VALUE"""),1198.41)</f>
        <v>1198.41</v>
      </c>
      <c r="E4806" s="1">
        <f>IFERROR(__xludf.DUMMYFUNCTION("""COMPUTED_VALUE"""),1203.18)</f>
        <v>1203.18</v>
      </c>
      <c r="F4806" s="1">
        <f>IFERROR(__xludf.DUMMYFUNCTION("""COMPUTED_VALUE"""),1.7939E8)</f>
        <v>179390000</v>
      </c>
    </row>
    <row r="4807">
      <c r="A4807" s="2">
        <f>IFERROR(__xludf.DUMMYFUNCTION("""COMPUTED_VALUE"""),38338.666666666664)</f>
        <v>38338.66667</v>
      </c>
      <c r="B4807" s="1">
        <f>IFERROR(__xludf.DUMMYFUNCTION("""COMPUTED_VALUE"""),1203.21)</f>
        <v>1203.21</v>
      </c>
      <c r="C4807" s="1">
        <f>IFERROR(__xludf.DUMMYFUNCTION("""COMPUTED_VALUE"""),1203.21)</f>
        <v>1203.21</v>
      </c>
      <c r="D4807" s="1">
        <f>IFERROR(__xludf.DUMMYFUNCTION("""COMPUTED_VALUE"""),1193.44)</f>
        <v>1193.44</v>
      </c>
      <c r="E4807" s="1">
        <f>IFERROR(__xludf.DUMMYFUNCTION("""COMPUTED_VALUE"""),1194.22)</f>
        <v>1194.22</v>
      </c>
      <c r="F4807" s="1">
        <f>IFERROR(__xludf.DUMMYFUNCTION("""COMPUTED_VALUE"""),2.335E8)</f>
        <v>233500000</v>
      </c>
    </row>
    <row r="4808">
      <c r="A4808" s="2">
        <f>IFERROR(__xludf.DUMMYFUNCTION("""COMPUTED_VALUE"""),38341.666666666664)</f>
        <v>38341.66667</v>
      </c>
      <c r="B4808" s="1">
        <f>IFERROR(__xludf.DUMMYFUNCTION("""COMPUTED_VALUE"""),1194.2)</f>
        <v>1194.2</v>
      </c>
      <c r="C4808" s="1">
        <f>IFERROR(__xludf.DUMMYFUNCTION("""COMPUTED_VALUE"""),1203.64)</f>
        <v>1203.64</v>
      </c>
      <c r="D4808" s="1">
        <f>IFERROR(__xludf.DUMMYFUNCTION("""COMPUTED_VALUE"""),1193.36)</f>
        <v>1193.36</v>
      </c>
      <c r="E4808" s="1">
        <f>IFERROR(__xludf.DUMMYFUNCTION("""COMPUTED_VALUE"""),1194.66)</f>
        <v>1194.66</v>
      </c>
      <c r="F4808" s="1">
        <f>IFERROR(__xludf.DUMMYFUNCTION("""COMPUTED_VALUE"""),1.4228E8)</f>
        <v>142280000</v>
      </c>
    </row>
    <row r="4809">
      <c r="A4809" s="2">
        <f>IFERROR(__xludf.DUMMYFUNCTION("""COMPUTED_VALUE"""),38342.666666666664)</f>
        <v>38342.66667</v>
      </c>
      <c r="B4809" s="1">
        <f>IFERROR(__xludf.DUMMYFUNCTION("""COMPUTED_VALUE"""),1194.65)</f>
        <v>1194.65</v>
      </c>
      <c r="C4809" s="1">
        <f>IFERROR(__xludf.DUMMYFUNCTION("""COMPUTED_VALUE"""),1205.93)</f>
        <v>1205.93</v>
      </c>
      <c r="D4809" s="1">
        <f>IFERROR(__xludf.DUMMYFUNCTION("""COMPUTED_VALUE"""),1194.65)</f>
        <v>1194.65</v>
      </c>
      <c r="E4809" s="1">
        <f>IFERROR(__xludf.DUMMYFUNCTION("""COMPUTED_VALUE"""),1205.43)</f>
        <v>1205.43</v>
      </c>
      <c r="F4809" s="1">
        <f>IFERROR(__xludf.DUMMYFUNCTION("""COMPUTED_VALUE"""),1.4837E8)</f>
        <v>148370000</v>
      </c>
    </row>
    <row r="4810">
      <c r="A4810" s="2">
        <f>IFERROR(__xludf.DUMMYFUNCTION("""COMPUTED_VALUE"""),38343.666666666664)</f>
        <v>38343.66667</v>
      </c>
      <c r="B4810" s="1">
        <f>IFERROR(__xludf.DUMMYFUNCTION("""COMPUTED_VALUE"""),1205.45)</f>
        <v>1205.45</v>
      </c>
      <c r="C4810" s="1">
        <f>IFERROR(__xludf.DUMMYFUNCTION("""COMPUTED_VALUE"""),1211.42)</f>
        <v>1211.42</v>
      </c>
      <c r="D4810" s="1">
        <f>IFERROR(__xludf.DUMMYFUNCTION("""COMPUTED_VALUE"""),1203.81)</f>
        <v>1203.81</v>
      </c>
      <c r="E4810" s="1">
        <f>IFERROR(__xludf.DUMMYFUNCTION("""COMPUTED_VALUE"""),1209.57)</f>
        <v>1209.57</v>
      </c>
      <c r="F4810" s="1">
        <f>IFERROR(__xludf.DUMMYFUNCTION("""COMPUTED_VALUE"""),1.3908E8)</f>
        <v>139080000</v>
      </c>
    </row>
    <row r="4811">
      <c r="A4811" s="2">
        <f>IFERROR(__xludf.DUMMYFUNCTION("""COMPUTED_VALUE"""),38344.666666666664)</f>
        <v>38344.66667</v>
      </c>
      <c r="B4811" s="1">
        <f>IFERROR(__xludf.DUMMYFUNCTION("""COMPUTED_VALUE"""),1209.57)</f>
        <v>1209.57</v>
      </c>
      <c r="C4811" s="1">
        <f>IFERROR(__xludf.DUMMYFUNCTION("""COMPUTED_VALUE"""),1213.66)</f>
        <v>1213.66</v>
      </c>
      <c r="D4811" s="1">
        <f>IFERROR(__xludf.DUMMYFUNCTION("""COMPUTED_VALUE"""),1208.71)</f>
        <v>1208.71</v>
      </c>
      <c r="E4811" s="1">
        <f>IFERROR(__xludf.DUMMYFUNCTION("""COMPUTED_VALUE"""),1210.13)</f>
        <v>1210.13</v>
      </c>
      <c r="F4811" s="1">
        <f>IFERROR(__xludf.DUMMYFUNCTION("""COMPUTED_VALUE"""),4.561E7)</f>
        <v>45610000</v>
      </c>
    </row>
    <row r="4812">
      <c r="A4812" s="2">
        <f>IFERROR(__xludf.DUMMYFUNCTION("""COMPUTED_VALUE"""),38348.666666666664)</f>
        <v>38348.66667</v>
      </c>
      <c r="B4812" s="1">
        <f>IFERROR(__xludf.DUMMYFUNCTION("""COMPUTED_VALUE"""),1210.13)</f>
        <v>1210.13</v>
      </c>
      <c r="C4812" s="1">
        <f>IFERROR(__xludf.DUMMYFUNCTION("""COMPUTED_VALUE"""),1214.17)</f>
        <v>1214.17</v>
      </c>
      <c r="D4812" s="1">
        <f>IFERROR(__xludf.DUMMYFUNCTION("""COMPUTED_VALUE"""),1204.92)</f>
        <v>1204.92</v>
      </c>
      <c r="E4812" s="1">
        <f>IFERROR(__xludf.DUMMYFUNCTION("""COMPUTED_VALUE"""),1204.92)</f>
        <v>1204.92</v>
      </c>
      <c r="F4812" s="1">
        <f>IFERROR(__xludf.DUMMYFUNCTION("""COMPUTED_VALUE"""),4.22E7)</f>
        <v>42200000</v>
      </c>
    </row>
    <row r="4813">
      <c r="A4813" s="2">
        <f>IFERROR(__xludf.DUMMYFUNCTION("""COMPUTED_VALUE"""),38349.666666666664)</f>
        <v>38349.66667</v>
      </c>
      <c r="B4813" s="1">
        <f>IFERROR(__xludf.DUMMYFUNCTION("""COMPUTED_VALUE"""),1204.92)</f>
        <v>1204.92</v>
      </c>
      <c r="C4813" s="1">
        <f>IFERROR(__xludf.DUMMYFUNCTION("""COMPUTED_VALUE"""),1213.54)</f>
        <v>1213.54</v>
      </c>
      <c r="D4813" s="1">
        <f>IFERROR(__xludf.DUMMYFUNCTION("""COMPUTED_VALUE"""),1204.92)</f>
        <v>1204.92</v>
      </c>
      <c r="E4813" s="1">
        <f>IFERROR(__xludf.DUMMYFUNCTION("""COMPUTED_VALUE"""),1213.54)</f>
        <v>1213.54</v>
      </c>
      <c r="F4813" s="1">
        <f>IFERROR(__xludf.DUMMYFUNCTION("""COMPUTED_VALUE"""),4.83E7)</f>
        <v>48300000</v>
      </c>
    </row>
    <row r="4814">
      <c r="A4814" s="2">
        <f>IFERROR(__xludf.DUMMYFUNCTION("""COMPUTED_VALUE"""),38350.666666666664)</f>
        <v>38350.66667</v>
      </c>
      <c r="B4814" s="1">
        <f>IFERROR(__xludf.DUMMYFUNCTION("""COMPUTED_VALUE"""),1213.54)</f>
        <v>1213.54</v>
      </c>
      <c r="C4814" s="1">
        <f>IFERROR(__xludf.DUMMYFUNCTION("""COMPUTED_VALUE"""),1213.95)</f>
        <v>1213.95</v>
      </c>
      <c r="D4814" s="1">
        <f>IFERROR(__xludf.DUMMYFUNCTION("""COMPUTED_VALUE"""),1210.95)</f>
        <v>1210.95</v>
      </c>
      <c r="E4814" s="1">
        <f>IFERROR(__xludf.DUMMYFUNCTION("""COMPUTED_VALUE"""),1213.45)</f>
        <v>1213.45</v>
      </c>
      <c r="F4814" s="1">
        <f>IFERROR(__xludf.DUMMYFUNCTION("""COMPUTED_VALUE"""),4.259E7)</f>
        <v>42590000</v>
      </c>
    </row>
    <row r="4815">
      <c r="A4815" s="2">
        <f>IFERROR(__xludf.DUMMYFUNCTION("""COMPUTED_VALUE"""),38351.666666666664)</f>
        <v>38351.66667</v>
      </c>
      <c r="B4815" s="1">
        <f>IFERROR(__xludf.DUMMYFUNCTION("""COMPUTED_VALUE"""),1213.45)</f>
        <v>1213.45</v>
      </c>
      <c r="C4815" s="1">
        <f>IFERROR(__xludf.DUMMYFUNCTION("""COMPUTED_VALUE"""),1216.47)</f>
        <v>1216.47</v>
      </c>
      <c r="D4815" s="1">
        <f>IFERROR(__xludf.DUMMYFUNCTION("""COMPUTED_VALUE"""),1213.41)</f>
        <v>1213.41</v>
      </c>
      <c r="E4815" s="1">
        <f>IFERROR(__xludf.DUMMYFUNCTION("""COMPUTED_VALUE"""),1213.55)</f>
        <v>1213.55</v>
      </c>
      <c r="F4815" s="1">
        <f>IFERROR(__xludf.DUMMYFUNCTION("""COMPUTED_VALUE"""),3.298E7)</f>
        <v>32980000</v>
      </c>
    </row>
    <row r="4816">
      <c r="A4816" s="2">
        <f>IFERROR(__xludf.DUMMYFUNCTION("""COMPUTED_VALUE"""),38352.666666666664)</f>
        <v>38352.66667</v>
      </c>
      <c r="B4816" s="1">
        <f>IFERROR(__xludf.DUMMYFUNCTION("""COMPUTED_VALUE"""),1213.55)</f>
        <v>1213.55</v>
      </c>
      <c r="C4816" s="1">
        <f>IFERROR(__xludf.DUMMYFUNCTION("""COMPUTED_VALUE"""),1217.33)</f>
        <v>1217.33</v>
      </c>
      <c r="D4816" s="1">
        <f>IFERROR(__xludf.DUMMYFUNCTION("""COMPUTED_VALUE"""),1211.65)</f>
        <v>1211.65</v>
      </c>
      <c r="E4816" s="1">
        <f>IFERROR(__xludf.DUMMYFUNCTION("""COMPUTED_VALUE"""),1211.92)</f>
        <v>1211.92</v>
      </c>
      <c r="F4816" s="1">
        <f>IFERROR(__xludf.DUMMYFUNCTION("""COMPUTED_VALUE"""),3.869E7)</f>
        <v>38690000</v>
      </c>
    </row>
    <row r="4817">
      <c r="A4817" s="2">
        <f>IFERROR(__xludf.DUMMYFUNCTION("""COMPUTED_VALUE"""),38355.666666666664)</f>
        <v>38355.66667</v>
      </c>
      <c r="B4817" s="1">
        <f>IFERROR(__xludf.DUMMYFUNCTION("""COMPUTED_VALUE"""),1211.92)</f>
        <v>1211.92</v>
      </c>
      <c r="C4817" s="1">
        <f>IFERROR(__xludf.DUMMYFUNCTION("""COMPUTED_VALUE"""),1217.9)</f>
        <v>1217.9</v>
      </c>
      <c r="D4817" s="1">
        <f>IFERROR(__xludf.DUMMYFUNCTION("""COMPUTED_VALUE"""),1200.3)</f>
        <v>1200.3</v>
      </c>
      <c r="E4817" s="1">
        <f>IFERROR(__xludf.DUMMYFUNCTION("""COMPUTED_VALUE"""),1202.07)</f>
        <v>1202.07</v>
      </c>
      <c r="F4817" s="1">
        <f>IFERROR(__xludf.DUMMYFUNCTION("""COMPUTED_VALUE"""),1.5108E8)</f>
        <v>151080000</v>
      </c>
    </row>
    <row r="4818">
      <c r="A4818" s="2">
        <f>IFERROR(__xludf.DUMMYFUNCTION("""COMPUTED_VALUE"""),38356.666666666664)</f>
        <v>38356.66667</v>
      </c>
      <c r="B4818" s="1">
        <f>IFERROR(__xludf.DUMMYFUNCTION("""COMPUTED_VALUE"""),1202.08)</f>
        <v>1202.08</v>
      </c>
      <c r="C4818" s="1">
        <f>IFERROR(__xludf.DUMMYFUNCTION("""COMPUTED_VALUE"""),1205.84)</f>
        <v>1205.84</v>
      </c>
      <c r="D4818" s="1">
        <f>IFERROR(__xludf.DUMMYFUNCTION("""COMPUTED_VALUE"""),1185.39)</f>
        <v>1185.39</v>
      </c>
      <c r="E4818" s="1">
        <f>IFERROR(__xludf.DUMMYFUNCTION("""COMPUTED_VALUE"""),1188.04)</f>
        <v>1188.04</v>
      </c>
      <c r="F4818" s="1">
        <f>IFERROR(__xludf.DUMMYFUNCTION("""COMPUTED_VALUE"""),1.721E8)</f>
        <v>172100000</v>
      </c>
    </row>
    <row r="4819">
      <c r="A4819" s="2">
        <f>IFERROR(__xludf.DUMMYFUNCTION("""COMPUTED_VALUE"""),38357.666666666664)</f>
        <v>38357.66667</v>
      </c>
      <c r="B4819" s="1">
        <f>IFERROR(__xludf.DUMMYFUNCTION("""COMPUTED_VALUE"""),1188.05)</f>
        <v>1188.05</v>
      </c>
      <c r="C4819" s="1">
        <f>IFERROR(__xludf.DUMMYFUNCTION("""COMPUTED_VALUE"""),1192.75)</f>
        <v>1192.75</v>
      </c>
      <c r="D4819" s="1">
        <f>IFERROR(__xludf.DUMMYFUNCTION("""COMPUTED_VALUE"""),1183.72)</f>
        <v>1183.72</v>
      </c>
      <c r="E4819" s="1">
        <f>IFERROR(__xludf.DUMMYFUNCTION("""COMPUTED_VALUE"""),1183.72)</f>
        <v>1183.72</v>
      </c>
      <c r="F4819" s="1">
        <f>IFERROR(__xludf.DUMMYFUNCTION("""COMPUTED_VALUE"""),1.7389E8)</f>
        <v>173890000</v>
      </c>
    </row>
    <row r="4820">
      <c r="A4820" s="2">
        <f>IFERROR(__xludf.DUMMYFUNCTION("""COMPUTED_VALUE"""),38358.666666666664)</f>
        <v>38358.66667</v>
      </c>
      <c r="B4820" s="1">
        <f>IFERROR(__xludf.DUMMYFUNCTION("""COMPUTED_VALUE"""),1183.74)</f>
        <v>1183.74</v>
      </c>
      <c r="C4820" s="1">
        <f>IFERROR(__xludf.DUMMYFUNCTION("""COMPUTED_VALUE"""),1191.63)</f>
        <v>1191.63</v>
      </c>
      <c r="D4820" s="1">
        <f>IFERROR(__xludf.DUMMYFUNCTION("""COMPUTED_VALUE"""),1183.23)</f>
        <v>1183.23</v>
      </c>
      <c r="E4820" s="1">
        <f>IFERROR(__xludf.DUMMYFUNCTION("""COMPUTED_VALUE"""),1187.88)</f>
        <v>1187.88</v>
      </c>
      <c r="F4820" s="1">
        <f>IFERROR(__xludf.DUMMYFUNCTION("""COMPUTED_VALUE"""),1.5691E8)</f>
        <v>156910000</v>
      </c>
    </row>
    <row r="4821">
      <c r="A4821" s="2">
        <f>IFERROR(__xludf.DUMMYFUNCTION("""COMPUTED_VALUE"""),38359.666666666664)</f>
        <v>38359.66667</v>
      </c>
      <c r="B4821" s="1">
        <f>IFERROR(__xludf.DUMMYFUNCTION("""COMPUTED_VALUE"""),1187.89)</f>
        <v>1187.89</v>
      </c>
      <c r="C4821" s="1">
        <f>IFERROR(__xludf.DUMMYFUNCTION("""COMPUTED_VALUE"""),1192.2)</f>
        <v>1192.2</v>
      </c>
      <c r="D4821" s="1">
        <f>IFERROR(__xludf.DUMMYFUNCTION("""COMPUTED_VALUE"""),1182.11)</f>
        <v>1182.11</v>
      </c>
      <c r="E4821" s="1">
        <f>IFERROR(__xludf.DUMMYFUNCTION("""COMPUTED_VALUE"""),1186.19)</f>
        <v>1186.19</v>
      </c>
      <c r="F4821" s="1">
        <f>IFERROR(__xludf.DUMMYFUNCTION("""COMPUTED_VALUE"""),1.4779E8)</f>
        <v>147790000</v>
      </c>
    </row>
    <row r="4822">
      <c r="A4822" s="2">
        <f>IFERROR(__xludf.DUMMYFUNCTION("""COMPUTED_VALUE"""),38362.666666666664)</f>
        <v>38362.66667</v>
      </c>
      <c r="B4822" s="1">
        <f>IFERROR(__xludf.DUMMYFUNCTION("""COMPUTED_VALUE"""),1186.19)</f>
        <v>1186.19</v>
      </c>
      <c r="C4822" s="1">
        <f>IFERROR(__xludf.DUMMYFUNCTION("""COMPUTED_VALUE"""),1194.78)</f>
        <v>1194.78</v>
      </c>
      <c r="D4822" s="1">
        <f>IFERROR(__xludf.DUMMYFUNCTION("""COMPUTED_VALUE"""),1184.8)</f>
        <v>1184.8</v>
      </c>
      <c r="E4822" s="1">
        <f>IFERROR(__xludf.DUMMYFUNCTION("""COMPUTED_VALUE"""),1190.24)</f>
        <v>1190.24</v>
      </c>
      <c r="F4822" s="1">
        <f>IFERROR(__xludf.DUMMYFUNCTION("""COMPUTED_VALUE"""),1.4904E8)</f>
        <v>149040000</v>
      </c>
    </row>
    <row r="4823">
      <c r="A4823" s="2">
        <f>IFERROR(__xludf.DUMMYFUNCTION("""COMPUTED_VALUE"""),38363.666666666664)</f>
        <v>38363.66667</v>
      </c>
      <c r="B4823" s="1">
        <f>IFERROR(__xludf.DUMMYFUNCTION("""COMPUTED_VALUE"""),1190.25)</f>
        <v>1190.25</v>
      </c>
      <c r="C4823" s="1">
        <f>IFERROR(__xludf.DUMMYFUNCTION("""COMPUTED_VALUE"""),1190.25)</f>
        <v>1190.25</v>
      </c>
      <c r="D4823" s="1">
        <f>IFERROR(__xludf.DUMMYFUNCTION("""COMPUTED_VALUE"""),1180.43)</f>
        <v>1180.43</v>
      </c>
      <c r="E4823" s="1">
        <f>IFERROR(__xludf.DUMMYFUNCTION("""COMPUTED_VALUE"""),1182.99)</f>
        <v>1182.99</v>
      </c>
      <c r="F4823" s="1">
        <f>IFERROR(__xludf.DUMMYFUNCTION("""COMPUTED_VALUE"""),1.4888E8)</f>
        <v>148880000</v>
      </c>
    </row>
    <row r="4824">
      <c r="A4824" s="2">
        <f>IFERROR(__xludf.DUMMYFUNCTION("""COMPUTED_VALUE"""),38364.666666666664)</f>
        <v>38364.66667</v>
      </c>
      <c r="B4824" s="1">
        <f>IFERROR(__xludf.DUMMYFUNCTION("""COMPUTED_VALUE"""),1182.99)</f>
        <v>1182.99</v>
      </c>
      <c r="C4824" s="1">
        <f>IFERROR(__xludf.DUMMYFUNCTION("""COMPUTED_VALUE"""),1187.98)</f>
        <v>1187.98</v>
      </c>
      <c r="D4824" s="1">
        <f>IFERROR(__xludf.DUMMYFUNCTION("""COMPUTED_VALUE"""),1175.64)</f>
        <v>1175.64</v>
      </c>
      <c r="E4824" s="1">
        <f>IFERROR(__xludf.DUMMYFUNCTION("""COMPUTED_VALUE"""),1187.7)</f>
        <v>1187.7</v>
      </c>
      <c r="F4824" s="1">
        <f>IFERROR(__xludf.DUMMYFUNCTION("""COMPUTED_VALUE"""),1.5621E8)</f>
        <v>156210000</v>
      </c>
    </row>
    <row r="4825">
      <c r="A4825" s="2">
        <f>IFERROR(__xludf.DUMMYFUNCTION("""COMPUTED_VALUE"""),38365.666666666664)</f>
        <v>38365.66667</v>
      </c>
      <c r="B4825" s="1">
        <f>IFERROR(__xludf.DUMMYFUNCTION("""COMPUTED_VALUE"""),1187.7)</f>
        <v>1187.7</v>
      </c>
      <c r="C4825" s="1">
        <f>IFERROR(__xludf.DUMMYFUNCTION("""COMPUTED_VALUE"""),1187.7)</f>
        <v>1187.7</v>
      </c>
      <c r="D4825" s="1">
        <f>IFERROR(__xludf.DUMMYFUNCTION("""COMPUTED_VALUE"""),1175.61)</f>
        <v>1175.61</v>
      </c>
      <c r="E4825" s="1">
        <f>IFERROR(__xludf.DUMMYFUNCTION("""COMPUTED_VALUE"""),1177.44)</f>
        <v>1177.44</v>
      </c>
      <c r="F4825" s="1">
        <f>IFERROR(__xludf.DUMMYFUNCTION("""COMPUTED_VALUE"""),1.5103E8)</f>
        <v>151030000</v>
      </c>
    </row>
    <row r="4826">
      <c r="A4826" s="2">
        <f>IFERROR(__xludf.DUMMYFUNCTION("""COMPUTED_VALUE"""),38366.666666666664)</f>
        <v>38366.66667</v>
      </c>
      <c r="B4826" s="1">
        <f>IFERROR(__xludf.DUMMYFUNCTION("""COMPUTED_VALUE"""),1177.45)</f>
        <v>1177.45</v>
      </c>
      <c r="C4826" s="1">
        <f>IFERROR(__xludf.DUMMYFUNCTION("""COMPUTED_VALUE"""),1185.21)</f>
        <v>1185.21</v>
      </c>
      <c r="D4826" s="1">
        <f>IFERROR(__xludf.DUMMYFUNCTION("""COMPUTED_VALUE"""),1177.45)</f>
        <v>1177.45</v>
      </c>
      <c r="E4826" s="1">
        <f>IFERROR(__xludf.DUMMYFUNCTION("""COMPUTED_VALUE"""),1184.51)</f>
        <v>1184.51</v>
      </c>
      <c r="F4826" s="1">
        <f>IFERROR(__xludf.DUMMYFUNCTION("""COMPUTED_VALUE"""),1.3354E8)</f>
        <v>133540000</v>
      </c>
    </row>
    <row r="4827">
      <c r="A4827" s="2">
        <f>IFERROR(__xludf.DUMMYFUNCTION("""COMPUTED_VALUE"""),38370.666666666664)</f>
        <v>38370.66667</v>
      </c>
      <c r="B4827" s="1">
        <f>IFERROR(__xludf.DUMMYFUNCTION("""COMPUTED_VALUE"""),1184.52)</f>
        <v>1184.52</v>
      </c>
      <c r="C4827" s="1">
        <f>IFERROR(__xludf.DUMMYFUNCTION("""COMPUTED_VALUE"""),1195.98)</f>
        <v>1195.98</v>
      </c>
      <c r="D4827" s="1">
        <f>IFERROR(__xludf.DUMMYFUNCTION("""COMPUTED_VALUE"""),1180.1)</f>
        <v>1180.1</v>
      </c>
      <c r="E4827" s="1">
        <f>IFERROR(__xludf.DUMMYFUNCTION("""COMPUTED_VALUE"""),1195.98)</f>
        <v>1195.98</v>
      </c>
      <c r="F4827" s="1">
        <f>IFERROR(__xludf.DUMMYFUNCTION("""COMPUTED_VALUE"""),1.5968E8)</f>
        <v>159680000</v>
      </c>
    </row>
    <row r="4828">
      <c r="A4828" s="2">
        <f>IFERROR(__xludf.DUMMYFUNCTION("""COMPUTED_VALUE"""),38371.666666666664)</f>
        <v>38371.66667</v>
      </c>
      <c r="B4828" s="1">
        <f>IFERROR(__xludf.DUMMYFUNCTION("""COMPUTED_VALUE"""),1195.98)</f>
        <v>1195.98</v>
      </c>
      <c r="C4828" s="1">
        <f>IFERROR(__xludf.DUMMYFUNCTION("""COMPUTED_VALUE"""),1195.98)</f>
        <v>1195.98</v>
      </c>
      <c r="D4828" s="1">
        <f>IFERROR(__xludf.DUMMYFUNCTION("""COMPUTED_VALUE"""),1184.57)</f>
        <v>1184.57</v>
      </c>
      <c r="E4828" s="1">
        <f>IFERROR(__xludf.DUMMYFUNCTION("""COMPUTED_VALUE"""),1184.63)</f>
        <v>1184.63</v>
      </c>
      <c r="F4828" s="1">
        <f>IFERROR(__xludf.DUMMYFUNCTION("""COMPUTED_VALUE"""),1.4987E8)</f>
        <v>149870000</v>
      </c>
    </row>
    <row r="4829">
      <c r="A4829" s="2">
        <f>IFERROR(__xludf.DUMMYFUNCTION("""COMPUTED_VALUE"""),38372.666666666664)</f>
        <v>38372.66667</v>
      </c>
      <c r="B4829" s="1">
        <f>IFERROR(__xludf.DUMMYFUNCTION("""COMPUTED_VALUE"""),1184.63)</f>
        <v>1184.63</v>
      </c>
      <c r="C4829" s="1">
        <f>IFERROR(__xludf.DUMMYFUNCTION("""COMPUTED_VALUE"""),1184.63)</f>
        <v>1184.63</v>
      </c>
      <c r="D4829" s="1">
        <f>IFERROR(__xludf.DUMMYFUNCTION("""COMPUTED_VALUE"""),1173.39)</f>
        <v>1173.39</v>
      </c>
      <c r="E4829" s="1">
        <f>IFERROR(__xludf.DUMMYFUNCTION("""COMPUTED_VALUE"""),1175.41)</f>
        <v>1175.41</v>
      </c>
      <c r="F4829" s="1">
        <f>IFERROR(__xludf.DUMMYFUNCTION("""COMPUTED_VALUE"""),1.692E8)</f>
        <v>169200000</v>
      </c>
    </row>
    <row r="4830">
      <c r="A4830" s="2">
        <f>IFERROR(__xludf.DUMMYFUNCTION("""COMPUTED_VALUE"""),38373.666666666664)</f>
        <v>38373.66667</v>
      </c>
      <c r="B4830" s="1">
        <f>IFERROR(__xludf.DUMMYFUNCTION("""COMPUTED_VALUE"""),1175.41)</f>
        <v>1175.41</v>
      </c>
      <c r="C4830" s="1">
        <f>IFERROR(__xludf.DUMMYFUNCTION("""COMPUTED_VALUE"""),1179.55)</f>
        <v>1179.55</v>
      </c>
      <c r="D4830" s="1">
        <f>IFERROR(__xludf.DUMMYFUNCTION("""COMPUTED_VALUE"""),1167.82)</f>
        <v>1167.82</v>
      </c>
      <c r="E4830" s="1">
        <f>IFERROR(__xludf.DUMMYFUNCTION("""COMPUTED_VALUE"""),1167.82)</f>
        <v>1167.82</v>
      </c>
      <c r="F4830" s="1">
        <f>IFERROR(__xludf.DUMMYFUNCTION("""COMPUTED_VALUE"""),1.6435E8)</f>
        <v>164350000</v>
      </c>
    </row>
    <row r="4831">
      <c r="A4831" s="2">
        <f>IFERROR(__xludf.DUMMYFUNCTION("""COMPUTED_VALUE"""),38376.666666666664)</f>
        <v>38376.66667</v>
      </c>
      <c r="B4831" s="1">
        <f>IFERROR(__xludf.DUMMYFUNCTION("""COMPUTED_VALUE"""),1167.87)</f>
        <v>1167.87</v>
      </c>
      <c r="C4831" s="1">
        <f>IFERROR(__xludf.DUMMYFUNCTION("""COMPUTED_VALUE"""),1173.17)</f>
        <v>1173.17</v>
      </c>
      <c r="D4831" s="1">
        <f>IFERROR(__xludf.DUMMYFUNCTION("""COMPUTED_VALUE"""),1163.75)</f>
        <v>1163.75</v>
      </c>
      <c r="E4831" s="1">
        <f>IFERROR(__xludf.DUMMYFUNCTION("""COMPUTED_VALUE"""),1163.75)</f>
        <v>1163.75</v>
      </c>
      <c r="F4831" s="1">
        <f>IFERROR(__xludf.DUMMYFUNCTION("""COMPUTED_VALUE"""),1.4946E8)</f>
        <v>149460000</v>
      </c>
    </row>
    <row r="4832">
      <c r="A4832" s="2">
        <f>IFERROR(__xludf.DUMMYFUNCTION("""COMPUTED_VALUE"""),38377.666666666664)</f>
        <v>38377.66667</v>
      </c>
      <c r="B4832" s="1">
        <f>IFERROR(__xludf.DUMMYFUNCTION("""COMPUTED_VALUE"""),1163.75)</f>
        <v>1163.75</v>
      </c>
      <c r="C4832" s="1">
        <f>IFERROR(__xludf.DUMMYFUNCTION("""COMPUTED_VALUE"""),1174.3)</f>
        <v>1174.3</v>
      </c>
      <c r="D4832" s="1">
        <f>IFERROR(__xludf.DUMMYFUNCTION("""COMPUTED_VALUE"""),1163.75)</f>
        <v>1163.75</v>
      </c>
      <c r="E4832" s="1">
        <f>IFERROR(__xludf.DUMMYFUNCTION("""COMPUTED_VALUE"""),1168.41)</f>
        <v>1168.41</v>
      </c>
      <c r="F4832" s="1">
        <f>IFERROR(__xludf.DUMMYFUNCTION("""COMPUTED_VALUE"""),1.6104E8)</f>
        <v>161040000</v>
      </c>
    </row>
    <row r="4833">
      <c r="A4833" s="2">
        <f>IFERROR(__xludf.DUMMYFUNCTION("""COMPUTED_VALUE"""),38378.666666666664)</f>
        <v>38378.66667</v>
      </c>
      <c r="B4833" s="1">
        <f>IFERROR(__xludf.DUMMYFUNCTION("""COMPUTED_VALUE"""),1168.41)</f>
        <v>1168.41</v>
      </c>
      <c r="C4833" s="1">
        <f>IFERROR(__xludf.DUMMYFUNCTION("""COMPUTED_VALUE"""),1175.99)</f>
        <v>1175.99</v>
      </c>
      <c r="D4833" s="1">
        <f>IFERROR(__xludf.DUMMYFUNCTION("""COMPUTED_VALUE"""),1168.41)</f>
        <v>1168.41</v>
      </c>
      <c r="E4833" s="1">
        <f>IFERROR(__xludf.DUMMYFUNCTION("""COMPUTED_VALUE"""),1174.07)</f>
        <v>1174.07</v>
      </c>
      <c r="F4833" s="1">
        <f>IFERROR(__xludf.DUMMYFUNCTION("""COMPUTED_VALUE"""),1.6359E8)</f>
        <v>163590000</v>
      </c>
    </row>
    <row r="4834">
      <c r="A4834" s="2">
        <f>IFERROR(__xludf.DUMMYFUNCTION("""COMPUTED_VALUE"""),38379.666666666664)</f>
        <v>38379.66667</v>
      </c>
      <c r="B4834" s="1">
        <f>IFERROR(__xludf.DUMMYFUNCTION("""COMPUTED_VALUE"""),1174.07)</f>
        <v>1174.07</v>
      </c>
      <c r="C4834" s="1">
        <f>IFERROR(__xludf.DUMMYFUNCTION("""COMPUTED_VALUE"""),1177.5)</f>
        <v>1177.5</v>
      </c>
      <c r="D4834" s="1">
        <f>IFERROR(__xludf.DUMMYFUNCTION("""COMPUTED_VALUE"""),1170.15)</f>
        <v>1170.15</v>
      </c>
      <c r="E4834" s="1">
        <f>IFERROR(__xludf.DUMMYFUNCTION("""COMPUTED_VALUE"""),1174.55)</f>
        <v>1174.55</v>
      </c>
      <c r="F4834" s="1">
        <f>IFERROR(__xludf.DUMMYFUNCTION("""COMPUTED_VALUE"""),1.6006E8)</f>
        <v>160060000</v>
      </c>
    </row>
    <row r="4835">
      <c r="A4835" s="2">
        <f>IFERROR(__xludf.DUMMYFUNCTION("""COMPUTED_VALUE"""),38380.666666666664)</f>
        <v>38380.66667</v>
      </c>
      <c r="B4835" s="1">
        <f>IFERROR(__xludf.DUMMYFUNCTION("""COMPUTED_VALUE"""),1174.55)</f>
        <v>1174.55</v>
      </c>
      <c r="C4835" s="1">
        <f>IFERROR(__xludf.DUMMYFUNCTION("""COMPUTED_VALUE"""),1175.63)</f>
        <v>1175.63</v>
      </c>
      <c r="D4835" s="1">
        <f>IFERROR(__xludf.DUMMYFUNCTION("""COMPUTED_VALUE"""),1166.3)</f>
        <v>1166.3</v>
      </c>
      <c r="E4835" s="1">
        <f>IFERROR(__xludf.DUMMYFUNCTION("""COMPUTED_VALUE"""),1171.36)</f>
        <v>1171.36</v>
      </c>
      <c r="F4835" s="1">
        <f>IFERROR(__xludf.DUMMYFUNCTION("""COMPUTED_VALUE"""),1.6418E8)</f>
        <v>164180000</v>
      </c>
    </row>
    <row r="4836">
      <c r="A4836" s="2">
        <f>IFERROR(__xludf.DUMMYFUNCTION("""COMPUTED_VALUE"""),38383.666666666664)</f>
        <v>38383.66667</v>
      </c>
      <c r="B4836" s="1">
        <f>IFERROR(__xludf.DUMMYFUNCTION("""COMPUTED_VALUE"""),1171.36)</f>
        <v>1171.36</v>
      </c>
      <c r="C4836" s="1">
        <f>IFERROR(__xludf.DUMMYFUNCTION("""COMPUTED_VALUE"""),1182.07)</f>
        <v>1182.07</v>
      </c>
      <c r="D4836" s="1">
        <f>IFERROR(__xludf.DUMMYFUNCTION("""COMPUTED_VALUE"""),1171.36)</f>
        <v>1171.36</v>
      </c>
      <c r="E4836" s="1">
        <f>IFERROR(__xludf.DUMMYFUNCTION("""COMPUTED_VALUE"""),1181.26)</f>
        <v>1181.26</v>
      </c>
      <c r="F4836" s="1">
        <f>IFERROR(__xludf.DUMMYFUNCTION("""COMPUTED_VALUE"""),1.6798E8)</f>
        <v>167980000</v>
      </c>
    </row>
    <row r="4837">
      <c r="A4837" s="2">
        <f>IFERROR(__xludf.DUMMYFUNCTION("""COMPUTED_VALUE"""),38384.666666666664)</f>
        <v>38384.66667</v>
      </c>
      <c r="B4837" s="1">
        <f>IFERROR(__xludf.DUMMYFUNCTION("""COMPUTED_VALUE"""),1181.27)</f>
        <v>1181.27</v>
      </c>
      <c r="C4837" s="1">
        <f>IFERROR(__xludf.DUMMYFUNCTION("""COMPUTED_VALUE"""),1190.39)</f>
        <v>1190.39</v>
      </c>
      <c r="D4837" s="1">
        <f>IFERROR(__xludf.DUMMYFUNCTION("""COMPUTED_VALUE"""),1180.95)</f>
        <v>1180.95</v>
      </c>
      <c r="E4837" s="1">
        <f>IFERROR(__xludf.DUMMYFUNCTION("""COMPUTED_VALUE"""),1189.4)</f>
        <v>1189.4</v>
      </c>
      <c r="F4837" s="1">
        <f>IFERROR(__xludf.DUMMYFUNCTION("""COMPUTED_VALUE"""),1.68198E8)</f>
        <v>168198000</v>
      </c>
    </row>
    <row r="4838">
      <c r="A4838" s="2">
        <f>IFERROR(__xludf.DUMMYFUNCTION("""COMPUTED_VALUE"""),38385.666666666664)</f>
        <v>38385.66667</v>
      </c>
      <c r="B4838" s="1">
        <f>IFERROR(__xludf.DUMMYFUNCTION("""COMPUTED_VALUE"""),1189.41)</f>
        <v>1189.41</v>
      </c>
      <c r="C4838" s="1">
        <f>IFERROR(__xludf.DUMMYFUNCTION("""COMPUTED_VALUE"""),1195.25)</f>
        <v>1195.25</v>
      </c>
      <c r="D4838" s="1">
        <f>IFERROR(__xludf.DUMMYFUNCTION("""COMPUTED_VALUE"""),1188.92)</f>
        <v>1188.92</v>
      </c>
      <c r="E4838" s="1">
        <f>IFERROR(__xludf.DUMMYFUNCTION("""COMPUTED_VALUE"""),1193.19)</f>
        <v>1193.19</v>
      </c>
      <c r="F4838" s="1">
        <f>IFERROR(__xludf.DUMMYFUNCTION("""COMPUTED_VALUE"""),1.56174E8)</f>
        <v>156174000</v>
      </c>
    </row>
    <row r="4839">
      <c r="A4839" s="2">
        <f>IFERROR(__xludf.DUMMYFUNCTION("""COMPUTED_VALUE"""),38386.666666666664)</f>
        <v>38386.66667</v>
      </c>
      <c r="B4839" s="1">
        <f>IFERROR(__xludf.DUMMYFUNCTION("""COMPUTED_VALUE"""),1193.19)</f>
        <v>1193.19</v>
      </c>
      <c r="C4839" s="1">
        <f>IFERROR(__xludf.DUMMYFUNCTION("""COMPUTED_VALUE"""),1193.19)</f>
        <v>1193.19</v>
      </c>
      <c r="D4839" s="1">
        <f>IFERROR(__xludf.DUMMYFUNCTION("""COMPUTED_VALUE"""),1185.63)</f>
        <v>1185.63</v>
      </c>
      <c r="E4839" s="1">
        <f>IFERROR(__xludf.DUMMYFUNCTION("""COMPUTED_VALUE"""),1189.89)</f>
        <v>1189.89</v>
      </c>
      <c r="F4839" s="1">
        <f>IFERROR(__xludf.DUMMYFUNCTION("""COMPUTED_VALUE"""),1.55446E8)</f>
        <v>155446000</v>
      </c>
    </row>
    <row r="4840">
      <c r="A4840" s="2">
        <f>IFERROR(__xludf.DUMMYFUNCTION("""COMPUTED_VALUE"""),38387.666666666664)</f>
        <v>38387.66667</v>
      </c>
      <c r="B4840" s="1">
        <f>IFERROR(__xludf.DUMMYFUNCTION("""COMPUTED_VALUE"""),1189.89)</f>
        <v>1189.89</v>
      </c>
      <c r="C4840" s="1">
        <f>IFERROR(__xludf.DUMMYFUNCTION("""COMPUTED_VALUE"""),1203.47)</f>
        <v>1203.47</v>
      </c>
      <c r="D4840" s="1">
        <f>IFERROR(__xludf.DUMMYFUNCTION("""COMPUTED_VALUE"""),1189.73)</f>
        <v>1189.73</v>
      </c>
      <c r="E4840" s="1">
        <f>IFERROR(__xludf.DUMMYFUNCTION("""COMPUTED_VALUE"""),1203.03)</f>
        <v>1203.03</v>
      </c>
      <c r="F4840" s="1">
        <f>IFERROR(__xludf.DUMMYFUNCTION("""COMPUTED_VALUE"""),1.64816E8)</f>
        <v>164816000</v>
      </c>
    </row>
    <row r="4841">
      <c r="A4841" s="2">
        <f>IFERROR(__xludf.DUMMYFUNCTION("""COMPUTED_VALUE"""),38390.666666666664)</f>
        <v>38390.66667</v>
      </c>
      <c r="B4841" s="1">
        <f>IFERROR(__xludf.DUMMYFUNCTION("""COMPUTED_VALUE"""),1203.03)</f>
        <v>1203.03</v>
      </c>
      <c r="C4841" s="1">
        <f>IFERROR(__xludf.DUMMYFUNCTION("""COMPUTED_VALUE"""),1204.15)</f>
        <v>1204.15</v>
      </c>
      <c r="D4841" s="1">
        <f>IFERROR(__xludf.DUMMYFUNCTION("""COMPUTED_VALUE"""),1199.27)</f>
        <v>1199.27</v>
      </c>
      <c r="E4841" s="1">
        <f>IFERROR(__xludf.DUMMYFUNCTION("""COMPUTED_VALUE"""),1201.72)</f>
        <v>1201.72</v>
      </c>
      <c r="F4841" s="1">
        <f>IFERROR(__xludf.DUMMYFUNCTION("""COMPUTED_VALUE"""),1.34727008E8)</f>
        <v>134727008</v>
      </c>
    </row>
    <row r="4842">
      <c r="A4842" s="2">
        <f>IFERROR(__xludf.DUMMYFUNCTION("""COMPUTED_VALUE"""),38391.666666666664)</f>
        <v>38391.66667</v>
      </c>
      <c r="B4842" s="1">
        <f>IFERROR(__xludf.DUMMYFUNCTION("""COMPUTED_VALUE"""),1201.72)</f>
        <v>1201.72</v>
      </c>
      <c r="C4842" s="1">
        <f>IFERROR(__xludf.DUMMYFUNCTION("""COMPUTED_VALUE"""),1205.11)</f>
        <v>1205.11</v>
      </c>
      <c r="D4842" s="1">
        <f>IFERROR(__xludf.DUMMYFUNCTION("""COMPUTED_VALUE"""),1200.16)</f>
        <v>1200.16</v>
      </c>
      <c r="E4842" s="1">
        <f>IFERROR(__xludf.DUMMYFUNCTION("""COMPUTED_VALUE"""),1202.3)</f>
        <v>1202.3</v>
      </c>
      <c r="F4842" s="1">
        <f>IFERROR(__xludf.DUMMYFUNCTION("""COMPUTED_VALUE"""),1.41616992E8)</f>
        <v>141616992</v>
      </c>
    </row>
    <row r="4843">
      <c r="A4843" s="2">
        <f>IFERROR(__xludf.DUMMYFUNCTION("""COMPUTED_VALUE"""),38392.666666666664)</f>
        <v>38392.66667</v>
      </c>
      <c r="B4843" s="1">
        <f>IFERROR(__xludf.DUMMYFUNCTION("""COMPUTED_VALUE"""),1202.3)</f>
        <v>1202.3</v>
      </c>
      <c r="C4843" s="1">
        <f>IFERROR(__xludf.DUMMYFUNCTION("""COMPUTED_VALUE"""),1203.83)</f>
        <v>1203.83</v>
      </c>
      <c r="D4843" s="1">
        <f>IFERROR(__xludf.DUMMYFUNCTION("""COMPUTED_VALUE"""),1191.54)</f>
        <v>1191.54</v>
      </c>
      <c r="E4843" s="1">
        <f>IFERROR(__xludf.DUMMYFUNCTION("""COMPUTED_VALUE"""),1191.99)</f>
        <v>1191.99</v>
      </c>
      <c r="F4843" s="1">
        <f>IFERROR(__xludf.DUMMYFUNCTION("""COMPUTED_VALUE"""),1.51104E8)</f>
        <v>151104000</v>
      </c>
    </row>
    <row r="4844">
      <c r="A4844" s="2">
        <f>IFERROR(__xludf.DUMMYFUNCTION("""COMPUTED_VALUE"""),38393.666666666664)</f>
        <v>38393.66667</v>
      </c>
      <c r="B4844" s="1">
        <f>IFERROR(__xludf.DUMMYFUNCTION("""COMPUTED_VALUE"""),1191.99)</f>
        <v>1191.99</v>
      </c>
      <c r="C4844" s="1">
        <f>IFERROR(__xludf.DUMMYFUNCTION("""COMPUTED_VALUE"""),1198.75)</f>
        <v>1198.75</v>
      </c>
      <c r="D4844" s="1">
        <f>IFERROR(__xludf.DUMMYFUNCTION("""COMPUTED_VALUE"""),1191.54)</f>
        <v>1191.54</v>
      </c>
      <c r="E4844" s="1">
        <f>IFERROR(__xludf.DUMMYFUNCTION("""COMPUTED_VALUE"""),1197.01)</f>
        <v>1197.01</v>
      </c>
      <c r="F4844" s="1">
        <f>IFERROR(__xludf.DUMMYFUNCTION("""COMPUTED_VALUE"""),1.49167008E8)</f>
        <v>149167008</v>
      </c>
    </row>
    <row r="4845">
      <c r="A4845" s="2">
        <f>IFERROR(__xludf.DUMMYFUNCTION("""COMPUTED_VALUE"""),38394.666666666664)</f>
        <v>38394.66667</v>
      </c>
      <c r="B4845" s="1">
        <f>IFERROR(__xludf.DUMMYFUNCTION("""COMPUTED_VALUE"""),1197.01)</f>
        <v>1197.01</v>
      </c>
      <c r="C4845" s="1">
        <f>IFERROR(__xludf.DUMMYFUNCTION("""COMPUTED_VALUE"""),1208.34)</f>
        <v>1208.34</v>
      </c>
      <c r="D4845" s="1">
        <f>IFERROR(__xludf.DUMMYFUNCTION("""COMPUTED_VALUE"""),1193.28)</f>
        <v>1193.28</v>
      </c>
      <c r="E4845" s="1">
        <f>IFERROR(__xludf.DUMMYFUNCTION("""COMPUTED_VALUE"""),1205.3)</f>
        <v>1205.3</v>
      </c>
      <c r="F4845" s="1">
        <f>IFERROR(__xludf.DUMMYFUNCTION("""COMPUTED_VALUE"""),1.5623E8)</f>
        <v>156230000</v>
      </c>
    </row>
    <row r="4846">
      <c r="A4846" s="2">
        <f>IFERROR(__xludf.DUMMYFUNCTION("""COMPUTED_VALUE"""),38397.666666666664)</f>
        <v>38397.66667</v>
      </c>
      <c r="B4846" s="1">
        <f>IFERROR(__xludf.DUMMYFUNCTION("""COMPUTED_VALUE"""),1205.3)</f>
        <v>1205.3</v>
      </c>
      <c r="C4846" s="1">
        <f>IFERROR(__xludf.DUMMYFUNCTION("""COMPUTED_VALUE"""),1206.93)</f>
        <v>1206.93</v>
      </c>
      <c r="D4846" s="1">
        <f>IFERROR(__xludf.DUMMYFUNCTION("""COMPUTED_VALUE"""),1203.59)</f>
        <v>1203.59</v>
      </c>
      <c r="E4846" s="1">
        <f>IFERROR(__xludf.DUMMYFUNCTION("""COMPUTED_VALUE"""),1206.14)</f>
        <v>1206.14</v>
      </c>
      <c r="F4846" s="1">
        <f>IFERROR(__xludf.DUMMYFUNCTION("""COMPUTED_VALUE"""),1.29018E8)</f>
        <v>129018000</v>
      </c>
    </row>
    <row r="4847">
      <c r="A4847" s="2">
        <f>IFERROR(__xludf.DUMMYFUNCTION("""COMPUTED_VALUE"""),38398.666666666664)</f>
        <v>38398.66667</v>
      </c>
      <c r="B4847" s="1">
        <f>IFERROR(__xludf.DUMMYFUNCTION("""COMPUTED_VALUE"""),1206.14)</f>
        <v>1206.14</v>
      </c>
      <c r="C4847" s="1">
        <f>IFERROR(__xludf.DUMMYFUNCTION("""COMPUTED_VALUE"""),1212.44)</f>
        <v>1212.44</v>
      </c>
      <c r="D4847" s="1">
        <f>IFERROR(__xludf.DUMMYFUNCTION("""COMPUTED_VALUE"""),1205.52)</f>
        <v>1205.52</v>
      </c>
      <c r="E4847" s="1">
        <f>IFERROR(__xludf.DUMMYFUNCTION("""COMPUTED_VALUE"""),1210.12)</f>
        <v>1210.12</v>
      </c>
      <c r="F4847" s="1">
        <f>IFERROR(__xludf.DUMMYFUNCTION("""COMPUTED_VALUE"""),1.52708E8)</f>
        <v>152708000</v>
      </c>
    </row>
    <row r="4848">
      <c r="A4848" s="2">
        <f>IFERROR(__xludf.DUMMYFUNCTION("""COMPUTED_VALUE"""),38399.666666666664)</f>
        <v>38399.66667</v>
      </c>
      <c r="B4848" s="1">
        <f>IFERROR(__xludf.DUMMYFUNCTION("""COMPUTED_VALUE"""),1210.12)</f>
        <v>1210.12</v>
      </c>
      <c r="C4848" s="1">
        <f>IFERROR(__xludf.DUMMYFUNCTION("""COMPUTED_VALUE"""),1212.44)</f>
        <v>1212.44</v>
      </c>
      <c r="D4848" s="1">
        <f>IFERROR(__xludf.DUMMYFUNCTION("""COMPUTED_VALUE"""),1205.06)</f>
        <v>1205.06</v>
      </c>
      <c r="E4848" s="1">
        <f>IFERROR(__xludf.DUMMYFUNCTION("""COMPUTED_VALUE"""),1210.34)</f>
        <v>1210.34</v>
      </c>
      <c r="F4848" s="1">
        <f>IFERROR(__xludf.DUMMYFUNCTION("""COMPUTED_VALUE"""),1.4901E8)</f>
        <v>149010000</v>
      </c>
    </row>
    <row r="4849">
      <c r="A4849" s="2">
        <f>IFERROR(__xludf.DUMMYFUNCTION("""COMPUTED_VALUE"""),38400.666666666664)</f>
        <v>38400.66667</v>
      </c>
      <c r="B4849" s="1">
        <f>IFERROR(__xludf.DUMMYFUNCTION("""COMPUTED_VALUE"""),1210.34)</f>
        <v>1210.34</v>
      </c>
      <c r="C4849" s="1">
        <f>IFERROR(__xludf.DUMMYFUNCTION("""COMPUTED_VALUE"""),1211.33)</f>
        <v>1211.33</v>
      </c>
      <c r="D4849" s="1">
        <f>IFERROR(__xludf.DUMMYFUNCTION("""COMPUTED_VALUE"""),1200.74)</f>
        <v>1200.74</v>
      </c>
      <c r="E4849" s="1">
        <f>IFERROR(__xludf.DUMMYFUNCTION("""COMPUTED_VALUE"""),1200.75)</f>
        <v>1200.75</v>
      </c>
      <c r="F4849" s="1">
        <f>IFERROR(__xludf.DUMMYFUNCTION("""COMPUTED_VALUE"""),1.58012E8)</f>
        <v>158012000</v>
      </c>
    </row>
    <row r="4850">
      <c r="A4850" s="2">
        <f>IFERROR(__xludf.DUMMYFUNCTION("""COMPUTED_VALUE"""),38401.666666666664)</f>
        <v>38401.66667</v>
      </c>
      <c r="B4850" s="1">
        <f>IFERROR(__xludf.DUMMYFUNCTION("""COMPUTED_VALUE"""),1200.75)</f>
        <v>1200.75</v>
      </c>
      <c r="C4850" s="1">
        <f>IFERROR(__xludf.DUMMYFUNCTION("""COMPUTED_VALUE"""),1202.92)</f>
        <v>1202.92</v>
      </c>
      <c r="D4850" s="1">
        <f>IFERROR(__xludf.DUMMYFUNCTION("""COMPUTED_VALUE"""),1197.35)</f>
        <v>1197.35</v>
      </c>
      <c r="E4850" s="1">
        <f>IFERROR(__xludf.DUMMYFUNCTION("""COMPUTED_VALUE"""),1201.58)</f>
        <v>1201.58</v>
      </c>
      <c r="F4850" s="1">
        <f>IFERROR(__xludf.DUMMYFUNCTION("""COMPUTED_VALUE"""),1.5512E8)</f>
        <v>155120000</v>
      </c>
    </row>
    <row r="4851">
      <c r="A4851" s="2">
        <f>IFERROR(__xludf.DUMMYFUNCTION("""COMPUTED_VALUE"""),38405.666666666664)</f>
        <v>38405.66667</v>
      </c>
      <c r="B4851" s="1">
        <f>IFERROR(__xludf.DUMMYFUNCTION("""COMPUTED_VALUE"""),1201.59)</f>
        <v>1201.59</v>
      </c>
      <c r="C4851" s="1">
        <f>IFERROR(__xludf.DUMMYFUNCTION("""COMPUTED_VALUE"""),1202.48)</f>
        <v>1202.48</v>
      </c>
      <c r="D4851" s="1">
        <f>IFERROR(__xludf.DUMMYFUNCTION("""COMPUTED_VALUE"""),1184.17)</f>
        <v>1184.17</v>
      </c>
      <c r="E4851" s="1">
        <f>IFERROR(__xludf.DUMMYFUNCTION("""COMPUTED_VALUE"""),1184.17)</f>
        <v>1184.17</v>
      </c>
      <c r="F4851" s="1">
        <f>IFERROR(__xludf.DUMMYFUNCTION("""COMPUTED_VALUE"""),1.74494E8)</f>
        <v>174494000</v>
      </c>
    </row>
    <row r="4852">
      <c r="A4852" s="2">
        <f>IFERROR(__xludf.DUMMYFUNCTION("""COMPUTED_VALUE"""),38406.666666666664)</f>
        <v>38406.66667</v>
      </c>
      <c r="B4852" s="1">
        <f>IFERROR(__xludf.DUMMYFUNCTION("""COMPUTED_VALUE"""),1184.16)</f>
        <v>1184.16</v>
      </c>
      <c r="C4852" s="1">
        <f>IFERROR(__xludf.DUMMYFUNCTION("""COMPUTED_VALUE"""),1193.52)</f>
        <v>1193.52</v>
      </c>
      <c r="D4852" s="1">
        <f>IFERROR(__xludf.DUMMYFUNCTION("""COMPUTED_VALUE"""),1184.16)</f>
        <v>1184.16</v>
      </c>
      <c r="E4852" s="1">
        <f>IFERROR(__xludf.DUMMYFUNCTION("""COMPUTED_VALUE"""),1190.8)</f>
        <v>1190.8</v>
      </c>
      <c r="F4852" s="1">
        <f>IFERROR(__xludf.DUMMYFUNCTION("""COMPUTED_VALUE"""),1.50108992E8)</f>
        <v>150108992</v>
      </c>
    </row>
    <row r="4853">
      <c r="A4853" s="2">
        <f>IFERROR(__xludf.DUMMYFUNCTION("""COMPUTED_VALUE"""),38407.666666666664)</f>
        <v>38407.66667</v>
      </c>
      <c r="B4853" s="1">
        <f>IFERROR(__xludf.DUMMYFUNCTION("""COMPUTED_VALUE"""),1190.8)</f>
        <v>1190.8</v>
      </c>
      <c r="C4853" s="1">
        <f>IFERROR(__xludf.DUMMYFUNCTION("""COMPUTED_VALUE"""),1200.42)</f>
        <v>1200.42</v>
      </c>
      <c r="D4853" s="1">
        <f>IFERROR(__xludf.DUMMYFUNCTION("""COMPUTED_VALUE"""),1187.8)</f>
        <v>1187.8</v>
      </c>
      <c r="E4853" s="1">
        <f>IFERROR(__xludf.DUMMYFUNCTION("""COMPUTED_VALUE"""),1200.2)</f>
        <v>1200.2</v>
      </c>
      <c r="F4853" s="1">
        <f>IFERROR(__xludf.DUMMYFUNCTION("""COMPUTED_VALUE"""),1.51875008E8)</f>
        <v>151875008</v>
      </c>
    </row>
    <row r="4854">
      <c r="A4854" s="2">
        <f>IFERROR(__xludf.DUMMYFUNCTION("""COMPUTED_VALUE"""),38408.666666666664)</f>
        <v>38408.66667</v>
      </c>
      <c r="B4854" s="1">
        <f>IFERROR(__xludf.DUMMYFUNCTION("""COMPUTED_VALUE"""),1200.2)</f>
        <v>1200.2</v>
      </c>
      <c r="C4854" s="1">
        <f>IFERROR(__xludf.DUMMYFUNCTION("""COMPUTED_VALUE"""),1212.15)</f>
        <v>1212.15</v>
      </c>
      <c r="D4854" s="1">
        <f>IFERROR(__xludf.DUMMYFUNCTION("""COMPUTED_VALUE"""),1199.64)</f>
        <v>1199.64</v>
      </c>
      <c r="E4854" s="1">
        <f>IFERROR(__xludf.DUMMYFUNCTION("""COMPUTED_VALUE"""),1211.37)</f>
        <v>1211.37</v>
      </c>
      <c r="F4854" s="1">
        <f>IFERROR(__xludf.DUMMYFUNCTION("""COMPUTED_VALUE"""),1.52368E8)</f>
        <v>152368000</v>
      </c>
    </row>
    <row r="4855">
      <c r="A4855" s="2">
        <f>IFERROR(__xludf.DUMMYFUNCTION("""COMPUTED_VALUE"""),38411.666666666664)</f>
        <v>38411.66667</v>
      </c>
      <c r="B4855" s="1">
        <f>IFERROR(__xludf.DUMMYFUNCTION("""COMPUTED_VALUE"""),1211.37)</f>
        <v>1211.37</v>
      </c>
      <c r="C4855" s="1">
        <f>IFERROR(__xludf.DUMMYFUNCTION("""COMPUTED_VALUE"""),1211.37)</f>
        <v>1211.37</v>
      </c>
      <c r="D4855" s="1">
        <f>IFERROR(__xludf.DUMMYFUNCTION("""COMPUTED_VALUE"""),1198.13)</f>
        <v>1198.13</v>
      </c>
      <c r="E4855" s="1">
        <f>IFERROR(__xludf.DUMMYFUNCTION("""COMPUTED_VALUE"""),1203.6)</f>
        <v>1203.6</v>
      </c>
      <c r="F4855" s="1">
        <f>IFERROR(__xludf.DUMMYFUNCTION("""COMPUTED_VALUE"""),1.79548E8)</f>
        <v>179548000</v>
      </c>
    </row>
    <row r="4856">
      <c r="A4856" s="2">
        <f>IFERROR(__xludf.DUMMYFUNCTION("""COMPUTED_VALUE"""),38412.666666666664)</f>
        <v>38412.66667</v>
      </c>
      <c r="B4856" s="1">
        <f>IFERROR(__xludf.DUMMYFUNCTION("""COMPUTED_VALUE"""),1203.6)</f>
        <v>1203.6</v>
      </c>
      <c r="C4856" s="1">
        <f>IFERROR(__xludf.DUMMYFUNCTION("""COMPUTED_VALUE"""),1212.25)</f>
        <v>1212.25</v>
      </c>
      <c r="D4856" s="1">
        <f>IFERROR(__xludf.DUMMYFUNCTION("""COMPUTED_VALUE"""),1203.6)</f>
        <v>1203.6</v>
      </c>
      <c r="E4856" s="1">
        <f>IFERROR(__xludf.DUMMYFUNCTION("""COMPUTED_VALUE"""),1210.41)</f>
        <v>1210.41</v>
      </c>
      <c r="F4856" s="1">
        <f>IFERROR(__xludf.DUMMYFUNCTION("""COMPUTED_VALUE"""),1.70806E8)</f>
        <v>170806000</v>
      </c>
    </row>
    <row r="4857">
      <c r="A4857" s="2">
        <f>IFERROR(__xludf.DUMMYFUNCTION("""COMPUTED_VALUE"""),38413.666666666664)</f>
        <v>38413.66667</v>
      </c>
      <c r="B4857" s="1">
        <f>IFERROR(__xludf.DUMMYFUNCTION("""COMPUTED_VALUE"""),1210.41)</f>
        <v>1210.41</v>
      </c>
      <c r="C4857" s="1">
        <f>IFERROR(__xludf.DUMMYFUNCTION("""COMPUTED_VALUE"""),1215.79)</f>
        <v>1215.79</v>
      </c>
      <c r="D4857" s="1">
        <f>IFERROR(__xludf.DUMMYFUNCTION("""COMPUTED_VALUE"""),1204.22)</f>
        <v>1204.22</v>
      </c>
      <c r="E4857" s="1">
        <f>IFERROR(__xludf.DUMMYFUNCTION("""COMPUTED_VALUE"""),1210.08)</f>
        <v>1210.08</v>
      </c>
      <c r="F4857" s="1">
        <f>IFERROR(__xludf.DUMMYFUNCTION("""COMPUTED_VALUE"""),1.56854E8)</f>
        <v>156854000</v>
      </c>
    </row>
    <row r="4858">
      <c r="A4858" s="2">
        <f>IFERROR(__xludf.DUMMYFUNCTION("""COMPUTED_VALUE"""),38414.666666666664)</f>
        <v>38414.66667</v>
      </c>
      <c r="B4858" s="1">
        <f>IFERROR(__xludf.DUMMYFUNCTION("""COMPUTED_VALUE"""),1210.08)</f>
        <v>1210.08</v>
      </c>
      <c r="C4858" s="1">
        <f>IFERROR(__xludf.DUMMYFUNCTION("""COMPUTED_VALUE"""),1215.68)</f>
        <v>1215.68</v>
      </c>
      <c r="D4858" s="1">
        <f>IFERROR(__xludf.DUMMYFUNCTION("""COMPUTED_VALUE"""),1204.45)</f>
        <v>1204.45</v>
      </c>
      <c r="E4858" s="1">
        <f>IFERROR(__xludf.DUMMYFUNCTION("""COMPUTED_VALUE"""),1210.47)</f>
        <v>1210.47</v>
      </c>
      <c r="F4858" s="1">
        <f>IFERROR(__xludf.DUMMYFUNCTION("""COMPUTED_VALUE"""),1.61624E8)</f>
        <v>161624000</v>
      </c>
    </row>
    <row r="4859">
      <c r="A4859" s="2">
        <f>IFERROR(__xludf.DUMMYFUNCTION("""COMPUTED_VALUE"""),38415.666666666664)</f>
        <v>38415.66667</v>
      </c>
      <c r="B4859" s="1">
        <f>IFERROR(__xludf.DUMMYFUNCTION("""COMPUTED_VALUE"""),1210.47)</f>
        <v>1210.47</v>
      </c>
      <c r="C4859" s="1">
        <f>IFERROR(__xludf.DUMMYFUNCTION("""COMPUTED_VALUE"""),1224.76)</f>
        <v>1224.76</v>
      </c>
      <c r="D4859" s="1">
        <f>IFERROR(__xludf.DUMMYFUNCTION("""COMPUTED_VALUE"""),1210.47)</f>
        <v>1210.47</v>
      </c>
      <c r="E4859" s="1">
        <f>IFERROR(__xludf.DUMMYFUNCTION("""COMPUTED_VALUE"""),1222.12)</f>
        <v>1222.12</v>
      </c>
      <c r="F4859" s="1">
        <f>IFERROR(__xludf.DUMMYFUNCTION("""COMPUTED_VALUE"""),1.63682E8)</f>
        <v>163682000</v>
      </c>
    </row>
    <row r="4860">
      <c r="A4860" s="2">
        <f>IFERROR(__xludf.DUMMYFUNCTION("""COMPUTED_VALUE"""),38418.666666666664)</f>
        <v>38418.66667</v>
      </c>
      <c r="B4860" s="1">
        <f>IFERROR(__xludf.DUMMYFUNCTION("""COMPUTED_VALUE"""),1222.12)</f>
        <v>1222.12</v>
      </c>
      <c r="C4860" s="1">
        <f>IFERROR(__xludf.DUMMYFUNCTION("""COMPUTED_VALUE"""),1229.11)</f>
        <v>1229.11</v>
      </c>
      <c r="D4860" s="1">
        <f>IFERROR(__xludf.DUMMYFUNCTION("""COMPUTED_VALUE"""),1222.12)</f>
        <v>1222.12</v>
      </c>
      <c r="E4860" s="1">
        <f>IFERROR(__xludf.DUMMYFUNCTION("""COMPUTED_VALUE"""),1225.31)</f>
        <v>1225.31</v>
      </c>
      <c r="F4860" s="1">
        <f>IFERROR(__xludf.DUMMYFUNCTION("""COMPUTED_VALUE"""),1.48883008E8)</f>
        <v>148883008</v>
      </c>
    </row>
    <row r="4861">
      <c r="A4861" s="2">
        <f>IFERROR(__xludf.DUMMYFUNCTION("""COMPUTED_VALUE"""),38419.666666666664)</f>
        <v>38419.66667</v>
      </c>
      <c r="B4861" s="1">
        <f>IFERROR(__xludf.DUMMYFUNCTION("""COMPUTED_VALUE"""),1225.31)</f>
        <v>1225.31</v>
      </c>
      <c r="C4861" s="1">
        <f>IFERROR(__xludf.DUMMYFUNCTION("""COMPUTED_VALUE"""),1225.69)</f>
        <v>1225.69</v>
      </c>
      <c r="D4861" s="1">
        <f>IFERROR(__xludf.DUMMYFUNCTION("""COMPUTED_VALUE"""),1218.57)</f>
        <v>1218.57</v>
      </c>
      <c r="E4861" s="1">
        <f>IFERROR(__xludf.DUMMYFUNCTION("""COMPUTED_VALUE"""),1219.43)</f>
        <v>1219.43</v>
      </c>
      <c r="F4861" s="1">
        <f>IFERROR(__xludf.DUMMYFUNCTION("""COMPUTED_VALUE"""),1.52308992E8)</f>
        <v>152308992</v>
      </c>
    </row>
    <row r="4862">
      <c r="A4862" s="2">
        <f>IFERROR(__xludf.DUMMYFUNCTION("""COMPUTED_VALUE"""),38420.666666666664)</f>
        <v>38420.66667</v>
      </c>
      <c r="B4862" s="1">
        <f>IFERROR(__xludf.DUMMYFUNCTION("""COMPUTED_VALUE"""),1219.43)</f>
        <v>1219.43</v>
      </c>
      <c r="C4862" s="1">
        <f>IFERROR(__xludf.DUMMYFUNCTION("""COMPUTED_VALUE"""),1219.43)</f>
        <v>1219.43</v>
      </c>
      <c r="D4862" s="1">
        <f>IFERROR(__xludf.DUMMYFUNCTION("""COMPUTED_VALUE"""),1206.66)</f>
        <v>1206.66</v>
      </c>
      <c r="E4862" s="1">
        <f>IFERROR(__xludf.DUMMYFUNCTION("""COMPUTED_VALUE"""),1207.01)</f>
        <v>1207.01</v>
      </c>
      <c r="F4862" s="1">
        <f>IFERROR(__xludf.DUMMYFUNCTION("""COMPUTED_VALUE"""),1.70496992E8)</f>
        <v>170496992</v>
      </c>
    </row>
    <row r="4863">
      <c r="A4863" s="2">
        <f>IFERROR(__xludf.DUMMYFUNCTION("""COMPUTED_VALUE"""),38421.666666666664)</f>
        <v>38421.66667</v>
      </c>
      <c r="B4863" s="1">
        <f>IFERROR(__xludf.DUMMYFUNCTION("""COMPUTED_VALUE"""),1207.01)</f>
        <v>1207.01</v>
      </c>
      <c r="C4863" s="1">
        <f>IFERROR(__xludf.DUMMYFUNCTION("""COMPUTED_VALUE"""),1211.23)</f>
        <v>1211.23</v>
      </c>
      <c r="D4863" s="1">
        <f>IFERROR(__xludf.DUMMYFUNCTION("""COMPUTED_VALUE"""),1201.41)</f>
        <v>1201.41</v>
      </c>
      <c r="E4863" s="1">
        <f>IFERROR(__xludf.DUMMYFUNCTION("""COMPUTED_VALUE"""),1209.25)</f>
        <v>1209.25</v>
      </c>
      <c r="F4863" s="1">
        <f>IFERROR(__xludf.DUMMYFUNCTION("""COMPUTED_VALUE"""),1.60402E8)</f>
        <v>160402000</v>
      </c>
    </row>
    <row r="4864">
      <c r="A4864" s="2">
        <f>IFERROR(__xludf.DUMMYFUNCTION("""COMPUTED_VALUE"""),38422.666666666664)</f>
        <v>38422.66667</v>
      </c>
      <c r="B4864" s="1">
        <f>IFERROR(__xludf.DUMMYFUNCTION("""COMPUTED_VALUE"""),1209.25)</f>
        <v>1209.25</v>
      </c>
      <c r="C4864" s="1">
        <f>IFERROR(__xludf.DUMMYFUNCTION("""COMPUTED_VALUE"""),1213.04)</f>
        <v>1213.04</v>
      </c>
      <c r="D4864" s="1">
        <f>IFERROR(__xludf.DUMMYFUNCTION("""COMPUTED_VALUE"""),1198.15)</f>
        <v>1198.15</v>
      </c>
      <c r="E4864" s="1">
        <f>IFERROR(__xludf.DUMMYFUNCTION("""COMPUTED_VALUE"""),1200.09)</f>
        <v>1200.09</v>
      </c>
      <c r="F4864" s="1">
        <f>IFERROR(__xludf.DUMMYFUNCTION("""COMPUTED_VALUE"""),1.44982E8)</f>
        <v>144982000</v>
      </c>
    </row>
    <row r="4865">
      <c r="A4865" s="2">
        <f>IFERROR(__xludf.DUMMYFUNCTION("""COMPUTED_VALUE"""),38425.666666666664)</f>
        <v>38425.66667</v>
      </c>
      <c r="B4865" s="1">
        <f>IFERROR(__xludf.DUMMYFUNCTION("""COMPUTED_VALUE"""),1200.08)</f>
        <v>1200.08</v>
      </c>
      <c r="C4865" s="1">
        <f>IFERROR(__xludf.DUMMYFUNCTION("""COMPUTED_VALUE"""),1206.82)</f>
        <v>1206.82</v>
      </c>
      <c r="D4865" s="1">
        <f>IFERROR(__xludf.DUMMYFUNCTION("""COMPUTED_VALUE"""),1199.51)</f>
        <v>1199.51</v>
      </c>
      <c r="E4865" s="1">
        <f>IFERROR(__xludf.DUMMYFUNCTION("""COMPUTED_VALUE"""),1206.82)</f>
        <v>1206.82</v>
      </c>
      <c r="F4865" s="1">
        <f>IFERROR(__xludf.DUMMYFUNCTION("""COMPUTED_VALUE"""),1.43743008E8)</f>
        <v>143743008</v>
      </c>
    </row>
    <row r="4866">
      <c r="A4866" s="2">
        <f>IFERROR(__xludf.DUMMYFUNCTION("""COMPUTED_VALUE"""),38426.666666666664)</f>
        <v>38426.66667</v>
      </c>
      <c r="B4866" s="1">
        <f>IFERROR(__xludf.DUMMYFUNCTION("""COMPUTED_VALUE"""),1206.83)</f>
        <v>1206.83</v>
      </c>
      <c r="C4866" s="1">
        <f>IFERROR(__xludf.DUMMYFUNCTION("""COMPUTED_VALUE"""),1210.54)</f>
        <v>1210.54</v>
      </c>
      <c r="D4866" s="1">
        <f>IFERROR(__xludf.DUMMYFUNCTION("""COMPUTED_VALUE"""),1197.75)</f>
        <v>1197.75</v>
      </c>
      <c r="E4866" s="1">
        <f>IFERROR(__xludf.DUMMYFUNCTION("""COMPUTED_VALUE"""),1197.75)</f>
        <v>1197.75</v>
      </c>
      <c r="F4866" s="1">
        <f>IFERROR(__xludf.DUMMYFUNCTION("""COMPUTED_VALUE"""),1.51352992E8)</f>
        <v>151352992</v>
      </c>
    </row>
    <row r="4867">
      <c r="A4867" s="2">
        <f>IFERROR(__xludf.DUMMYFUNCTION("""COMPUTED_VALUE"""),38427.666666666664)</f>
        <v>38427.66667</v>
      </c>
      <c r="B4867" s="1">
        <f>IFERROR(__xludf.DUMMYFUNCTION("""COMPUTED_VALUE"""),1197.75)</f>
        <v>1197.75</v>
      </c>
      <c r="C4867" s="1">
        <f>IFERROR(__xludf.DUMMYFUNCTION("""COMPUTED_VALUE"""),1197.75)</f>
        <v>1197.75</v>
      </c>
      <c r="D4867" s="1">
        <f>IFERROR(__xludf.DUMMYFUNCTION("""COMPUTED_VALUE"""),1185.61)</f>
        <v>1185.61</v>
      </c>
      <c r="E4867" s="1">
        <f>IFERROR(__xludf.DUMMYFUNCTION("""COMPUTED_VALUE"""),1188.07)</f>
        <v>1188.07</v>
      </c>
      <c r="F4867" s="1">
        <f>IFERROR(__xludf.DUMMYFUNCTION("""COMPUTED_VALUE"""),1.65319008E8)</f>
        <v>165319008</v>
      </c>
    </row>
    <row r="4868">
      <c r="A4868" s="2">
        <f>IFERROR(__xludf.DUMMYFUNCTION("""COMPUTED_VALUE"""),38428.666666666664)</f>
        <v>38428.66667</v>
      </c>
      <c r="B4868" s="1">
        <f>IFERROR(__xludf.DUMMYFUNCTION("""COMPUTED_VALUE"""),1188.07)</f>
        <v>1188.07</v>
      </c>
      <c r="C4868" s="1">
        <f>IFERROR(__xludf.DUMMYFUNCTION("""COMPUTED_VALUE"""),1193.28)</f>
        <v>1193.28</v>
      </c>
      <c r="D4868" s="1">
        <f>IFERROR(__xludf.DUMMYFUNCTION("""COMPUTED_VALUE"""),1186.34)</f>
        <v>1186.34</v>
      </c>
      <c r="E4868" s="1">
        <f>IFERROR(__xludf.DUMMYFUNCTION("""COMPUTED_VALUE"""),1190.21)</f>
        <v>1190.21</v>
      </c>
      <c r="F4868" s="1">
        <f>IFERROR(__xludf.DUMMYFUNCTION("""COMPUTED_VALUE"""),1.58192992E8)</f>
        <v>158192992</v>
      </c>
    </row>
    <row r="4869">
      <c r="A4869" s="2">
        <f>IFERROR(__xludf.DUMMYFUNCTION("""COMPUTED_VALUE"""),38429.666666666664)</f>
        <v>38429.66667</v>
      </c>
      <c r="B4869" s="1">
        <f>IFERROR(__xludf.DUMMYFUNCTION("""COMPUTED_VALUE"""),1190.21)</f>
        <v>1190.21</v>
      </c>
      <c r="C4869" s="1">
        <f>IFERROR(__xludf.DUMMYFUNCTION("""COMPUTED_VALUE"""),1191.98)</f>
        <v>1191.98</v>
      </c>
      <c r="D4869" s="1">
        <f>IFERROR(__xludf.DUMMYFUNCTION("""COMPUTED_VALUE"""),1182.78)</f>
        <v>1182.78</v>
      </c>
      <c r="E4869" s="1">
        <f>IFERROR(__xludf.DUMMYFUNCTION("""COMPUTED_VALUE"""),1189.62)</f>
        <v>1189.62</v>
      </c>
      <c r="F4869" s="1">
        <f>IFERROR(__xludf.DUMMYFUNCTION("""COMPUTED_VALUE"""),2.34436992E8)</f>
        <v>234436992</v>
      </c>
    </row>
    <row r="4870">
      <c r="A4870" s="2">
        <f>IFERROR(__xludf.DUMMYFUNCTION("""COMPUTED_VALUE"""),38432.666666666664)</f>
        <v>38432.66667</v>
      </c>
      <c r="B4870" s="1">
        <f>IFERROR(__xludf.DUMMYFUNCTION("""COMPUTED_VALUE"""),1189.65)</f>
        <v>1189.65</v>
      </c>
      <c r="C4870" s="1">
        <f>IFERROR(__xludf.DUMMYFUNCTION("""COMPUTED_VALUE"""),1189.65)</f>
        <v>1189.65</v>
      </c>
      <c r="D4870" s="1">
        <f>IFERROR(__xludf.DUMMYFUNCTION("""COMPUTED_VALUE"""),1178.82)</f>
        <v>1178.82</v>
      </c>
      <c r="E4870" s="1">
        <f>IFERROR(__xludf.DUMMYFUNCTION("""COMPUTED_VALUE"""),1183.78)</f>
        <v>1183.78</v>
      </c>
      <c r="F4870" s="1">
        <f>IFERROR(__xludf.DUMMYFUNCTION("""COMPUTED_VALUE"""),1.81944E8)</f>
        <v>181944000</v>
      </c>
    </row>
    <row r="4871">
      <c r="A4871" s="2">
        <f>IFERROR(__xludf.DUMMYFUNCTION("""COMPUTED_VALUE"""),38433.666666666664)</f>
        <v>38433.66667</v>
      </c>
      <c r="B4871" s="1">
        <f>IFERROR(__xludf.DUMMYFUNCTION("""COMPUTED_VALUE"""),1183.78)</f>
        <v>1183.78</v>
      </c>
      <c r="C4871" s="1">
        <f>IFERROR(__xludf.DUMMYFUNCTION("""COMPUTED_VALUE"""),1189.5)</f>
        <v>1189.5</v>
      </c>
      <c r="D4871" s="1">
        <f>IFERROR(__xludf.DUMMYFUNCTION("""COMPUTED_VALUE"""),1171.63)</f>
        <v>1171.63</v>
      </c>
      <c r="E4871" s="1">
        <f>IFERROR(__xludf.DUMMYFUNCTION("""COMPUTED_VALUE"""),1171.71)</f>
        <v>1171.71</v>
      </c>
      <c r="F4871" s="1">
        <f>IFERROR(__xludf.DUMMYFUNCTION("""COMPUTED_VALUE"""),2.11447008E8)</f>
        <v>211447008</v>
      </c>
    </row>
    <row r="4872">
      <c r="A4872" s="2">
        <f>IFERROR(__xludf.DUMMYFUNCTION("""COMPUTED_VALUE"""),38434.666666666664)</f>
        <v>38434.66667</v>
      </c>
      <c r="B4872" s="1">
        <f>IFERROR(__xludf.DUMMYFUNCTION("""COMPUTED_VALUE"""),1171.71)</f>
        <v>1171.71</v>
      </c>
      <c r="C4872" s="1">
        <f>IFERROR(__xludf.DUMMYFUNCTION("""COMPUTED_VALUE"""),1176.26)</f>
        <v>1176.26</v>
      </c>
      <c r="D4872" s="1">
        <f>IFERROR(__xludf.DUMMYFUNCTION("""COMPUTED_VALUE"""),1168.7)</f>
        <v>1168.7</v>
      </c>
      <c r="E4872" s="1">
        <f>IFERROR(__xludf.DUMMYFUNCTION("""COMPUTED_VALUE"""),1172.53)</f>
        <v>1172.53</v>
      </c>
      <c r="F4872" s="1">
        <f>IFERROR(__xludf.DUMMYFUNCTION("""COMPUTED_VALUE"""),2.24687008E8)</f>
        <v>224687008</v>
      </c>
    </row>
    <row r="4873">
      <c r="A4873" s="2">
        <f>IFERROR(__xludf.DUMMYFUNCTION("""COMPUTED_VALUE"""),38435.666666666664)</f>
        <v>38435.66667</v>
      </c>
      <c r="B4873" s="1">
        <f>IFERROR(__xludf.DUMMYFUNCTION("""COMPUTED_VALUE"""),1172.53)</f>
        <v>1172.53</v>
      </c>
      <c r="C4873" s="1">
        <f>IFERROR(__xludf.DUMMYFUNCTION("""COMPUTED_VALUE"""),1180.11)</f>
        <v>1180.11</v>
      </c>
      <c r="D4873" s="1">
        <f>IFERROR(__xludf.DUMMYFUNCTION("""COMPUTED_VALUE"""),1171.42)</f>
        <v>1171.42</v>
      </c>
      <c r="E4873" s="1">
        <f>IFERROR(__xludf.DUMMYFUNCTION("""COMPUTED_VALUE"""),1171.42)</f>
        <v>1171.42</v>
      </c>
      <c r="F4873" s="1">
        <f>IFERROR(__xludf.DUMMYFUNCTION("""COMPUTED_VALUE"""),1.72172E8)</f>
        <v>172172000</v>
      </c>
    </row>
    <row r="4874">
      <c r="A4874" s="2">
        <f>IFERROR(__xludf.DUMMYFUNCTION("""COMPUTED_VALUE"""),38439.666666666664)</f>
        <v>38439.66667</v>
      </c>
      <c r="B4874" s="1">
        <f>IFERROR(__xludf.DUMMYFUNCTION("""COMPUTED_VALUE"""),1171.42)</f>
        <v>1171.42</v>
      </c>
      <c r="C4874" s="1">
        <f>IFERROR(__xludf.DUMMYFUNCTION("""COMPUTED_VALUE"""),1179.91)</f>
        <v>1179.91</v>
      </c>
      <c r="D4874" s="1">
        <f>IFERROR(__xludf.DUMMYFUNCTION("""COMPUTED_VALUE"""),1171.42)</f>
        <v>1171.42</v>
      </c>
      <c r="E4874" s="1">
        <f>IFERROR(__xludf.DUMMYFUNCTION("""COMPUTED_VALUE"""),1174.28)</f>
        <v>1174.28</v>
      </c>
      <c r="F4874" s="1">
        <f>IFERROR(__xludf.DUMMYFUNCTION("""COMPUTED_VALUE"""),1.74622E8)</f>
        <v>174622000</v>
      </c>
    </row>
    <row r="4875">
      <c r="A4875" s="2">
        <f>IFERROR(__xludf.DUMMYFUNCTION("""COMPUTED_VALUE"""),38440.666666666664)</f>
        <v>38440.66667</v>
      </c>
      <c r="B4875" s="1">
        <f>IFERROR(__xludf.DUMMYFUNCTION("""COMPUTED_VALUE"""),1174.28)</f>
        <v>1174.28</v>
      </c>
      <c r="C4875" s="1">
        <f>IFERROR(__xludf.DUMMYFUNCTION("""COMPUTED_VALUE"""),1179.37)</f>
        <v>1179.37</v>
      </c>
      <c r="D4875" s="1">
        <f>IFERROR(__xludf.DUMMYFUNCTION("""COMPUTED_VALUE"""),1163.69)</f>
        <v>1163.69</v>
      </c>
      <c r="E4875" s="1">
        <f>IFERROR(__xludf.DUMMYFUNCTION("""COMPUTED_VALUE"""),1165.36)</f>
        <v>1165.36</v>
      </c>
      <c r="F4875" s="1">
        <f>IFERROR(__xludf.DUMMYFUNCTION("""COMPUTED_VALUE"""),2.22324992E8)</f>
        <v>222324992</v>
      </c>
    </row>
    <row r="4876">
      <c r="A4876" s="2">
        <f>IFERROR(__xludf.DUMMYFUNCTION("""COMPUTED_VALUE"""),38441.666666666664)</f>
        <v>38441.66667</v>
      </c>
      <c r="B4876" s="1">
        <f>IFERROR(__xludf.DUMMYFUNCTION("""COMPUTED_VALUE"""),1165.36)</f>
        <v>1165.36</v>
      </c>
      <c r="C4876" s="1">
        <f>IFERROR(__xludf.DUMMYFUNCTION("""COMPUTED_VALUE"""),1181.54)</f>
        <v>1181.54</v>
      </c>
      <c r="D4876" s="1">
        <f>IFERROR(__xludf.DUMMYFUNCTION("""COMPUTED_VALUE"""),1165.36)</f>
        <v>1165.36</v>
      </c>
      <c r="E4876" s="1">
        <f>IFERROR(__xludf.DUMMYFUNCTION("""COMPUTED_VALUE"""),1181.41)</f>
        <v>1181.41</v>
      </c>
      <c r="F4876" s="1">
        <f>IFERROR(__xludf.DUMMYFUNCTION("""COMPUTED_VALUE"""),2.09711008E8)</f>
        <v>209711008</v>
      </c>
    </row>
    <row r="4877">
      <c r="A4877" s="2">
        <f>IFERROR(__xludf.DUMMYFUNCTION("""COMPUTED_VALUE"""),38442.666666666664)</f>
        <v>38442.66667</v>
      </c>
      <c r="B4877" s="1">
        <f>IFERROR(__xludf.DUMMYFUNCTION("""COMPUTED_VALUE"""),1181.41)</f>
        <v>1181.41</v>
      </c>
      <c r="C4877" s="1">
        <f>IFERROR(__xludf.DUMMYFUNCTION("""COMPUTED_VALUE"""),1184.53)</f>
        <v>1184.53</v>
      </c>
      <c r="D4877" s="1">
        <f>IFERROR(__xludf.DUMMYFUNCTION("""COMPUTED_VALUE"""),1179.49)</f>
        <v>1179.49</v>
      </c>
      <c r="E4877" s="1">
        <f>IFERROR(__xludf.DUMMYFUNCTION("""COMPUTED_VALUE"""),1180.57)</f>
        <v>1180.57</v>
      </c>
      <c r="F4877" s="1">
        <f>IFERROR(__xludf.DUMMYFUNCTION("""COMPUTED_VALUE"""),2.21423008E8)</f>
        <v>221423008</v>
      </c>
    </row>
    <row r="4878">
      <c r="A4878" s="2">
        <f>IFERROR(__xludf.DUMMYFUNCTION("""COMPUTED_VALUE"""),38443.666666666664)</f>
        <v>38443.66667</v>
      </c>
      <c r="B4878" s="1">
        <f>IFERROR(__xludf.DUMMYFUNCTION("""COMPUTED_VALUE"""),1180.59)</f>
        <v>1180.59</v>
      </c>
      <c r="C4878" s="1">
        <f>IFERROR(__xludf.DUMMYFUNCTION("""COMPUTED_VALUE"""),1189.8)</f>
        <v>1189.8</v>
      </c>
      <c r="D4878" s="1">
        <f>IFERROR(__xludf.DUMMYFUNCTION("""COMPUTED_VALUE"""),1169.91)</f>
        <v>1169.91</v>
      </c>
      <c r="E4878" s="1">
        <f>IFERROR(__xludf.DUMMYFUNCTION("""COMPUTED_VALUE"""),1172.92)</f>
        <v>1172.92</v>
      </c>
      <c r="F4878" s="1">
        <f>IFERROR(__xludf.DUMMYFUNCTION("""COMPUTED_VALUE"""),2.16868992E8)</f>
        <v>216868992</v>
      </c>
    </row>
    <row r="4879">
      <c r="A4879" s="2">
        <f>IFERROR(__xludf.DUMMYFUNCTION("""COMPUTED_VALUE"""),38446.666666666664)</f>
        <v>38446.66667</v>
      </c>
      <c r="B4879" s="1">
        <f>IFERROR(__xludf.DUMMYFUNCTION("""COMPUTED_VALUE"""),1172.79)</f>
        <v>1172.79</v>
      </c>
      <c r="C4879" s="1">
        <f>IFERROR(__xludf.DUMMYFUNCTION("""COMPUTED_VALUE"""),1178.61)</f>
        <v>1178.61</v>
      </c>
      <c r="D4879" s="1">
        <f>IFERROR(__xludf.DUMMYFUNCTION("""COMPUTED_VALUE"""),1167.72)</f>
        <v>1167.72</v>
      </c>
      <c r="E4879" s="1">
        <f>IFERROR(__xludf.DUMMYFUNCTION("""COMPUTED_VALUE"""),1176.12)</f>
        <v>1176.12</v>
      </c>
      <c r="F4879" s="1">
        <f>IFERROR(__xludf.DUMMYFUNCTION("""COMPUTED_VALUE"""),2.07976992E8)</f>
        <v>207976992</v>
      </c>
    </row>
    <row r="4880">
      <c r="A4880" s="2">
        <f>IFERROR(__xludf.DUMMYFUNCTION("""COMPUTED_VALUE"""),38447.666666666664)</f>
        <v>38447.66667</v>
      </c>
      <c r="B4880" s="1">
        <f>IFERROR(__xludf.DUMMYFUNCTION("""COMPUTED_VALUE"""),1176.12)</f>
        <v>1176.12</v>
      </c>
      <c r="C4880" s="1">
        <f>IFERROR(__xludf.DUMMYFUNCTION("""COMPUTED_VALUE"""),1183.56)</f>
        <v>1183.56</v>
      </c>
      <c r="D4880" s="1">
        <f>IFERROR(__xludf.DUMMYFUNCTION("""COMPUTED_VALUE"""),1176.12)</f>
        <v>1176.12</v>
      </c>
      <c r="E4880" s="1">
        <f>IFERROR(__xludf.DUMMYFUNCTION("""COMPUTED_VALUE"""),1181.39)</f>
        <v>1181.39</v>
      </c>
      <c r="F4880" s="1">
        <f>IFERROR(__xludf.DUMMYFUNCTION("""COMPUTED_VALUE"""),1.8708E8)</f>
        <v>187080000</v>
      </c>
    </row>
    <row r="4881">
      <c r="A4881" s="2">
        <f>IFERROR(__xludf.DUMMYFUNCTION("""COMPUTED_VALUE"""),38448.666666666664)</f>
        <v>38448.66667</v>
      </c>
      <c r="B4881" s="1">
        <f>IFERROR(__xludf.DUMMYFUNCTION("""COMPUTED_VALUE"""),1181.39)</f>
        <v>1181.39</v>
      </c>
      <c r="C4881" s="1">
        <f>IFERROR(__xludf.DUMMYFUNCTION("""COMPUTED_VALUE"""),1189.34)</f>
        <v>1189.34</v>
      </c>
      <c r="D4881" s="1">
        <f>IFERROR(__xludf.DUMMYFUNCTION("""COMPUTED_VALUE"""),1181.39)</f>
        <v>1181.39</v>
      </c>
      <c r="E4881" s="1">
        <f>IFERROR(__xludf.DUMMYFUNCTION("""COMPUTED_VALUE"""),1184.06)</f>
        <v>1184.06</v>
      </c>
      <c r="F4881" s="1">
        <f>IFERROR(__xludf.DUMMYFUNCTION("""COMPUTED_VALUE"""),1.7974E8)</f>
        <v>179740000</v>
      </c>
    </row>
    <row r="4882">
      <c r="A4882" s="2">
        <f>IFERROR(__xludf.DUMMYFUNCTION("""COMPUTED_VALUE"""),38449.666666666664)</f>
        <v>38449.66667</v>
      </c>
      <c r="B4882" s="1">
        <f>IFERROR(__xludf.DUMMYFUNCTION("""COMPUTED_VALUE"""),1184.07)</f>
        <v>1184.07</v>
      </c>
      <c r="C4882" s="1">
        <f>IFERROR(__xludf.DUMMYFUNCTION("""COMPUTED_VALUE"""),1191.88)</f>
        <v>1191.88</v>
      </c>
      <c r="D4882" s="1">
        <f>IFERROR(__xludf.DUMMYFUNCTION("""COMPUTED_VALUE"""),1183.81)</f>
        <v>1183.81</v>
      </c>
      <c r="E4882" s="1">
        <f>IFERROR(__xludf.DUMMYFUNCTION("""COMPUTED_VALUE"""),1191.14)</f>
        <v>1191.14</v>
      </c>
      <c r="F4882" s="1">
        <f>IFERROR(__xludf.DUMMYFUNCTION("""COMPUTED_VALUE"""),1.90062E8)</f>
        <v>190062000</v>
      </c>
    </row>
    <row r="4883">
      <c r="A4883" s="2">
        <f>IFERROR(__xludf.DUMMYFUNCTION("""COMPUTED_VALUE"""),38450.666666666664)</f>
        <v>38450.66667</v>
      </c>
      <c r="B4883" s="1">
        <f>IFERROR(__xludf.DUMMYFUNCTION("""COMPUTED_VALUE"""),1191.14)</f>
        <v>1191.14</v>
      </c>
      <c r="C4883" s="1">
        <f>IFERROR(__xludf.DUMMYFUNCTION("""COMPUTED_VALUE"""),1191.75)</f>
        <v>1191.75</v>
      </c>
      <c r="D4883" s="1">
        <f>IFERROR(__xludf.DUMMYFUNCTION("""COMPUTED_VALUE"""),1181.13)</f>
        <v>1181.13</v>
      </c>
      <c r="E4883" s="1">
        <f>IFERROR(__xludf.DUMMYFUNCTION("""COMPUTED_VALUE"""),1181.2)</f>
        <v>1181.2</v>
      </c>
      <c r="F4883" s="1">
        <f>IFERROR(__xludf.DUMMYFUNCTION("""COMPUTED_VALUE"""),1.66132992E8)</f>
        <v>166132992</v>
      </c>
    </row>
    <row r="4884">
      <c r="A4884" s="2">
        <f>IFERROR(__xludf.DUMMYFUNCTION("""COMPUTED_VALUE"""),38453.666666666664)</f>
        <v>38453.66667</v>
      </c>
      <c r="B4884" s="1">
        <f>IFERROR(__xludf.DUMMYFUNCTION("""COMPUTED_VALUE"""),1181.2)</f>
        <v>1181.2</v>
      </c>
      <c r="C4884" s="1">
        <f>IFERROR(__xludf.DUMMYFUNCTION("""COMPUTED_VALUE"""),1184.07)</f>
        <v>1184.07</v>
      </c>
      <c r="D4884" s="1">
        <f>IFERROR(__xludf.DUMMYFUNCTION("""COMPUTED_VALUE"""),1178.69)</f>
        <v>1178.69</v>
      </c>
      <c r="E4884" s="1">
        <f>IFERROR(__xludf.DUMMYFUNCTION("""COMPUTED_VALUE"""),1181.21)</f>
        <v>1181.21</v>
      </c>
      <c r="F4884" s="1">
        <f>IFERROR(__xludf.DUMMYFUNCTION("""COMPUTED_VALUE"""),1.52531008E8)</f>
        <v>152531008</v>
      </c>
    </row>
    <row r="4885">
      <c r="A4885" s="2">
        <f>IFERROR(__xludf.DUMMYFUNCTION("""COMPUTED_VALUE"""),38454.666666666664)</f>
        <v>38454.66667</v>
      </c>
      <c r="B4885" s="1">
        <f>IFERROR(__xludf.DUMMYFUNCTION("""COMPUTED_VALUE"""),1181.21)</f>
        <v>1181.21</v>
      </c>
      <c r="C4885" s="1">
        <f>IFERROR(__xludf.DUMMYFUNCTION("""COMPUTED_VALUE"""),1190.17)</f>
        <v>1190.17</v>
      </c>
      <c r="D4885" s="1">
        <f>IFERROR(__xludf.DUMMYFUNCTION("""COMPUTED_VALUE"""),1170.85)</f>
        <v>1170.85</v>
      </c>
      <c r="E4885" s="1">
        <f>IFERROR(__xludf.DUMMYFUNCTION("""COMPUTED_VALUE"""),1187.76)</f>
        <v>1187.76</v>
      </c>
      <c r="F4885" s="1">
        <f>IFERROR(__xludf.DUMMYFUNCTION("""COMPUTED_VALUE"""),1.97983008E8)</f>
        <v>197983008</v>
      </c>
    </row>
    <row r="4886">
      <c r="A4886" s="2">
        <f>IFERROR(__xludf.DUMMYFUNCTION("""COMPUTED_VALUE"""),38455.666666666664)</f>
        <v>38455.66667</v>
      </c>
      <c r="B4886" s="1">
        <f>IFERROR(__xludf.DUMMYFUNCTION("""COMPUTED_VALUE"""),1187.76)</f>
        <v>1187.76</v>
      </c>
      <c r="C4886" s="1">
        <f>IFERROR(__xludf.DUMMYFUNCTION("""COMPUTED_VALUE"""),1187.76)</f>
        <v>1187.76</v>
      </c>
      <c r="D4886" s="1">
        <f>IFERROR(__xludf.DUMMYFUNCTION("""COMPUTED_VALUE"""),1171.4)</f>
        <v>1171.4</v>
      </c>
      <c r="E4886" s="1">
        <f>IFERROR(__xludf.DUMMYFUNCTION("""COMPUTED_VALUE"""),1173.79)</f>
        <v>1173.79</v>
      </c>
      <c r="F4886" s="1">
        <f>IFERROR(__xludf.DUMMYFUNCTION("""COMPUTED_VALUE"""),2.04974E8)</f>
        <v>204974000</v>
      </c>
    </row>
    <row r="4887">
      <c r="A4887" s="2">
        <f>IFERROR(__xludf.DUMMYFUNCTION("""COMPUTED_VALUE"""),38456.666666666664)</f>
        <v>38456.66667</v>
      </c>
      <c r="B4887" s="1">
        <f>IFERROR(__xludf.DUMMYFUNCTION("""COMPUTED_VALUE"""),1173.79)</f>
        <v>1173.79</v>
      </c>
      <c r="C4887" s="1">
        <f>IFERROR(__xludf.DUMMYFUNCTION("""COMPUTED_VALUE"""),1174.67)</f>
        <v>1174.67</v>
      </c>
      <c r="D4887" s="1">
        <f>IFERROR(__xludf.DUMMYFUNCTION("""COMPUTED_VALUE"""),1161.7)</f>
        <v>1161.7</v>
      </c>
      <c r="E4887" s="1">
        <f>IFERROR(__xludf.DUMMYFUNCTION("""COMPUTED_VALUE"""),1162.05)</f>
        <v>1162.05</v>
      </c>
      <c r="F4887" s="1">
        <f>IFERROR(__xludf.DUMMYFUNCTION("""COMPUTED_VALUE"""),2.35504E8)</f>
        <v>235504000</v>
      </c>
    </row>
    <row r="4888">
      <c r="A4888" s="2">
        <f>IFERROR(__xludf.DUMMYFUNCTION("""COMPUTED_VALUE"""),38457.666666666664)</f>
        <v>38457.66667</v>
      </c>
      <c r="B4888" s="1">
        <f>IFERROR(__xludf.DUMMYFUNCTION("""COMPUTED_VALUE"""),1162.05)</f>
        <v>1162.05</v>
      </c>
      <c r="C4888" s="1">
        <f>IFERROR(__xludf.DUMMYFUNCTION("""COMPUTED_VALUE"""),1162.05)</f>
        <v>1162.05</v>
      </c>
      <c r="D4888" s="1">
        <f>IFERROR(__xludf.DUMMYFUNCTION("""COMPUTED_VALUE"""),1141.92)</f>
        <v>1141.92</v>
      </c>
      <c r="E4888" s="1">
        <f>IFERROR(__xludf.DUMMYFUNCTION("""COMPUTED_VALUE"""),1143.43)</f>
        <v>1143.43</v>
      </c>
      <c r="F4888" s="1">
        <f>IFERROR(__xludf.DUMMYFUNCTION("""COMPUTED_VALUE"""),2.68996E8)</f>
        <v>268996000</v>
      </c>
    </row>
    <row r="4889">
      <c r="A4889" s="2">
        <f>IFERROR(__xludf.DUMMYFUNCTION("""COMPUTED_VALUE"""),38460.666666666664)</f>
        <v>38460.66667</v>
      </c>
      <c r="B4889" s="1">
        <f>IFERROR(__xludf.DUMMYFUNCTION("""COMPUTED_VALUE"""),1142.62)</f>
        <v>1142.62</v>
      </c>
      <c r="C4889" s="1">
        <f>IFERROR(__xludf.DUMMYFUNCTION("""COMPUTED_VALUE"""),1148.92)</f>
        <v>1148.92</v>
      </c>
      <c r="D4889" s="1">
        <f>IFERROR(__xludf.DUMMYFUNCTION("""COMPUTED_VALUE"""),1139.8)</f>
        <v>1139.8</v>
      </c>
      <c r="E4889" s="1">
        <f>IFERROR(__xludf.DUMMYFUNCTION("""COMPUTED_VALUE"""),1145.98)</f>
        <v>1145.98</v>
      </c>
      <c r="F4889" s="1">
        <f>IFERROR(__xludf.DUMMYFUNCTION("""COMPUTED_VALUE"""),2.18067008E8)</f>
        <v>218067008</v>
      </c>
    </row>
    <row r="4890">
      <c r="A4890" s="2">
        <f>IFERROR(__xludf.DUMMYFUNCTION("""COMPUTED_VALUE"""),38461.666666666664)</f>
        <v>38461.66667</v>
      </c>
      <c r="B4890" s="1">
        <f>IFERROR(__xludf.DUMMYFUNCTION("""COMPUTED_VALUE"""),1145.98)</f>
        <v>1145.98</v>
      </c>
      <c r="C4890" s="1">
        <f>IFERROR(__xludf.DUMMYFUNCTION("""COMPUTED_VALUE"""),1154.67)</f>
        <v>1154.67</v>
      </c>
      <c r="D4890" s="1">
        <f>IFERROR(__xludf.DUMMYFUNCTION("""COMPUTED_VALUE"""),1145.98)</f>
        <v>1145.98</v>
      </c>
      <c r="E4890" s="1">
        <f>IFERROR(__xludf.DUMMYFUNCTION("""COMPUTED_VALUE"""),1152.78)</f>
        <v>1152.78</v>
      </c>
      <c r="F4890" s="1">
        <f>IFERROR(__xludf.DUMMYFUNCTION("""COMPUTED_VALUE"""),2.1427E8)</f>
        <v>214270000</v>
      </c>
    </row>
    <row r="4891">
      <c r="A4891" s="2">
        <f>IFERROR(__xludf.DUMMYFUNCTION("""COMPUTED_VALUE"""),38462.666666666664)</f>
        <v>38462.66667</v>
      </c>
      <c r="B4891" s="1">
        <f>IFERROR(__xludf.DUMMYFUNCTION("""COMPUTED_VALUE"""),1152.78)</f>
        <v>1152.78</v>
      </c>
      <c r="C4891" s="1">
        <f>IFERROR(__xludf.DUMMYFUNCTION("""COMPUTED_VALUE"""),1155.5)</f>
        <v>1155.5</v>
      </c>
      <c r="D4891" s="1">
        <f>IFERROR(__xludf.DUMMYFUNCTION("""COMPUTED_VALUE"""),1136.15)</f>
        <v>1136.15</v>
      </c>
      <c r="E4891" s="1">
        <f>IFERROR(__xludf.DUMMYFUNCTION("""COMPUTED_VALUE"""),1137.5)</f>
        <v>1137.5</v>
      </c>
      <c r="F4891" s="1">
        <f>IFERROR(__xludf.DUMMYFUNCTION("""COMPUTED_VALUE"""),2.21704992E8)</f>
        <v>221704992</v>
      </c>
    </row>
    <row r="4892">
      <c r="A4892" s="2">
        <f>IFERROR(__xludf.DUMMYFUNCTION("""COMPUTED_VALUE"""),38463.666666666664)</f>
        <v>38463.66667</v>
      </c>
      <c r="B4892" s="1">
        <f>IFERROR(__xludf.DUMMYFUNCTION("""COMPUTED_VALUE"""),1137.5)</f>
        <v>1137.5</v>
      </c>
      <c r="C4892" s="1">
        <f>IFERROR(__xludf.DUMMYFUNCTION("""COMPUTED_VALUE"""),1159.95)</f>
        <v>1159.95</v>
      </c>
      <c r="D4892" s="1">
        <f>IFERROR(__xludf.DUMMYFUNCTION("""COMPUTED_VALUE"""),1137.5)</f>
        <v>1137.5</v>
      </c>
      <c r="E4892" s="1">
        <f>IFERROR(__xludf.DUMMYFUNCTION("""COMPUTED_VALUE"""),1159.95)</f>
        <v>1159.95</v>
      </c>
      <c r="F4892" s="1">
        <f>IFERROR(__xludf.DUMMYFUNCTION("""COMPUTED_VALUE"""),2.30856E8)</f>
        <v>230856000</v>
      </c>
    </row>
    <row r="4893">
      <c r="A4893" s="2">
        <f>IFERROR(__xludf.DUMMYFUNCTION("""COMPUTED_VALUE"""),38464.666666666664)</f>
        <v>38464.66667</v>
      </c>
      <c r="B4893" s="1">
        <f>IFERROR(__xludf.DUMMYFUNCTION("""COMPUTED_VALUE"""),1159.95)</f>
        <v>1159.95</v>
      </c>
      <c r="C4893" s="1">
        <f>IFERROR(__xludf.DUMMYFUNCTION("""COMPUTED_VALUE"""),1159.95)</f>
        <v>1159.95</v>
      </c>
      <c r="D4893" s="1">
        <f>IFERROR(__xludf.DUMMYFUNCTION("""COMPUTED_VALUE"""),1142.95)</f>
        <v>1142.95</v>
      </c>
      <c r="E4893" s="1">
        <f>IFERROR(__xludf.DUMMYFUNCTION("""COMPUTED_VALUE"""),1152.11)</f>
        <v>1152.11</v>
      </c>
      <c r="F4893" s="1">
        <f>IFERROR(__xludf.DUMMYFUNCTION("""COMPUTED_VALUE"""),2.04588E8)</f>
        <v>204588000</v>
      </c>
    </row>
    <row r="4894">
      <c r="A4894" s="2">
        <f>IFERROR(__xludf.DUMMYFUNCTION("""COMPUTED_VALUE"""),38467.666666666664)</f>
        <v>38467.66667</v>
      </c>
      <c r="B4894" s="1">
        <f>IFERROR(__xludf.DUMMYFUNCTION("""COMPUTED_VALUE"""),1152.12)</f>
        <v>1152.12</v>
      </c>
      <c r="C4894" s="1">
        <f>IFERROR(__xludf.DUMMYFUNCTION("""COMPUTED_VALUE"""),1164.05)</f>
        <v>1164.05</v>
      </c>
      <c r="D4894" s="1">
        <f>IFERROR(__xludf.DUMMYFUNCTION("""COMPUTED_VALUE"""),1152.12)</f>
        <v>1152.12</v>
      </c>
      <c r="E4894" s="1">
        <f>IFERROR(__xludf.DUMMYFUNCTION("""COMPUTED_VALUE"""),1162.1)</f>
        <v>1162.1</v>
      </c>
      <c r="F4894" s="1">
        <f>IFERROR(__xludf.DUMMYFUNCTION("""COMPUTED_VALUE"""),1.79503008E8)</f>
        <v>179503008</v>
      </c>
    </row>
    <row r="4895">
      <c r="A4895" s="2">
        <f>IFERROR(__xludf.DUMMYFUNCTION("""COMPUTED_VALUE"""),38468.666666666664)</f>
        <v>38468.66667</v>
      </c>
      <c r="B4895" s="1">
        <f>IFERROR(__xludf.DUMMYFUNCTION("""COMPUTED_VALUE"""),1162.1)</f>
        <v>1162.1</v>
      </c>
      <c r="C4895" s="1">
        <f>IFERROR(__xludf.DUMMYFUNCTION("""COMPUTED_VALUE"""),1164.8)</f>
        <v>1164.8</v>
      </c>
      <c r="D4895" s="1">
        <f>IFERROR(__xludf.DUMMYFUNCTION("""COMPUTED_VALUE"""),1151.74)</f>
        <v>1151.74</v>
      </c>
      <c r="E4895" s="1">
        <f>IFERROR(__xludf.DUMMYFUNCTION("""COMPUTED_VALUE"""),1151.74)</f>
        <v>1151.74</v>
      </c>
      <c r="F4895" s="1">
        <f>IFERROR(__xludf.DUMMYFUNCTION("""COMPUTED_VALUE"""),1.95974E8)</f>
        <v>195974000</v>
      </c>
    </row>
    <row r="4896">
      <c r="A4896" s="2">
        <f>IFERROR(__xludf.DUMMYFUNCTION("""COMPUTED_VALUE"""),38469.666666666664)</f>
        <v>38469.66667</v>
      </c>
      <c r="B4896" s="1">
        <f>IFERROR(__xludf.DUMMYFUNCTION("""COMPUTED_VALUE"""),1151.74)</f>
        <v>1151.74</v>
      </c>
      <c r="C4896" s="1">
        <f>IFERROR(__xludf.DUMMYFUNCTION("""COMPUTED_VALUE"""),1159.87)</f>
        <v>1159.87</v>
      </c>
      <c r="D4896" s="1">
        <f>IFERROR(__xludf.DUMMYFUNCTION("""COMPUTED_VALUE"""),1144.42)</f>
        <v>1144.42</v>
      </c>
      <c r="E4896" s="1">
        <f>IFERROR(__xludf.DUMMYFUNCTION("""COMPUTED_VALUE"""),1156.38)</f>
        <v>1156.38</v>
      </c>
      <c r="F4896" s="1">
        <f>IFERROR(__xludf.DUMMYFUNCTION("""COMPUTED_VALUE"""),2.15152E8)</f>
        <v>215152000</v>
      </c>
    </row>
    <row r="4897">
      <c r="A4897" s="2">
        <f>IFERROR(__xludf.DUMMYFUNCTION("""COMPUTED_VALUE"""),38470.666666666664)</f>
        <v>38470.66667</v>
      </c>
      <c r="B4897" s="1">
        <f>IFERROR(__xludf.DUMMYFUNCTION("""COMPUTED_VALUE"""),1156.38)</f>
        <v>1156.38</v>
      </c>
      <c r="C4897" s="1">
        <f>IFERROR(__xludf.DUMMYFUNCTION("""COMPUTED_VALUE"""),1156.38)</f>
        <v>1156.38</v>
      </c>
      <c r="D4897" s="1">
        <f>IFERROR(__xludf.DUMMYFUNCTION("""COMPUTED_VALUE"""),1143.22)</f>
        <v>1143.22</v>
      </c>
      <c r="E4897" s="1">
        <f>IFERROR(__xludf.DUMMYFUNCTION("""COMPUTED_VALUE"""),1143.22)</f>
        <v>1143.22</v>
      </c>
      <c r="F4897" s="1">
        <f>IFERROR(__xludf.DUMMYFUNCTION("""COMPUTED_VALUE"""),2.18227008E8)</f>
        <v>218227008</v>
      </c>
    </row>
    <row r="4898">
      <c r="A4898" s="2">
        <f>IFERROR(__xludf.DUMMYFUNCTION("""COMPUTED_VALUE"""),38471.666666666664)</f>
        <v>38471.66667</v>
      </c>
      <c r="B4898" s="1">
        <f>IFERROR(__xludf.DUMMYFUNCTION("""COMPUTED_VALUE"""),1143.22)</f>
        <v>1143.22</v>
      </c>
      <c r="C4898" s="1">
        <f>IFERROR(__xludf.DUMMYFUNCTION("""COMPUTED_VALUE"""),1156.97)</f>
        <v>1156.97</v>
      </c>
      <c r="D4898" s="1">
        <f>IFERROR(__xludf.DUMMYFUNCTION("""COMPUTED_VALUE"""),1139.19)</f>
        <v>1139.19</v>
      </c>
      <c r="E4898" s="1">
        <f>IFERROR(__xludf.DUMMYFUNCTION("""COMPUTED_VALUE"""),1156.85)</f>
        <v>1156.85</v>
      </c>
      <c r="F4898" s="1">
        <f>IFERROR(__xludf.DUMMYFUNCTION("""COMPUTED_VALUE"""),2.36236E8)</f>
        <v>236236000</v>
      </c>
    </row>
    <row r="4899">
      <c r="A4899" s="2">
        <f>IFERROR(__xludf.DUMMYFUNCTION("""COMPUTED_VALUE"""),38474.666666666664)</f>
        <v>38474.66667</v>
      </c>
      <c r="B4899" s="1">
        <f>IFERROR(__xludf.DUMMYFUNCTION("""COMPUTED_VALUE"""),1156.85)</f>
        <v>1156.85</v>
      </c>
      <c r="C4899" s="1">
        <f>IFERROR(__xludf.DUMMYFUNCTION("""COMPUTED_VALUE"""),1162.87)</f>
        <v>1162.87</v>
      </c>
      <c r="D4899" s="1">
        <f>IFERROR(__xludf.DUMMYFUNCTION("""COMPUTED_VALUE"""),1154.71)</f>
        <v>1154.71</v>
      </c>
      <c r="E4899" s="1">
        <f>IFERROR(__xludf.DUMMYFUNCTION("""COMPUTED_VALUE"""),1162.16)</f>
        <v>1162.16</v>
      </c>
      <c r="F4899" s="1">
        <f>IFERROR(__xludf.DUMMYFUNCTION("""COMPUTED_VALUE"""),1.98004E8)</f>
        <v>198004000</v>
      </c>
    </row>
    <row r="4900">
      <c r="A4900" s="2">
        <f>IFERROR(__xludf.DUMMYFUNCTION("""COMPUTED_VALUE"""),38475.666666666664)</f>
        <v>38475.66667</v>
      </c>
      <c r="B4900" s="1">
        <f>IFERROR(__xludf.DUMMYFUNCTION("""COMPUTED_VALUE"""),1162.16)</f>
        <v>1162.16</v>
      </c>
      <c r="C4900" s="1">
        <f>IFERROR(__xludf.DUMMYFUNCTION("""COMPUTED_VALUE"""),1166.89)</f>
        <v>1166.89</v>
      </c>
      <c r="D4900" s="1">
        <f>IFERROR(__xludf.DUMMYFUNCTION("""COMPUTED_VALUE"""),1156.71)</f>
        <v>1156.71</v>
      </c>
      <c r="E4900" s="1">
        <f>IFERROR(__xludf.DUMMYFUNCTION("""COMPUTED_VALUE"""),1161.17)</f>
        <v>1161.17</v>
      </c>
      <c r="F4900" s="1">
        <f>IFERROR(__xludf.DUMMYFUNCTION("""COMPUTED_VALUE"""),2.16702E8)</f>
        <v>216702000</v>
      </c>
    </row>
    <row r="4901">
      <c r="A4901" s="2">
        <f>IFERROR(__xludf.DUMMYFUNCTION("""COMPUTED_VALUE"""),38476.666666666664)</f>
        <v>38476.66667</v>
      </c>
      <c r="B4901" s="1">
        <f>IFERROR(__xludf.DUMMYFUNCTION("""COMPUTED_VALUE"""),1161.17)</f>
        <v>1161.17</v>
      </c>
      <c r="C4901" s="1">
        <f>IFERROR(__xludf.DUMMYFUNCTION("""COMPUTED_VALUE"""),1176.01)</f>
        <v>1176.01</v>
      </c>
      <c r="D4901" s="1">
        <f>IFERROR(__xludf.DUMMYFUNCTION("""COMPUTED_VALUE"""),1161.17)</f>
        <v>1161.17</v>
      </c>
      <c r="E4901" s="1">
        <f>IFERROR(__xludf.DUMMYFUNCTION("""COMPUTED_VALUE"""),1175.65)</f>
        <v>1175.65</v>
      </c>
      <c r="F4901" s="1">
        <f>IFERROR(__xludf.DUMMYFUNCTION("""COMPUTED_VALUE"""),2.30648E8)</f>
        <v>230648000</v>
      </c>
    </row>
    <row r="4902">
      <c r="A4902" s="2">
        <f>IFERROR(__xludf.DUMMYFUNCTION("""COMPUTED_VALUE"""),38477.666666666664)</f>
        <v>38477.66667</v>
      </c>
      <c r="B4902" s="1">
        <f>IFERROR(__xludf.DUMMYFUNCTION("""COMPUTED_VALUE"""),1175.65)</f>
        <v>1175.65</v>
      </c>
      <c r="C4902" s="1">
        <f>IFERROR(__xludf.DUMMYFUNCTION("""COMPUTED_VALUE"""),1178.62)</f>
        <v>1178.62</v>
      </c>
      <c r="D4902" s="1">
        <f>IFERROR(__xludf.DUMMYFUNCTION("""COMPUTED_VALUE"""),1166.77)</f>
        <v>1166.77</v>
      </c>
      <c r="E4902" s="1">
        <f>IFERROR(__xludf.DUMMYFUNCTION("""COMPUTED_VALUE"""),1172.63)</f>
        <v>1172.63</v>
      </c>
      <c r="F4902" s="1">
        <f>IFERROR(__xludf.DUMMYFUNCTION("""COMPUTED_VALUE"""),1.9971E8)</f>
        <v>199710000</v>
      </c>
    </row>
    <row r="4903">
      <c r="A4903" s="2">
        <f>IFERROR(__xludf.DUMMYFUNCTION("""COMPUTED_VALUE"""),38478.666666666664)</f>
        <v>38478.66667</v>
      </c>
      <c r="B4903" s="1">
        <f>IFERROR(__xludf.DUMMYFUNCTION("""COMPUTED_VALUE"""),1172.63)</f>
        <v>1172.63</v>
      </c>
      <c r="C4903" s="1">
        <f>IFERROR(__xludf.DUMMYFUNCTION("""COMPUTED_VALUE"""),1177.75)</f>
        <v>1177.75</v>
      </c>
      <c r="D4903" s="1">
        <f>IFERROR(__xludf.DUMMYFUNCTION("""COMPUTED_VALUE"""),1170.5)</f>
        <v>1170.5</v>
      </c>
      <c r="E4903" s="1">
        <f>IFERROR(__xludf.DUMMYFUNCTION("""COMPUTED_VALUE"""),1171.35)</f>
        <v>1171.35</v>
      </c>
      <c r="F4903" s="1">
        <f>IFERROR(__xludf.DUMMYFUNCTION("""COMPUTED_VALUE"""),1.7072E8)</f>
        <v>170720000</v>
      </c>
    </row>
    <row r="4904">
      <c r="A4904" s="2">
        <f>IFERROR(__xludf.DUMMYFUNCTION("""COMPUTED_VALUE"""),38481.666666666664)</f>
        <v>38481.66667</v>
      </c>
      <c r="B4904" s="1">
        <f>IFERROR(__xludf.DUMMYFUNCTION("""COMPUTED_VALUE"""),1171.35)</f>
        <v>1171.35</v>
      </c>
      <c r="C4904" s="1">
        <f>IFERROR(__xludf.DUMMYFUNCTION("""COMPUTED_VALUE"""),1178.87)</f>
        <v>1178.87</v>
      </c>
      <c r="D4904" s="1">
        <f>IFERROR(__xludf.DUMMYFUNCTION("""COMPUTED_VALUE"""),1169.38)</f>
        <v>1169.38</v>
      </c>
      <c r="E4904" s="1">
        <f>IFERROR(__xludf.DUMMYFUNCTION("""COMPUTED_VALUE"""),1178.84)</f>
        <v>1178.84</v>
      </c>
      <c r="F4904" s="1">
        <f>IFERROR(__xludf.DUMMYFUNCTION("""COMPUTED_VALUE"""),1.85702E8)</f>
        <v>185702000</v>
      </c>
    </row>
    <row r="4905">
      <c r="A4905" s="2">
        <f>IFERROR(__xludf.DUMMYFUNCTION("""COMPUTED_VALUE"""),38482.666666666664)</f>
        <v>38482.66667</v>
      </c>
      <c r="B4905" s="1">
        <f>IFERROR(__xludf.DUMMYFUNCTION("""COMPUTED_VALUE"""),1178.84)</f>
        <v>1178.84</v>
      </c>
      <c r="C4905" s="1">
        <f>IFERROR(__xludf.DUMMYFUNCTION("""COMPUTED_VALUE"""),1178.84)</f>
        <v>1178.84</v>
      </c>
      <c r="D4905" s="1">
        <f>IFERROR(__xludf.DUMMYFUNCTION("""COMPUTED_VALUE"""),1162.98)</f>
        <v>1162.98</v>
      </c>
      <c r="E4905" s="1">
        <f>IFERROR(__xludf.DUMMYFUNCTION("""COMPUTED_VALUE"""),1166.22)</f>
        <v>1166.22</v>
      </c>
      <c r="F4905" s="1">
        <f>IFERROR(__xludf.DUMMYFUNCTION("""COMPUTED_VALUE"""),1.88966E8)</f>
        <v>188966000</v>
      </c>
    </row>
    <row r="4906">
      <c r="A4906" s="2">
        <f>IFERROR(__xludf.DUMMYFUNCTION("""COMPUTED_VALUE"""),38483.666666666664)</f>
        <v>38483.66667</v>
      </c>
      <c r="B4906" s="1">
        <f>IFERROR(__xludf.DUMMYFUNCTION("""COMPUTED_VALUE"""),1166.22)</f>
        <v>1166.22</v>
      </c>
      <c r="C4906" s="1">
        <f>IFERROR(__xludf.DUMMYFUNCTION("""COMPUTED_VALUE"""),1171.77)</f>
        <v>1171.77</v>
      </c>
      <c r="D4906" s="1">
        <f>IFERROR(__xludf.DUMMYFUNCTION("""COMPUTED_VALUE"""),1157.71)</f>
        <v>1157.71</v>
      </c>
      <c r="E4906" s="1">
        <f>IFERROR(__xludf.DUMMYFUNCTION("""COMPUTED_VALUE"""),1171.11)</f>
        <v>1171.11</v>
      </c>
      <c r="F4906" s="1">
        <f>IFERROR(__xludf.DUMMYFUNCTION("""COMPUTED_VALUE"""),1.83496992E8)</f>
        <v>183496992</v>
      </c>
    </row>
    <row r="4907">
      <c r="A4907" s="2">
        <f>IFERROR(__xludf.DUMMYFUNCTION("""COMPUTED_VALUE"""),38484.666666666664)</f>
        <v>38484.66667</v>
      </c>
      <c r="B4907" s="1">
        <f>IFERROR(__xludf.DUMMYFUNCTION("""COMPUTED_VALUE"""),1171.11)</f>
        <v>1171.11</v>
      </c>
      <c r="C4907" s="1">
        <f>IFERROR(__xludf.DUMMYFUNCTION("""COMPUTED_VALUE"""),1173.37)</f>
        <v>1173.37</v>
      </c>
      <c r="D4907" s="1">
        <f>IFERROR(__xludf.DUMMYFUNCTION("""COMPUTED_VALUE"""),1157.76)</f>
        <v>1157.76</v>
      </c>
      <c r="E4907" s="1">
        <f>IFERROR(__xludf.DUMMYFUNCTION("""COMPUTED_VALUE"""),1159.36)</f>
        <v>1159.36</v>
      </c>
      <c r="F4907" s="1">
        <f>IFERROR(__xludf.DUMMYFUNCTION("""COMPUTED_VALUE"""),1.99528992E8)</f>
        <v>199528992</v>
      </c>
    </row>
    <row r="4908">
      <c r="A4908" s="2">
        <f>IFERROR(__xludf.DUMMYFUNCTION("""COMPUTED_VALUE"""),38485.666666666664)</f>
        <v>38485.66667</v>
      </c>
      <c r="B4908" s="1">
        <f>IFERROR(__xludf.DUMMYFUNCTION("""COMPUTED_VALUE"""),1159.36)</f>
        <v>1159.36</v>
      </c>
      <c r="C4908" s="1">
        <f>IFERROR(__xludf.DUMMYFUNCTION("""COMPUTED_VALUE"""),1163.75)</f>
        <v>1163.75</v>
      </c>
      <c r="D4908" s="1">
        <f>IFERROR(__xludf.DUMMYFUNCTION("""COMPUTED_VALUE"""),1146.18)</f>
        <v>1146.18</v>
      </c>
      <c r="E4908" s="1">
        <f>IFERROR(__xludf.DUMMYFUNCTION("""COMPUTED_VALUE"""),1154.05)</f>
        <v>1154.05</v>
      </c>
      <c r="F4908" s="1">
        <f>IFERROR(__xludf.DUMMYFUNCTION("""COMPUTED_VALUE"""),2.18859008E8)</f>
        <v>218859008</v>
      </c>
    </row>
    <row r="4909">
      <c r="A4909" s="2">
        <f>IFERROR(__xludf.DUMMYFUNCTION("""COMPUTED_VALUE"""),38488.666666666664)</f>
        <v>38488.66667</v>
      </c>
      <c r="B4909" s="1">
        <f>IFERROR(__xludf.DUMMYFUNCTION("""COMPUTED_VALUE"""),1154.05)</f>
        <v>1154.05</v>
      </c>
      <c r="C4909" s="1">
        <f>IFERROR(__xludf.DUMMYFUNCTION("""COMPUTED_VALUE"""),1165.75)</f>
        <v>1165.75</v>
      </c>
      <c r="D4909" s="1">
        <f>IFERROR(__xludf.DUMMYFUNCTION("""COMPUTED_VALUE"""),1153.64)</f>
        <v>1153.64</v>
      </c>
      <c r="E4909" s="1">
        <f>IFERROR(__xludf.DUMMYFUNCTION("""COMPUTED_VALUE"""),1165.69)</f>
        <v>1165.69</v>
      </c>
      <c r="F4909" s="1">
        <f>IFERROR(__xludf.DUMMYFUNCTION("""COMPUTED_VALUE"""),1.85686E8)</f>
        <v>185686000</v>
      </c>
    </row>
    <row r="4910">
      <c r="A4910" s="2">
        <f>IFERROR(__xludf.DUMMYFUNCTION("""COMPUTED_VALUE"""),38489.666666666664)</f>
        <v>38489.66667</v>
      </c>
      <c r="B4910" s="1">
        <f>IFERROR(__xludf.DUMMYFUNCTION("""COMPUTED_VALUE"""),1165.69)</f>
        <v>1165.69</v>
      </c>
      <c r="C4910" s="1">
        <f>IFERROR(__xludf.DUMMYFUNCTION("""COMPUTED_VALUE"""),1174.35)</f>
        <v>1174.35</v>
      </c>
      <c r="D4910" s="1">
        <f>IFERROR(__xludf.DUMMYFUNCTION("""COMPUTED_VALUE"""),1159.86)</f>
        <v>1159.86</v>
      </c>
      <c r="E4910" s="1">
        <f>IFERROR(__xludf.DUMMYFUNCTION("""COMPUTED_VALUE"""),1173.8)</f>
        <v>1173.8</v>
      </c>
      <c r="F4910" s="1">
        <f>IFERROR(__xludf.DUMMYFUNCTION("""COMPUTED_VALUE"""),1.88726E8)</f>
        <v>188726000</v>
      </c>
    </row>
    <row r="4911">
      <c r="A4911" s="2">
        <f>IFERROR(__xludf.DUMMYFUNCTION("""COMPUTED_VALUE"""),38490.666666666664)</f>
        <v>38490.66667</v>
      </c>
      <c r="B4911" s="1">
        <f>IFERROR(__xludf.DUMMYFUNCTION("""COMPUTED_VALUE"""),1173.8)</f>
        <v>1173.8</v>
      </c>
      <c r="C4911" s="1">
        <f>IFERROR(__xludf.DUMMYFUNCTION("""COMPUTED_VALUE"""),1187.9)</f>
        <v>1187.9</v>
      </c>
      <c r="D4911" s="1">
        <f>IFERROR(__xludf.DUMMYFUNCTION("""COMPUTED_VALUE"""),1173.8)</f>
        <v>1173.8</v>
      </c>
      <c r="E4911" s="1">
        <f>IFERROR(__xludf.DUMMYFUNCTION("""COMPUTED_VALUE"""),1185.56)</f>
        <v>1185.56</v>
      </c>
      <c r="F4911" s="1">
        <f>IFERROR(__xludf.DUMMYFUNCTION("""COMPUTED_VALUE"""),2.26632E8)</f>
        <v>226632000</v>
      </c>
    </row>
    <row r="4912">
      <c r="A4912" s="2">
        <f>IFERROR(__xludf.DUMMYFUNCTION("""COMPUTED_VALUE"""),38491.666666666664)</f>
        <v>38491.66667</v>
      </c>
      <c r="B4912" s="1">
        <f>IFERROR(__xludf.DUMMYFUNCTION("""COMPUTED_VALUE"""),1185.56)</f>
        <v>1185.56</v>
      </c>
      <c r="C4912" s="1">
        <f>IFERROR(__xludf.DUMMYFUNCTION("""COMPUTED_VALUE"""),1191.09)</f>
        <v>1191.09</v>
      </c>
      <c r="D4912" s="1">
        <f>IFERROR(__xludf.DUMMYFUNCTION("""COMPUTED_VALUE"""),1184.49)</f>
        <v>1184.49</v>
      </c>
      <c r="E4912" s="1">
        <f>IFERROR(__xludf.DUMMYFUNCTION("""COMPUTED_VALUE"""),1191.08)</f>
        <v>1191.08</v>
      </c>
      <c r="F4912" s="1">
        <f>IFERROR(__xludf.DUMMYFUNCTION("""COMPUTED_VALUE"""),1.77586E8)</f>
        <v>177586000</v>
      </c>
    </row>
    <row r="4913">
      <c r="A4913" s="2">
        <f>IFERROR(__xludf.DUMMYFUNCTION("""COMPUTED_VALUE"""),38492.666666666664)</f>
        <v>38492.66667</v>
      </c>
      <c r="B4913" s="1">
        <f>IFERROR(__xludf.DUMMYFUNCTION("""COMPUTED_VALUE"""),1191.08)</f>
        <v>1191.08</v>
      </c>
      <c r="C4913" s="1">
        <f>IFERROR(__xludf.DUMMYFUNCTION("""COMPUTED_VALUE"""),1191.22)</f>
        <v>1191.22</v>
      </c>
      <c r="D4913" s="1">
        <f>IFERROR(__xludf.DUMMYFUNCTION("""COMPUTED_VALUE"""),1185.19)</f>
        <v>1185.19</v>
      </c>
      <c r="E4913" s="1">
        <f>IFERROR(__xludf.DUMMYFUNCTION("""COMPUTED_VALUE"""),1189.28)</f>
        <v>1189.28</v>
      </c>
      <c r="F4913" s="1">
        <f>IFERROR(__xludf.DUMMYFUNCTION("""COMPUTED_VALUE"""),1.63175008E8)</f>
        <v>163175008</v>
      </c>
    </row>
    <row r="4914">
      <c r="A4914" s="2">
        <f>IFERROR(__xludf.DUMMYFUNCTION("""COMPUTED_VALUE"""),38495.666666666664)</f>
        <v>38495.66667</v>
      </c>
      <c r="B4914" s="1">
        <f>IFERROR(__xludf.DUMMYFUNCTION("""COMPUTED_VALUE"""),1189.28)</f>
        <v>1189.28</v>
      </c>
      <c r="C4914" s="1">
        <f>IFERROR(__xludf.DUMMYFUNCTION("""COMPUTED_VALUE"""),1197.44)</f>
        <v>1197.44</v>
      </c>
      <c r="D4914" s="1">
        <f>IFERROR(__xludf.DUMMYFUNCTION("""COMPUTED_VALUE"""),1188.76)</f>
        <v>1188.76</v>
      </c>
      <c r="E4914" s="1">
        <f>IFERROR(__xludf.DUMMYFUNCTION("""COMPUTED_VALUE"""),1193.86)</f>
        <v>1193.86</v>
      </c>
      <c r="F4914" s="1">
        <f>IFERROR(__xludf.DUMMYFUNCTION("""COMPUTED_VALUE"""),1.68116992E8)</f>
        <v>168116992</v>
      </c>
    </row>
    <row r="4915">
      <c r="A4915" s="2">
        <f>IFERROR(__xludf.DUMMYFUNCTION("""COMPUTED_VALUE"""),38496.666666666664)</f>
        <v>38496.66667</v>
      </c>
      <c r="B4915" s="1">
        <f>IFERROR(__xludf.DUMMYFUNCTION("""COMPUTED_VALUE"""),1193.86)</f>
        <v>1193.86</v>
      </c>
      <c r="C4915" s="1">
        <f>IFERROR(__xludf.DUMMYFUNCTION("""COMPUTED_VALUE"""),1195.29)</f>
        <v>1195.29</v>
      </c>
      <c r="D4915" s="1">
        <f>IFERROR(__xludf.DUMMYFUNCTION("""COMPUTED_VALUE"""),1189.87)</f>
        <v>1189.87</v>
      </c>
      <c r="E4915" s="1">
        <f>IFERROR(__xludf.DUMMYFUNCTION("""COMPUTED_VALUE"""),1194.07)</f>
        <v>1194.07</v>
      </c>
      <c r="F4915" s="1">
        <f>IFERROR(__xludf.DUMMYFUNCTION("""COMPUTED_VALUE"""),1.681E8)</f>
        <v>168100000</v>
      </c>
    </row>
    <row r="4916">
      <c r="A4916" s="2">
        <f>IFERROR(__xludf.DUMMYFUNCTION("""COMPUTED_VALUE"""),38497.666666666664)</f>
        <v>38497.66667</v>
      </c>
      <c r="B4916" s="1">
        <f>IFERROR(__xludf.DUMMYFUNCTION("""COMPUTED_VALUE"""),1194.07)</f>
        <v>1194.07</v>
      </c>
      <c r="C4916" s="1">
        <f>IFERROR(__xludf.DUMMYFUNCTION("""COMPUTED_VALUE"""),1194.07)</f>
        <v>1194.07</v>
      </c>
      <c r="D4916" s="1">
        <f>IFERROR(__xludf.DUMMYFUNCTION("""COMPUTED_VALUE"""),1185.96)</f>
        <v>1185.96</v>
      </c>
      <c r="E4916" s="1">
        <f>IFERROR(__xludf.DUMMYFUNCTION("""COMPUTED_VALUE"""),1190.01)</f>
        <v>1190.01</v>
      </c>
      <c r="F4916" s="1">
        <f>IFERROR(__xludf.DUMMYFUNCTION("""COMPUTED_VALUE"""),1.74218E8)</f>
        <v>174218000</v>
      </c>
    </row>
    <row r="4917">
      <c r="A4917" s="2">
        <f>IFERROR(__xludf.DUMMYFUNCTION("""COMPUTED_VALUE"""),38498.666666666664)</f>
        <v>38498.66667</v>
      </c>
      <c r="B4917" s="1">
        <f>IFERROR(__xludf.DUMMYFUNCTION("""COMPUTED_VALUE"""),1190.01)</f>
        <v>1190.01</v>
      </c>
      <c r="C4917" s="1">
        <f>IFERROR(__xludf.DUMMYFUNCTION("""COMPUTED_VALUE"""),1198.95)</f>
        <v>1198.95</v>
      </c>
      <c r="D4917" s="1">
        <f>IFERROR(__xludf.DUMMYFUNCTION("""COMPUTED_VALUE"""),1190.01)</f>
        <v>1190.01</v>
      </c>
      <c r="E4917" s="1">
        <f>IFERROR(__xludf.DUMMYFUNCTION("""COMPUTED_VALUE"""),1197.62)</f>
        <v>1197.62</v>
      </c>
      <c r="F4917" s="1">
        <f>IFERROR(__xludf.DUMMYFUNCTION("""COMPUTED_VALUE"""),1.65411008E8)</f>
        <v>165411008</v>
      </c>
    </row>
    <row r="4918">
      <c r="A4918" s="2">
        <f>IFERROR(__xludf.DUMMYFUNCTION("""COMPUTED_VALUE"""),38499.666666666664)</f>
        <v>38499.66667</v>
      </c>
      <c r="B4918" s="1">
        <f>IFERROR(__xludf.DUMMYFUNCTION("""COMPUTED_VALUE"""),1197.62)</f>
        <v>1197.62</v>
      </c>
      <c r="C4918" s="1">
        <f>IFERROR(__xludf.DUMMYFUNCTION("""COMPUTED_VALUE"""),1199.56)</f>
        <v>1199.56</v>
      </c>
      <c r="D4918" s="1">
        <f>IFERROR(__xludf.DUMMYFUNCTION("""COMPUTED_VALUE"""),1195.28)</f>
        <v>1195.28</v>
      </c>
      <c r="E4918" s="1">
        <f>IFERROR(__xludf.DUMMYFUNCTION("""COMPUTED_VALUE"""),1198.78)</f>
        <v>1198.78</v>
      </c>
      <c r="F4918" s="1">
        <f>IFERROR(__xludf.DUMMYFUNCTION("""COMPUTED_VALUE"""),1.38143008E8)</f>
        <v>138143008</v>
      </c>
    </row>
    <row r="4919">
      <c r="A4919" s="2">
        <f>IFERROR(__xludf.DUMMYFUNCTION("""COMPUTED_VALUE"""),38503.666666666664)</f>
        <v>38503.66667</v>
      </c>
      <c r="B4919" s="1">
        <f>IFERROR(__xludf.DUMMYFUNCTION("""COMPUTED_VALUE"""),1198.78)</f>
        <v>1198.78</v>
      </c>
      <c r="C4919" s="1">
        <f>IFERROR(__xludf.DUMMYFUNCTION("""COMPUTED_VALUE"""),1198.78)</f>
        <v>1198.78</v>
      </c>
      <c r="D4919" s="1">
        <f>IFERROR(__xludf.DUMMYFUNCTION("""COMPUTED_VALUE"""),1191.5)</f>
        <v>1191.5</v>
      </c>
      <c r="E4919" s="1">
        <f>IFERROR(__xludf.DUMMYFUNCTION("""COMPUTED_VALUE"""),1191.5)</f>
        <v>1191.5</v>
      </c>
      <c r="F4919" s="1">
        <f>IFERROR(__xludf.DUMMYFUNCTION("""COMPUTED_VALUE"""),1.84068E8)</f>
        <v>184068000</v>
      </c>
    </row>
    <row r="4920">
      <c r="A4920" s="2">
        <f>IFERROR(__xludf.DUMMYFUNCTION("""COMPUTED_VALUE"""),38504.666666666664)</f>
        <v>38504.66667</v>
      </c>
      <c r="B4920" s="1">
        <f>IFERROR(__xludf.DUMMYFUNCTION("""COMPUTED_VALUE"""),1191.5)</f>
        <v>1191.5</v>
      </c>
      <c r="C4920" s="1">
        <f>IFERROR(__xludf.DUMMYFUNCTION("""COMPUTED_VALUE"""),1205.64)</f>
        <v>1205.64</v>
      </c>
      <c r="D4920" s="1">
        <f>IFERROR(__xludf.DUMMYFUNCTION("""COMPUTED_VALUE"""),1191.03)</f>
        <v>1191.03</v>
      </c>
      <c r="E4920" s="1">
        <f>IFERROR(__xludf.DUMMYFUNCTION("""COMPUTED_VALUE"""),1202.22)</f>
        <v>1202.22</v>
      </c>
      <c r="F4920" s="1">
        <f>IFERROR(__xludf.DUMMYFUNCTION("""COMPUTED_VALUE"""),1.8101E8)</f>
        <v>181010000</v>
      </c>
    </row>
    <row r="4921">
      <c r="A4921" s="2">
        <f>IFERROR(__xludf.DUMMYFUNCTION("""COMPUTED_VALUE"""),38505.666666666664)</f>
        <v>38505.66667</v>
      </c>
      <c r="B4921" s="1">
        <f>IFERROR(__xludf.DUMMYFUNCTION("""COMPUTED_VALUE"""),1202.27)</f>
        <v>1202.27</v>
      </c>
      <c r="C4921" s="1">
        <f>IFERROR(__xludf.DUMMYFUNCTION("""COMPUTED_VALUE"""),1204.67)</f>
        <v>1204.67</v>
      </c>
      <c r="D4921" s="1">
        <f>IFERROR(__xludf.DUMMYFUNCTION("""COMPUTED_VALUE"""),1198.42)</f>
        <v>1198.42</v>
      </c>
      <c r="E4921" s="1">
        <f>IFERROR(__xludf.DUMMYFUNCTION("""COMPUTED_VALUE"""),1204.29)</f>
        <v>1204.29</v>
      </c>
      <c r="F4921" s="1">
        <f>IFERROR(__xludf.DUMMYFUNCTION("""COMPUTED_VALUE"""),1.81379008E8)</f>
        <v>181379008</v>
      </c>
    </row>
    <row r="4922">
      <c r="A4922" s="2">
        <f>IFERROR(__xludf.DUMMYFUNCTION("""COMPUTED_VALUE"""),38506.666666666664)</f>
        <v>38506.66667</v>
      </c>
      <c r="B4922" s="1">
        <f>IFERROR(__xludf.DUMMYFUNCTION("""COMPUTED_VALUE"""),1204.29)</f>
        <v>1204.29</v>
      </c>
      <c r="C4922" s="1">
        <f>IFERROR(__xludf.DUMMYFUNCTION("""COMPUTED_VALUE"""),1205.09)</f>
        <v>1205.09</v>
      </c>
      <c r="D4922" s="1">
        <f>IFERROR(__xludf.DUMMYFUNCTION("""COMPUTED_VALUE"""),1194.55)</f>
        <v>1194.55</v>
      </c>
      <c r="E4922" s="1">
        <f>IFERROR(__xludf.DUMMYFUNCTION("""COMPUTED_VALUE"""),1196.02)</f>
        <v>1196.02</v>
      </c>
      <c r="F4922" s="1">
        <f>IFERROR(__xludf.DUMMYFUNCTION("""COMPUTED_VALUE"""),1.62752E8)</f>
        <v>162752000</v>
      </c>
    </row>
    <row r="4923">
      <c r="A4923" s="2">
        <f>IFERROR(__xludf.DUMMYFUNCTION("""COMPUTED_VALUE"""),38509.666666666664)</f>
        <v>38509.66667</v>
      </c>
      <c r="B4923" s="1">
        <f>IFERROR(__xludf.DUMMYFUNCTION("""COMPUTED_VALUE"""),1196.02)</f>
        <v>1196.02</v>
      </c>
      <c r="C4923" s="1">
        <f>IFERROR(__xludf.DUMMYFUNCTION("""COMPUTED_VALUE"""),1198.78)</f>
        <v>1198.78</v>
      </c>
      <c r="D4923" s="1">
        <f>IFERROR(__xludf.DUMMYFUNCTION("""COMPUTED_VALUE"""),1192.75)</f>
        <v>1192.75</v>
      </c>
      <c r="E4923" s="1">
        <f>IFERROR(__xludf.DUMMYFUNCTION("""COMPUTED_VALUE"""),1197.51)</f>
        <v>1197.51</v>
      </c>
      <c r="F4923" s="1">
        <f>IFERROR(__xludf.DUMMYFUNCTION("""COMPUTED_VALUE"""),1.54712E8)</f>
        <v>154712000</v>
      </c>
    </row>
    <row r="4924">
      <c r="A4924" s="2">
        <f>IFERROR(__xludf.DUMMYFUNCTION("""COMPUTED_VALUE"""),38510.666666666664)</f>
        <v>38510.66667</v>
      </c>
      <c r="B4924" s="1">
        <f>IFERROR(__xludf.DUMMYFUNCTION("""COMPUTED_VALUE"""),1197.51)</f>
        <v>1197.51</v>
      </c>
      <c r="C4924" s="1">
        <f>IFERROR(__xludf.DUMMYFUNCTION("""COMPUTED_VALUE"""),1208.85)</f>
        <v>1208.85</v>
      </c>
      <c r="D4924" s="1">
        <f>IFERROR(__xludf.DUMMYFUNCTION("""COMPUTED_VALUE"""),1197.26)</f>
        <v>1197.26</v>
      </c>
      <c r="E4924" s="1">
        <f>IFERROR(__xludf.DUMMYFUNCTION("""COMPUTED_VALUE"""),1197.26)</f>
        <v>1197.26</v>
      </c>
      <c r="F4924" s="1">
        <f>IFERROR(__xludf.DUMMYFUNCTION("""COMPUTED_VALUE"""),1.85136992E8)</f>
        <v>185136992</v>
      </c>
    </row>
    <row r="4925">
      <c r="A4925" s="2">
        <f>IFERROR(__xludf.DUMMYFUNCTION("""COMPUTED_VALUE"""),38511.666666666664)</f>
        <v>38511.66667</v>
      </c>
      <c r="B4925" s="1">
        <f>IFERROR(__xludf.DUMMYFUNCTION("""COMPUTED_VALUE"""),1197.26)</f>
        <v>1197.26</v>
      </c>
      <c r="C4925" s="1">
        <f>IFERROR(__xludf.DUMMYFUNCTION("""COMPUTED_VALUE"""),1201.97)</f>
        <v>1201.97</v>
      </c>
      <c r="D4925" s="1">
        <f>IFERROR(__xludf.DUMMYFUNCTION("""COMPUTED_VALUE"""),1193.33)</f>
        <v>1193.33</v>
      </c>
      <c r="E4925" s="1">
        <f>IFERROR(__xludf.DUMMYFUNCTION("""COMPUTED_VALUE"""),1194.67)</f>
        <v>1194.67</v>
      </c>
      <c r="F4925" s="1">
        <f>IFERROR(__xludf.DUMMYFUNCTION("""COMPUTED_VALUE"""),1.71548992E8)</f>
        <v>171548992</v>
      </c>
    </row>
    <row r="4926">
      <c r="A4926" s="2">
        <f>IFERROR(__xludf.DUMMYFUNCTION("""COMPUTED_VALUE"""),38512.666666666664)</f>
        <v>38512.66667</v>
      </c>
      <c r="B4926" s="1">
        <f>IFERROR(__xludf.DUMMYFUNCTION("""COMPUTED_VALUE"""),1194.67)</f>
        <v>1194.67</v>
      </c>
      <c r="C4926" s="1">
        <f>IFERROR(__xludf.DUMMYFUNCTION("""COMPUTED_VALUE"""),1201.86)</f>
        <v>1201.86</v>
      </c>
      <c r="D4926" s="1">
        <f>IFERROR(__xludf.DUMMYFUNCTION("""COMPUTED_VALUE"""),1191.09)</f>
        <v>1191.09</v>
      </c>
      <c r="E4926" s="1">
        <f>IFERROR(__xludf.DUMMYFUNCTION("""COMPUTED_VALUE"""),1200.93)</f>
        <v>1200.93</v>
      </c>
      <c r="F4926" s="1">
        <f>IFERROR(__xludf.DUMMYFUNCTION("""COMPUTED_VALUE"""),1.82412E8)</f>
        <v>182412000</v>
      </c>
    </row>
    <row r="4927">
      <c r="A4927" s="2">
        <f>IFERROR(__xludf.DUMMYFUNCTION("""COMPUTED_VALUE"""),38513.666666666664)</f>
        <v>38513.66667</v>
      </c>
      <c r="B4927" s="1">
        <f>IFERROR(__xludf.DUMMYFUNCTION("""COMPUTED_VALUE"""),1200.93)</f>
        <v>1200.93</v>
      </c>
      <c r="C4927" s="1">
        <f>IFERROR(__xludf.DUMMYFUNCTION("""COMPUTED_VALUE"""),1202.79)</f>
        <v>1202.79</v>
      </c>
      <c r="D4927" s="1">
        <f>IFERROR(__xludf.DUMMYFUNCTION("""COMPUTED_VALUE"""),1192.64)</f>
        <v>1192.64</v>
      </c>
      <c r="E4927" s="1">
        <f>IFERROR(__xludf.DUMMYFUNCTION("""COMPUTED_VALUE"""),1198.11)</f>
        <v>1198.11</v>
      </c>
      <c r="F4927" s="1">
        <f>IFERROR(__xludf.DUMMYFUNCTION("""COMPUTED_VALUE"""),1.66418E8)</f>
        <v>166418000</v>
      </c>
    </row>
    <row r="4928">
      <c r="A4928" s="2">
        <f>IFERROR(__xludf.DUMMYFUNCTION("""COMPUTED_VALUE"""),38516.666666666664)</f>
        <v>38516.66667</v>
      </c>
      <c r="B4928" s="1">
        <f>IFERROR(__xludf.DUMMYFUNCTION("""COMPUTED_VALUE"""),1198.11)</f>
        <v>1198.11</v>
      </c>
      <c r="C4928" s="1">
        <f>IFERROR(__xludf.DUMMYFUNCTION("""COMPUTED_VALUE"""),1206.03)</f>
        <v>1206.03</v>
      </c>
      <c r="D4928" s="1">
        <f>IFERROR(__xludf.DUMMYFUNCTION("""COMPUTED_VALUE"""),1194.51)</f>
        <v>1194.51</v>
      </c>
      <c r="E4928" s="1">
        <f>IFERROR(__xludf.DUMMYFUNCTION("""COMPUTED_VALUE"""),1200.82)</f>
        <v>1200.82</v>
      </c>
      <c r="F4928" s="1">
        <f>IFERROR(__xludf.DUMMYFUNCTION("""COMPUTED_VALUE"""),1.66135008E8)</f>
        <v>166135008</v>
      </c>
    </row>
    <row r="4929">
      <c r="A4929" s="2">
        <f>IFERROR(__xludf.DUMMYFUNCTION("""COMPUTED_VALUE"""),38517.666666666664)</f>
        <v>38517.66667</v>
      </c>
      <c r="B4929" s="1">
        <f>IFERROR(__xludf.DUMMYFUNCTION("""COMPUTED_VALUE"""),1200.82)</f>
        <v>1200.82</v>
      </c>
      <c r="C4929" s="1">
        <f>IFERROR(__xludf.DUMMYFUNCTION("""COMPUTED_VALUE"""),1207.53)</f>
        <v>1207.53</v>
      </c>
      <c r="D4929" s="1">
        <f>IFERROR(__xludf.DUMMYFUNCTION("""COMPUTED_VALUE"""),1200.18)</f>
        <v>1200.18</v>
      </c>
      <c r="E4929" s="1">
        <f>IFERROR(__xludf.DUMMYFUNCTION("""COMPUTED_VALUE"""),1203.91)</f>
        <v>1203.91</v>
      </c>
      <c r="F4929" s="1">
        <f>IFERROR(__xludf.DUMMYFUNCTION("""COMPUTED_VALUE"""),1.69815008E8)</f>
        <v>169815008</v>
      </c>
    </row>
    <row r="4930">
      <c r="A4930" s="2">
        <f>IFERROR(__xludf.DUMMYFUNCTION("""COMPUTED_VALUE"""),38518.666666666664)</f>
        <v>38518.66667</v>
      </c>
      <c r="B4930" s="1">
        <f>IFERROR(__xludf.DUMMYFUNCTION("""COMPUTED_VALUE"""),1203.91)</f>
        <v>1203.91</v>
      </c>
      <c r="C4930" s="1">
        <f>IFERROR(__xludf.DUMMYFUNCTION("""COMPUTED_VALUE"""),1208.08)</f>
        <v>1208.08</v>
      </c>
      <c r="D4930" s="1">
        <f>IFERROR(__xludf.DUMMYFUNCTION("""COMPUTED_VALUE"""),1198.66)</f>
        <v>1198.66</v>
      </c>
      <c r="E4930" s="1">
        <f>IFERROR(__xludf.DUMMYFUNCTION("""COMPUTED_VALUE"""),1206.58)</f>
        <v>1206.58</v>
      </c>
      <c r="F4930" s="1">
        <f>IFERROR(__xludf.DUMMYFUNCTION("""COMPUTED_VALUE"""),1.84044E8)</f>
        <v>184044000</v>
      </c>
    </row>
    <row r="4931">
      <c r="A4931" s="2">
        <f>IFERROR(__xludf.DUMMYFUNCTION("""COMPUTED_VALUE"""),38519.666666666664)</f>
        <v>38519.66667</v>
      </c>
      <c r="B4931" s="1">
        <f>IFERROR(__xludf.DUMMYFUNCTION("""COMPUTED_VALUE"""),1206.55)</f>
        <v>1206.55</v>
      </c>
      <c r="C4931" s="1">
        <f>IFERROR(__xludf.DUMMYFUNCTION("""COMPUTED_VALUE"""),1212.1)</f>
        <v>1212.1</v>
      </c>
      <c r="D4931" s="1">
        <f>IFERROR(__xludf.DUMMYFUNCTION("""COMPUTED_VALUE"""),1205.47)</f>
        <v>1205.47</v>
      </c>
      <c r="E4931" s="1">
        <f>IFERROR(__xludf.DUMMYFUNCTION("""COMPUTED_VALUE"""),1210.96)</f>
        <v>1210.96</v>
      </c>
      <c r="F4931" s="1">
        <f>IFERROR(__xludf.DUMMYFUNCTION("""COMPUTED_VALUE"""),1.77604E8)</f>
        <v>177604000</v>
      </c>
    </row>
    <row r="4932">
      <c r="A4932" s="2">
        <f>IFERROR(__xludf.DUMMYFUNCTION("""COMPUTED_VALUE"""),38520.666666666664)</f>
        <v>38520.66667</v>
      </c>
      <c r="B4932" s="1">
        <f>IFERROR(__xludf.DUMMYFUNCTION("""COMPUTED_VALUE"""),1210.93)</f>
        <v>1210.93</v>
      </c>
      <c r="C4932" s="1">
        <f>IFERROR(__xludf.DUMMYFUNCTION("""COMPUTED_VALUE"""),1219.55)</f>
        <v>1219.55</v>
      </c>
      <c r="D4932" s="1">
        <f>IFERROR(__xludf.DUMMYFUNCTION("""COMPUTED_VALUE"""),1210.93)</f>
        <v>1210.93</v>
      </c>
      <c r="E4932" s="1">
        <f>IFERROR(__xludf.DUMMYFUNCTION("""COMPUTED_VALUE"""),1216.96)</f>
        <v>1216.96</v>
      </c>
      <c r="F4932" s="1">
        <f>IFERROR(__xludf.DUMMYFUNCTION("""COMPUTED_VALUE"""),2.40736992E8)</f>
        <v>240736992</v>
      </c>
    </row>
    <row r="4933">
      <c r="A4933" s="2">
        <f>IFERROR(__xludf.DUMMYFUNCTION("""COMPUTED_VALUE"""),38523.666666666664)</f>
        <v>38523.66667</v>
      </c>
      <c r="B4933" s="1">
        <f>IFERROR(__xludf.DUMMYFUNCTION("""COMPUTED_VALUE"""),1216.96)</f>
        <v>1216.96</v>
      </c>
      <c r="C4933" s="1">
        <f>IFERROR(__xludf.DUMMYFUNCTION("""COMPUTED_VALUE"""),1219.1)</f>
        <v>1219.1</v>
      </c>
      <c r="D4933" s="1">
        <f>IFERROR(__xludf.DUMMYFUNCTION("""COMPUTED_VALUE"""),1210.65)</f>
        <v>1210.65</v>
      </c>
      <c r="E4933" s="1">
        <f>IFERROR(__xludf.DUMMYFUNCTION("""COMPUTED_VALUE"""),1216.1)</f>
        <v>1216.1</v>
      </c>
      <c r="F4933" s="1">
        <f>IFERROR(__xludf.DUMMYFUNCTION("""COMPUTED_VALUE"""),1.71452992E8)</f>
        <v>171452992</v>
      </c>
    </row>
    <row r="4934">
      <c r="A4934" s="2">
        <f>IFERROR(__xludf.DUMMYFUNCTION("""COMPUTED_VALUE"""),38524.666666666664)</f>
        <v>38524.66667</v>
      </c>
      <c r="B4934" s="1">
        <f>IFERROR(__xludf.DUMMYFUNCTION("""COMPUTED_VALUE"""),1216.1)</f>
        <v>1216.1</v>
      </c>
      <c r="C4934" s="1">
        <f>IFERROR(__xludf.DUMMYFUNCTION("""COMPUTED_VALUE"""),1217.13)</f>
        <v>1217.13</v>
      </c>
      <c r="D4934" s="1">
        <f>IFERROR(__xludf.DUMMYFUNCTION("""COMPUTED_VALUE"""),1211.86)</f>
        <v>1211.86</v>
      </c>
      <c r="E4934" s="1">
        <f>IFERROR(__xludf.DUMMYFUNCTION("""COMPUTED_VALUE"""),1213.61)</f>
        <v>1213.61</v>
      </c>
      <c r="F4934" s="1">
        <f>IFERROR(__xludf.DUMMYFUNCTION("""COMPUTED_VALUE"""),1.7207E8)</f>
        <v>172070000</v>
      </c>
    </row>
    <row r="4935">
      <c r="A4935" s="2">
        <f>IFERROR(__xludf.DUMMYFUNCTION("""COMPUTED_VALUE"""),38525.666666666664)</f>
        <v>38525.66667</v>
      </c>
      <c r="B4935" s="1">
        <f>IFERROR(__xludf.DUMMYFUNCTION("""COMPUTED_VALUE"""),1213.61)</f>
        <v>1213.61</v>
      </c>
      <c r="C4935" s="1">
        <f>IFERROR(__xludf.DUMMYFUNCTION("""COMPUTED_VALUE"""),1219.59)</f>
        <v>1219.59</v>
      </c>
      <c r="D4935" s="1">
        <f>IFERROR(__xludf.DUMMYFUNCTION("""COMPUTED_VALUE"""),1211.69)</f>
        <v>1211.69</v>
      </c>
      <c r="E4935" s="1">
        <f>IFERROR(__xludf.DUMMYFUNCTION("""COMPUTED_VALUE"""),1213.88)</f>
        <v>1213.88</v>
      </c>
      <c r="F4935" s="1">
        <f>IFERROR(__xludf.DUMMYFUNCTION("""COMPUTED_VALUE"""),1.82324992E8)</f>
        <v>182324992</v>
      </c>
    </row>
    <row r="4936">
      <c r="A4936" s="2">
        <f>IFERROR(__xludf.DUMMYFUNCTION("""COMPUTED_VALUE"""),38526.666666666664)</f>
        <v>38526.66667</v>
      </c>
      <c r="B4936" s="1">
        <f>IFERROR(__xludf.DUMMYFUNCTION("""COMPUTED_VALUE"""),1213.88)</f>
        <v>1213.88</v>
      </c>
      <c r="C4936" s="1">
        <f>IFERROR(__xludf.DUMMYFUNCTION("""COMPUTED_VALUE"""),1216.45)</f>
        <v>1216.45</v>
      </c>
      <c r="D4936" s="1">
        <f>IFERROR(__xludf.DUMMYFUNCTION("""COMPUTED_VALUE"""),1200.72)</f>
        <v>1200.72</v>
      </c>
      <c r="E4936" s="1">
        <f>IFERROR(__xludf.DUMMYFUNCTION("""COMPUTED_VALUE"""),1200.73)</f>
        <v>1200.73</v>
      </c>
      <c r="F4936" s="1">
        <f>IFERROR(__xludf.DUMMYFUNCTION("""COMPUTED_VALUE"""),2.02992E8)</f>
        <v>202992000</v>
      </c>
    </row>
    <row r="4937">
      <c r="A4937" s="2">
        <f>IFERROR(__xludf.DUMMYFUNCTION("""COMPUTED_VALUE"""),38527.666666666664)</f>
        <v>38527.66667</v>
      </c>
      <c r="B4937" s="1">
        <f>IFERROR(__xludf.DUMMYFUNCTION("""COMPUTED_VALUE"""),1200.73)</f>
        <v>1200.73</v>
      </c>
      <c r="C4937" s="1">
        <f>IFERROR(__xludf.DUMMYFUNCTION("""COMPUTED_VALUE"""),1200.9)</f>
        <v>1200.9</v>
      </c>
      <c r="D4937" s="1">
        <f>IFERROR(__xludf.DUMMYFUNCTION("""COMPUTED_VALUE"""),1191.45)</f>
        <v>1191.45</v>
      </c>
      <c r="E4937" s="1">
        <f>IFERROR(__xludf.DUMMYFUNCTION("""COMPUTED_VALUE"""),1191.57)</f>
        <v>1191.57</v>
      </c>
      <c r="F4937" s="1">
        <f>IFERROR(__xludf.DUMMYFUNCTION("""COMPUTED_VALUE"""),2.4188E8)</f>
        <v>241880000</v>
      </c>
    </row>
    <row r="4938">
      <c r="A4938" s="2">
        <f>IFERROR(__xludf.DUMMYFUNCTION("""COMPUTED_VALUE"""),38530.666666666664)</f>
        <v>38530.66667</v>
      </c>
      <c r="B4938" s="1">
        <f>IFERROR(__xludf.DUMMYFUNCTION("""COMPUTED_VALUE"""),1191.57)</f>
        <v>1191.57</v>
      </c>
      <c r="C4938" s="1">
        <f>IFERROR(__xludf.DUMMYFUNCTION("""COMPUTED_VALUE"""),1194.33)</f>
        <v>1194.33</v>
      </c>
      <c r="D4938" s="1">
        <f>IFERROR(__xludf.DUMMYFUNCTION("""COMPUTED_VALUE"""),1188.3)</f>
        <v>1188.3</v>
      </c>
      <c r="E4938" s="1">
        <f>IFERROR(__xludf.DUMMYFUNCTION("""COMPUTED_VALUE"""),1190.69)</f>
        <v>1190.69</v>
      </c>
      <c r="F4938" s="1">
        <f>IFERROR(__xludf.DUMMYFUNCTION("""COMPUTED_VALUE"""),1.73862E8)</f>
        <v>173862000</v>
      </c>
    </row>
    <row r="4939">
      <c r="A4939" s="2">
        <f>IFERROR(__xludf.DUMMYFUNCTION("""COMPUTED_VALUE"""),38531.666666666664)</f>
        <v>38531.66667</v>
      </c>
      <c r="B4939" s="1">
        <f>IFERROR(__xludf.DUMMYFUNCTION("""COMPUTED_VALUE"""),1190.69)</f>
        <v>1190.69</v>
      </c>
      <c r="C4939" s="1">
        <f>IFERROR(__xludf.DUMMYFUNCTION("""COMPUTED_VALUE"""),1202.54)</f>
        <v>1202.54</v>
      </c>
      <c r="D4939" s="1">
        <f>IFERROR(__xludf.DUMMYFUNCTION("""COMPUTED_VALUE"""),1190.69)</f>
        <v>1190.69</v>
      </c>
      <c r="E4939" s="1">
        <f>IFERROR(__xludf.DUMMYFUNCTION("""COMPUTED_VALUE"""),1201.57)</f>
        <v>1201.57</v>
      </c>
      <c r="F4939" s="1">
        <f>IFERROR(__xludf.DUMMYFUNCTION("""COMPUTED_VALUE"""),1.77240992E8)</f>
        <v>177240992</v>
      </c>
    </row>
    <row r="4940">
      <c r="A4940" s="2">
        <f>IFERROR(__xludf.DUMMYFUNCTION("""COMPUTED_VALUE"""),38532.666666666664)</f>
        <v>38532.66667</v>
      </c>
      <c r="B4940" s="1">
        <f>IFERROR(__xludf.DUMMYFUNCTION("""COMPUTED_VALUE"""),1201.57)</f>
        <v>1201.57</v>
      </c>
      <c r="C4940" s="1">
        <f>IFERROR(__xludf.DUMMYFUNCTION("""COMPUTED_VALUE"""),1204.07)</f>
        <v>1204.07</v>
      </c>
      <c r="D4940" s="1">
        <f>IFERROR(__xludf.DUMMYFUNCTION("""COMPUTED_VALUE"""),1198.7)</f>
        <v>1198.7</v>
      </c>
      <c r="E4940" s="1">
        <f>IFERROR(__xludf.DUMMYFUNCTION("""COMPUTED_VALUE"""),1199.85)</f>
        <v>1199.85</v>
      </c>
      <c r="F4940" s="1">
        <f>IFERROR(__xludf.DUMMYFUNCTION("""COMPUTED_VALUE"""),1.76928E8)</f>
        <v>176928000</v>
      </c>
    </row>
    <row r="4941">
      <c r="A4941" s="2">
        <f>IFERROR(__xludf.DUMMYFUNCTION("""COMPUTED_VALUE"""),38533.666666666664)</f>
        <v>38533.66667</v>
      </c>
      <c r="B4941" s="1">
        <f>IFERROR(__xludf.DUMMYFUNCTION("""COMPUTED_VALUE"""),1199.85)</f>
        <v>1199.85</v>
      </c>
      <c r="C4941" s="1">
        <f>IFERROR(__xludf.DUMMYFUNCTION("""COMPUTED_VALUE"""),1203.27)</f>
        <v>1203.27</v>
      </c>
      <c r="D4941" s="1">
        <f>IFERROR(__xludf.DUMMYFUNCTION("""COMPUTED_VALUE"""),1190.51)</f>
        <v>1190.51</v>
      </c>
      <c r="E4941" s="1">
        <f>IFERROR(__xludf.DUMMYFUNCTION("""COMPUTED_VALUE"""),1191.33)</f>
        <v>1191.33</v>
      </c>
      <c r="F4941" s="1">
        <f>IFERROR(__xludf.DUMMYFUNCTION("""COMPUTED_VALUE"""),2.10948992E8)</f>
        <v>210948992</v>
      </c>
    </row>
    <row r="4942">
      <c r="A4942" s="2">
        <f>IFERROR(__xludf.DUMMYFUNCTION("""COMPUTED_VALUE"""),38534.666666666664)</f>
        <v>38534.66667</v>
      </c>
      <c r="B4942" s="1">
        <f>IFERROR(__xludf.DUMMYFUNCTION("""COMPUTED_VALUE"""),1191.33)</f>
        <v>1191.33</v>
      </c>
      <c r="C4942" s="1">
        <f>IFERROR(__xludf.DUMMYFUNCTION("""COMPUTED_VALUE"""),1197.89)</f>
        <v>1197.89</v>
      </c>
      <c r="D4942" s="1">
        <f>IFERROR(__xludf.DUMMYFUNCTION("""COMPUTED_VALUE"""),1191.33)</f>
        <v>1191.33</v>
      </c>
      <c r="E4942" s="1">
        <f>IFERROR(__xludf.DUMMYFUNCTION("""COMPUTED_VALUE"""),1194.44)</f>
        <v>1194.44</v>
      </c>
      <c r="F4942" s="1">
        <f>IFERROR(__xludf.DUMMYFUNCTION("""COMPUTED_VALUE"""),1.59382E8)</f>
        <v>159382000</v>
      </c>
    </row>
    <row r="4943">
      <c r="A4943" s="2">
        <f>IFERROR(__xludf.DUMMYFUNCTION("""COMPUTED_VALUE"""),38538.666666666664)</f>
        <v>38538.66667</v>
      </c>
      <c r="B4943" s="1">
        <f>IFERROR(__xludf.DUMMYFUNCTION("""COMPUTED_VALUE"""),1194.44)</f>
        <v>1194.44</v>
      </c>
      <c r="C4943" s="1">
        <f>IFERROR(__xludf.DUMMYFUNCTION("""COMPUTED_VALUE"""),1206.34)</f>
        <v>1206.34</v>
      </c>
      <c r="D4943" s="1">
        <f>IFERROR(__xludf.DUMMYFUNCTION("""COMPUTED_VALUE"""),1192.49)</f>
        <v>1192.49</v>
      </c>
      <c r="E4943" s="1">
        <f>IFERROR(__xludf.DUMMYFUNCTION("""COMPUTED_VALUE"""),1204.99)</f>
        <v>1204.99</v>
      </c>
      <c r="F4943" s="1">
        <f>IFERROR(__xludf.DUMMYFUNCTION("""COMPUTED_VALUE"""),1.80582E8)</f>
        <v>180582000</v>
      </c>
    </row>
    <row r="4944">
      <c r="A4944" s="2">
        <f>IFERROR(__xludf.DUMMYFUNCTION("""COMPUTED_VALUE"""),38539.666666666664)</f>
        <v>38539.66667</v>
      </c>
      <c r="B4944" s="1">
        <f>IFERROR(__xludf.DUMMYFUNCTION("""COMPUTED_VALUE"""),1204.99)</f>
        <v>1204.99</v>
      </c>
      <c r="C4944" s="1">
        <f>IFERROR(__xludf.DUMMYFUNCTION("""COMPUTED_VALUE"""),1206.11)</f>
        <v>1206.11</v>
      </c>
      <c r="D4944" s="1">
        <f>IFERROR(__xludf.DUMMYFUNCTION("""COMPUTED_VALUE"""),1194.78)</f>
        <v>1194.78</v>
      </c>
      <c r="E4944" s="1">
        <f>IFERROR(__xludf.DUMMYFUNCTION("""COMPUTED_VALUE"""),1194.94)</f>
        <v>1194.94</v>
      </c>
      <c r="F4944" s="1">
        <f>IFERROR(__xludf.DUMMYFUNCTION("""COMPUTED_VALUE"""),1.88347008E8)</f>
        <v>188347008</v>
      </c>
    </row>
    <row r="4945">
      <c r="A4945" s="2">
        <f>IFERROR(__xludf.DUMMYFUNCTION("""COMPUTED_VALUE"""),38540.666666666664)</f>
        <v>38540.66667</v>
      </c>
      <c r="B4945" s="1">
        <f>IFERROR(__xludf.DUMMYFUNCTION("""COMPUTED_VALUE"""),1194.94)</f>
        <v>1194.94</v>
      </c>
      <c r="C4945" s="1">
        <f>IFERROR(__xludf.DUMMYFUNCTION("""COMPUTED_VALUE"""),1198.46)</f>
        <v>1198.46</v>
      </c>
      <c r="D4945" s="1">
        <f>IFERROR(__xludf.DUMMYFUNCTION("""COMPUTED_VALUE"""),1183.55)</f>
        <v>1183.55</v>
      </c>
      <c r="E4945" s="1">
        <f>IFERROR(__xludf.DUMMYFUNCTION("""COMPUTED_VALUE"""),1197.87)</f>
        <v>1197.87</v>
      </c>
      <c r="F4945" s="1">
        <f>IFERROR(__xludf.DUMMYFUNCTION("""COMPUTED_VALUE"""),1.95244E8)</f>
        <v>195244000</v>
      </c>
    </row>
    <row r="4946">
      <c r="A4946" s="2">
        <f>IFERROR(__xludf.DUMMYFUNCTION("""COMPUTED_VALUE"""),38541.666666666664)</f>
        <v>38541.66667</v>
      </c>
      <c r="B4946" s="1">
        <f>IFERROR(__xludf.DUMMYFUNCTION("""COMPUTED_VALUE"""),1197.87)</f>
        <v>1197.87</v>
      </c>
      <c r="C4946" s="1">
        <f>IFERROR(__xludf.DUMMYFUNCTION("""COMPUTED_VALUE"""),1212.73)</f>
        <v>1212.73</v>
      </c>
      <c r="D4946" s="1">
        <f>IFERROR(__xludf.DUMMYFUNCTION("""COMPUTED_VALUE"""),1197.2)</f>
        <v>1197.2</v>
      </c>
      <c r="E4946" s="1">
        <f>IFERROR(__xludf.DUMMYFUNCTION("""COMPUTED_VALUE"""),1211.86)</f>
        <v>1211.86</v>
      </c>
      <c r="F4946" s="1">
        <f>IFERROR(__xludf.DUMMYFUNCTION("""COMPUTED_VALUE"""),1.90080992E8)</f>
        <v>190080992</v>
      </c>
    </row>
    <row r="4947">
      <c r="A4947" s="2">
        <f>IFERROR(__xludf.DUMMYFUNCTION("""COMPUTED_VALUE"""),38544.666666666664)</f>
        <v>38544.66667</v>
      </c>
      <c r="B4947" s="1">
        <f>IFERROR(__xludf.DUMMYFUNCTION("""COMPUTED_VALUE"""),1211.86)</f>
        <v>1211.86</v>
      </c>
      <c r="C4947" s="1">
        <f>IFERROR(__xludf.DUMMYFUNCTION("""COMPUTED_VALUE"""),1220.03)</f>
        <v>1220.03</v>
      </c>
      <c r="D4947" s="1">
        <f>IFERROR(__xludf.DUMMYFUNCTION("""COMPUTED_VALUE"""),1211.86)</f>
        <v>1211.86</v>
      </c>
      <c r="E4947" s="1">
        <f>IFERROR(__xludf.DUMMYFUNCTION("""COMPUTED_VALUE"""),1219.44)</f>
        <v>1219.44</v>
      </c>
      <c r="F4947" s="1">
        <f>IFERROR(__xludf.DUMMYFUNCTION("""COMPUTED_VALUE"""),1.8463E8)</f>
        <v>184630000</v>
      </c>
    </row>
    <row r="4948">
      <c r="A4948" s="2">
        <f>IFERROR(__xludf.DUMMYFUNCTION("""COMPUTED_VALUE"""),38545.666666666664)</f>
        <v>38545.66667</v>
      </c>
      <c r="B4948" s="1">
        <f>IFERROR(__xludf.DUMMYFUNCTION("""COMPUTED_VALUE"""),1219.44)</f>
        <v>1219.44</v>
      </c>
      <c r="C4948" s="1">
        <f>IFERROR(__xludf.DUMMYFUNCTION("""COMPUTED_VALUE"""),1225.54)</f>
        <v>1225.54</v>
      </c>
      <c r="D4948" s="1">
        <f>IFERROR(__xludf.DUMMYFUNCTION("""COMPUTED_VALUE"""),1216.6)</f>
        <v>1216.6</v>
      </c>
      <c r="E4948" s="1">
        <f>IFERROR(__xludf.DUMMYFUNCTION("""COMPUTED_VALUE"""),1222.21)</f>
        <v>1222.21</v>
      </c>
      <c r="F4948" s="1">
        <f>IFERROR(__xludf.DUMMYFUNCTION("""COMPUTED_VALUE"""),1.93200992E8)</f>
        <v>193200992</v>
      </c>
    </row>
    <row r="4949">
      <c r="A4949" s="2">
        <f>IFERROR(__xludf.DUMMYFUNCTION("""COMPUTED_VALUE"""),38546.666666666664)</f>
        <v>38546.66667</v>
      </c>
      <c r="B4949" s="1">
        <f>IFERROR(__xludf.DUMMYFUNCTION("""COMPUTED_VALUE"""),1222.21)</f>
        <v>1222.21</v>
      </c>
      <c r="C4949" s="1">
        <f>IFERROR(__xludf.DUMMYFUNCTION("""COMPUTED_VALUE"""),1224.46)</f>
        <v>1224.46</v>
      </c>
      <c r="D4949" s="1">
        <f>IFERROR(__xludf.DUMMYFUNCTION("""COMPUTED_VALUE"""),1219.64)</f>
        <v>1219.64</v>
      </c>
      <c r="E4949" s="1">
        <f>IFERROR(__xludf.DUMMYFUNCTION("""COMPUTED_VALUE"""),1223.29)</f>
        <v>1223.29</v>
      </c>
      <c r="F4949" s="1">
        <f>IFERROR(__xludf.DUMMYFUNCTION("""COMPUTED_VALUE"""),1.8125E8)</f>
        <v>181250000</v>
      </c>
    </row>
    <row r="4950">
      <c r="A4950" s="2">
        <f>IFERROR(__xludf.DUMMYFUNCTION("""COMPUTED_VALUE"""),38547.666666666664)</f>
        <v>38547.66667</v>
      </c>
      <c r="B4950" s="1">
        <f>IFERROR(__xludf.DUMMYFUNCTION("""COMPUTED_VALUE"""),1223.29)</f>
        <v>1223.29</v>
      </c>
      <c r="C4950" s="1">
        <f>IFERROR(__xludf.DUMMYFUNCTION("""COMPUTED_VALUE"""),1233.16)</f>
        <v>1233.16</v>
      </c>
      <c r="D4950" s="1">
        <f>IFERROR(__xludf.DUMMYFUNCTION("""COMPUTED_VALUE"""),1223.29)</f>
        <v>1223.29</v>
      </c>
      <c r="E4950" s="1">
        <f>IFERROR(__xludf.DUMMYFUNCTION("""COMPUTED_VALUE"""),1226.5)</f>
        <v>1226.5</v>
      </c>
      <c r="F4950" s="1">
        <f>IFERROR(__xludf.DUMMYFUNCTION("""COMPUTED_VALUE"""),2.04871008E8)</f>
        <v>204871008</v>
      </c>
    </row>
    <row r="4951">
      <c r="A4951" s="2">
        <f>IFERROR(__xludf.DUMMYFUNCTION("""COMPUTED_VALUE"""),38548.666666666664)</f>
        <v>38548.66667</v>
      </c>
      <c r="B4951" s="1">
        <f>IFERROR(__xludf.DUMMYFUNCTION("""COMPUTED_VALUE"""),1226.5)</f>
        <v>1226.5</v>
      </c>
      <c r="C4951" s="1">
        <f>IFERROR(__xludf.DUMMYFUNCTION("""COMPUTED_VALUE"""),1229.53)</f>
        <v>1229.53</v>
      </c>
      <c r="D4951" s="1">
        <f>IFERROR(__xludf.DUMMYFUNCTION("""COMPUTED_VALUE"""),1223.5)</f>
        <v>1223.5</v>
      </c>
      <c r="E4951" s="1">
        <f>IFERROR(__xludf.DUMMYFUNCTION("""COMPUTED_VALUE"""),1227.92)</f>
        <v>1227.92</v>
      </c>
      <c r="F4951" s="1">
        <f>IFERROR(__xludf.DUMMYFUNCTION("""COMPUTED_VALUE"""),1.7164E8)</f>
        <v>171640000</v>
      </c>
    </row>
    <row r="4952">
      <c r="A4952" s="2">
        <f>IFERROR(__xludf.DUMMYFUNCTION("""COMPUTED_VALUE"""),38551.666666666664)</f>
        <v>38551.66667</v>
      </c>
      <c r="B4952" s="1">
        <f>IFERROR(__xludf.DUMMYFUNCTION("""COMPUTED_VALUE"""),1227.92)</f>
        <v>1227.92</v>
      </c>
      <c r="C4952" s="1">
        <f>IFERROR(__xludf.DUMMYFUNCTION("""COMPUTED_VALUE"""),1227.92)</f>
        <v>1227.92</v>
      </c>
      <c r="D4952" s="1">
        <f>IFERROR(__xludf.DUMMYFUNCTION("""COMPUTED_VALUE"""),1221.13)</f>
        <v>1221.13</v>
      </c>
      <c r="E4952" s="1">
        <f>IFERROR(__xludf.DUMMYFUNCTION("""COMPUTED_VALUE"""),1221.13)</f>
        <v>1221.13</v>
      </c>
      <c r="F4952" s="1">
        <f>IFERROR(__xludf.DUMMYFUNCTION("""COMPUTED_VALUE"""),1.5821E8)</f>
        <v>158210000</v>
      </c>
    </row>
    <row r="4953">
      <c r="A4953" s="2">
        <f>IFERROR(__xludf.DUMMYFUNCTION("""COMPUTED_VALUE"""),38552.666666666664)</f>
        <v>38552.66667</v>
      </c>
      <c r="B4953" s="1">
        <f>IFERROR(__xludf.DUMMYFUNCTION("""COMPUTED_VALUE"""),1221.13)</f>
        <v>1221.13</v>
      </c>
      <c r="C4953" s="1">
        <f>IFERROR(__xludf.DUMMYFUNCTION("""COMPUTED_VALUE"""),1230.34)</f>
        <v>1230.34</v>
      </c>
      <c r="D4953" s="1">
        <f>IFERROR(__xludf.DUMMYFUNCTION("""COMPUTED_VALUE"""),1221.13)</f>
        <v>1221.13</v>
      </c>
      <c r="E4953" s="1">
        <f>IFERROR(__xludf.DUMMYFUNCTION("""COMPUTED_VALUE"""),1229.35)</f>
        <v>1229.35</v>
      </c>
      <c r="F4953" s="1">
        <f>IFERROR(__xludf.DUMMYFUNCTION("""COMPUTED_VALUE"""),2.04128E8)</f>
        <v>204128000</v>
      </c>
    </row>
    <row r="4954">
      <c r="A4954" s="2">
        <f>IFERROR(__xludf.DUMMYFUNCTION("""COMPUTED_VALUE"""),38553.666666666664)</f>
        <v>38553.66667</v>
      </c>
      <c r="B4954" s="1">
        <f>IFERROR(__xludf.DUMMYFUNCTION("""COMPUTED_VALUE"""),1229.35)</f>
        <v>1229.35</v>
      </c>
      <c r="C4954" s="1">
        <f>IFERROR(__xludf.DUMMYFUNCTION("""COMPUTED_VALUE"""),1236.56)</f>
        <v>1236.56</v>
      </c>
      <c r="D4954" s="1">
        <f>IFERROR(__xludf.DUMMYFUNCTION("""COMPUTED_VALUE"""),1222.91)</f>
        <v>1222.91</v>
      </c>
      <c r="E4954" s="1">
        <f>IFERROR(__xludf.DUMMYFUNCTION("""COMPUTED_VALUE"""),1235.2)</f>
        <v>1235.2</v>
      </c>
      <c r="F4954" s="1">
        <f>IFERROR(__xludf.DUMMYFUNCTION("""COMPUTED_VALUE"""),2.06334E8)</f>
        <v>206334000</v>
      </c>
    </row>
    <row r="4955">
      <c r="A4955" s="2">
        <f>IFERROR(__xludf.DUMMYFUNCTION("""COMPUTED_VALUE"""),38554.666666666664)</f>
        <v>38554.66667</v>
      </c>
      <c r="B4955" s="1">
        <f>IFERROR(__xludf.DUMMYFUNCTION("""COMPUTED_VALUE"""),1235.2)</f>
        <v>1235.2</v>
      </c>
      <c r="C4955" s="1">
        <f>IFERROR(__xludf.DUMMYFUNCTION("""COMPUTED_VALUE"""),1235.83)</f>
        <v>1235.83</v>
      </c>
      <c r="D4955" s="1">
        <f>IFERROR(__xludf.DUMMYFUNCTION("""COMPUTED_VALUE"""),1224.7)</f>
        <v>1224.7</v>
      </c>
      <c r="E4955" s="1">
        <f>IFERROR(__xludf.DUMMYFUNCTION("""COMPUTED_VALUE"""),1227.04)</f>
        <v>1227.04</v>
      </c>
      <c r="F4955" s="1">
        <f>IFERROR(__xludf.DUMMYFUNCTION("""COMPUTED_VALUE"""),2.12984E8)</f>
        <v>212984000</v>
      </c>
    </row>
    <row r="4956">
      <c r="A4956" s="2">
        <f>IFERROR(__xludf.DUMMYFUNCTION("""COMPUTED_VALUE"""),38555.666666666664)</f>
        <v>38555.66667</v>
      </c>
      <c r="B4956" s="1">
        <f>IFERROR(__xludf.DUMMYFUNCTION("""COMPUTED_VALUE"""),1227.04)</f>
        <v>1227.04</v>
      </c>
      <c r="C4956" s="1">
        <f>IFERROR(__xludf.DUMMYFUNCTION("""COMPUTED_VALUE"""),1234.19)</f>
        <v>1234.19</v>
      </c>
      <c r="D4956" s="1">
        <f>IFERROR(__xludf.DUMMYFUNCTION("""COMPUTED_VALUE"""),1226.15)</f>
        <v>1226.15</v>
      </c>
      <c r="E4956" s="1">
        <f>IFERROR(__xludf.DUMMYFUNCTION("""COMPUTED_VALUE"""),1233.68)</f>
        <v>1233.68</v>
      </c>
      <c r="F4956" s="1">
        <f>IFERROR(__xludf.DUMMYFUNCTION("""COMPUTED_VALUE"""),1.76699008E8)</f>
        <v>176699008</v>
      </c>
    </row>
    <row r="4957">
      <c r="A4957" s="2">
        <f>IFERROR(__xludf.DUMMYFUNCTION("""COMPUTED_VALUE"""),38558.666666666664)</f>
        <v>38558.66667</v>
      </c>
      <c r="B4957" s="1">
        <f>IFERROR(__xludf.DUMMYFUNCTION("""COMPUTED_VALUE"""),1233.68)</f>
        <v>1233.68</v>
      </c>
      <c r="C4957" s="1">
        <f>IFERROR(__xludf.DUMMYFUNCTION("""COMPUTED_VALUE"""),1238.36)</f>
        <v>1238.36</v>
      </c>
      <c r="D4957" s="1">
        <f>IFERROR(__xludf.DUMMYFUNCTION("""COMPUTED_VALUE"""),1228.15)</f>
        <v>1228.15</v>
      </c>
      <c r="E4957" s="1">
        <f>IFERROR(__xludf.DUMMYFUNCTION("""COMPUTED_VALUE"""),1229.03)</f>
        <v>1229.03</v>
      </c>
      <c r="F4957" s="1">
        <f>IFERROR(__xludf.DUMMYFUNCTION("""COMPUTED_VALUE"""),1.71758E8)</f>
        <v>171758000</v>
      </c>
    </row>
    <row r="4958">
      <c r="A4958" s="2">
        <f>IFERROR(__xludf.DUMMYFUNCTION("""COMPUTED_VALUE"""),38559.666666666664)</f>
        <v>38559.66667</v>
      </c>
      <c r="B4958" s="1">
        <f>IFERROR(__xludf.DUMMYFUNCTION("""COMPUTED_VALUE"""),1229.03)</f>
        <v>1229.03</v>
      </c>
      <c r="C4958" s="1">
        <f>IFERROR(__xludf.DUMMYFUNCTION("""COMPUTED_VALUE"""),1234.42)</f>
        <v>1234.42</v>
      </c>
      <c r="D4958" s="1">
        <f>IFERROR(__xludf.DUMMYFUNCTION("""COMPUTED_VALUE"""),1229.03)</f>
        <v>1229.03</v>
      </c>
      <c r="E4958" s="1">
        <f>IFERROR(__xludf.DUMMYFUNCTION("""COMPUTED_VALUE"""),1231.16)</f>
        <v>1231.16</v>
      </c>
      <c r="F4958" s="1">
        <f>IFERROR(__xludf.DUMMYFUNCTION("""COMPUTED_VALUE"""),1.93418E8)</f>
        <v>193418000</v>
      </c>
    </row>
    <row r="4959">
      <c r="A4959" s="2">
        <f>IFERROR(__xludf.DUMMYFUNCTION("""COMPUTED_VALUE"""),38560.666666666664)</f>
        <v>38560.66667</v>
      </c>
      <c r="B4959" s="1">
        <f>IFERROR(__xludf.DUMMYFUNCTION("""COMPUTED_VALUE"""),1231.16)</f>
        <v>1231.16</v>
      </c>
      <c r="C4959" s="1">
        <f>IFERROR(__xludf.DUMMYFUNCTION("""COMPUTED_VALUE"""),1237.64)</f>
        <v>1237.64</v>
      </c>
      <c r="D4959" s="1">
        <f>IFERROR(__xludf.DUMMYFUNCTION("""COMPUTED_VALUE"""),1230.15)</f>
        <v>1230.15</v>
      </c>
      <c r="E4959" s="1">
        <f>IFERROR(__xludf.DUMMYFUNCTION("""COMPUTED_VALUE"""),1236.79)</f>
        <v>1236.79</v>
      </c>
      <c r="F4959" s="1">
        <f>IFERROR(__xludf.DUMMYFUNCTION("""COMPUTED_VALUE"""),1.9458E8)</f>
        <v>194580000</v>
      </c>
    </row>
    <row r="4960">
      <c r="A4960" s="2">
        <f>IFERROR(__xludf.DUMMYFUNCTION("""COMPUTED_VALUE"""),38561.666666666664)</f>
        <v>38561.66667</v>
      </c>
      <c r="B4960" s="1">
        <f>IFERROR(__xludf.DUMMYFUNCTION("""COMPUTED_VALUE"""),1236.79)</f>
        <v>1236.79</v>
      </c>
      <c r="C4960" s="1">
        <f>IFERROR(__xludf.DUMMYFUNCTION("""COMPUTED_VALUE"""),1245.15)</f>
        <v>1245.15</v>
      </c>
      <c r="D4960" s="1">
        <f>IFERROR(__xludf.DUMMYFUNCTION("""COMPUTED_VALUE"""),1235.81)</f>
        <v>1235.81</v>
      </c>
      <c r="E4960" s="1">
        <f>IFERROR(__xludf.DUMMYFUNCTION("""COMPUTED_VALUE"""),1243.72)</f>
        <v>1243.72</v>
      </c>
      <c r="F4960" s="1">
        <f>IFERROR(__xludf.DUMMYFUNCTION("""COMPUTED_VALUE"""),2.00168E8)</f>
        <v>200168000</v>
      </c>
    </row>
    <row r="4961">
      <c r="A4961" s="2">
        <f>IFERROR(__xludf.DUMMYFUNCTION("""COMPUTED_VALUE"""),38562.666666666664)</f>
        <v>38562.66667</v>
      </c>
      <c r="B4961" s="1">
        <f>IFERROR(__xludf.DUMMYFUNCTION("""COMPUTED_VALUE"""),1243.72)</f>
        <v>1243.72</v>
      </c>
      <c r="C4961" s="1">
        <f>IFERROR(__xludf.DUMMYFUNCTION("""COMPUTED_VALUE"""),1245.04)</f>
        <v>1245.04</v>
      </c>
      <c r="D4961" s="1">
        <f>IFERROR(__xludf.DUMMYFUNCTION("""COMPUTED_VALUE"""),1234.18)</f>
        <v>1234.18</v>
      </c>
      <c r="E4961" s="1">
        <f>IFERROR(__xludf.DUMMYFUNCTION("""COMPUTED_VALUE"""),1234.18)</f>
        <v>1234.18</v>
      </c>
      <c r="F4961" s="1">
        <f>IFERROR(__xludf.DUMMYFUNCTION("""COMPUTED_VALUE"""),1.7896E8)</f>
        <v>178960000</v>
      </c>
    </row>
    <row r="4962">
      <c r="A4962" s="2">
        <f>IFERROR(__xludf.DUMMYFUNCTION("""COMPUTED_VALUE"""),38565.666666666664)</f>
        <v>38565.66667</v>
      </c>
      <c r="B4962" s="1">
        <f>IFERROR(__xludf.DUMMYFUNCTION("""COMPUTED_VALUE"""),1234.18)</f>
        <v>1234.18</v>
      </c>
      <c r="C4962" s="1">
        <f>IFERROR(__xludf.DUMMYFUNCTION("""COMPUTED_VALUE"""),1239.1)</f>
        <v>1239.1</v>
      </c>
      <c r="D4962" s="1">
        <f>IFERROR(__xludf.DUMMYFUNCTION("""COMPUTED_VALUE"""),1233.8)</f>
        <v>1233.8</v>
      </c>
      <c r="E4962" s="1">
        <f>IFERROR(__xludf.DUMMYFUNCTION("""COMPUTED_VALUE"""),1235.35)</f>
        <v>1235.35</v>
      </c>
      <c r="F4962" s="1">
        <f>IFERROR(__xludf.DUMMYFUNCTION("""COMPUTED_VALUE"""),1.71687008E8)</f>
        <v>171687008</v>
      </c>
    </row>
    <row r="4963">
      <c r="A4963" s="2">
        <f>IFERROR(__xludf.DUMMYFUNCTION("""COMPUTED_VALUE"""),38566.666666666664)</f>
        <v>38566.66667</v>
      </c>
      <c r="B4963" s="1">
        <f>IFERROR(__xludf.DUMMYFUNCTION("""COMPUTED_VALUE"""),1235.35)</f>
        <v>1235.35</v>
      </c>
      <c r="C4963" s="1">
        <f>IFERROR(__xludf.DUMMYFUNCTION("""COMPUTED_VALUE"""),1244.69)</f>
        <v>1244.69</v>
      </c>
      <c r="D4963" s="1">
        <f>IFERROR(__xludf.DUMMYFUNCTION("""COMPUTED_VALUE"""),1235.35)</f>
        <v>1235.35</v>
      </c>
      <c r="E4963" s="1">
        <f>IFERROR(__xludf.DUMMYFUNCTION("""COMPUTED_VALUE"""),1244.12)</f>
        <v>1244.12</v>
      </c>
      <c r="F4963" s="1">
        <f>IFERROR(__xludf.DUMMYFUNCTION("""COMPUTED_VALUE"""),2.04312E8)</f>
        <v>204312000</v>
      </c>
    </row>
    <row r="4964">
      <c r="A4964" s="2">
        <f>IFERROR(__xludf.DUMMYFUNCTION("""COMPUTED_VALUE"""),38567.666666666664)</f>
        <v>38567.66667</v>
      </c>
      <c r="B4964" s="1">
        <f>IFERROR(__xludf.DUMMYFUNCTION("""COMPUTED_VALUE"""),1244.12)</f>
        <v>1244.12</v>
      </c>
      <c r="C4964" s="1">
        <f>IFERROR(__xludf.DUMMYFUNCTION("""COMPUTED_VALUE"""),1245.86)</f>
        <v>1245.86</v>
      </c>
      <c r="D4964" s="1">
        <f>IFERROR(__xludf.DUMMYFUNCTION("""COMPUTED_VALUE"""),1240.57)</f>
        <v>1240.57</v>
      </c>
      <c r="E4964" s="1">
        <f>IFERROR(__xludf.DUMMYFUNCTION("""COMPUTED_VALUE"""),1245.04)</f>
        <v>1245.04</v>
      </c>
      <c r="F4964" s="1">
        <f>IFERROR(__xludf.DUMMYFUNCTION("""COMPUTED_VALUE"""),1.99998E8)</f>
        <v>199998000</v>
      </c>
    </row>
    <row r="4965">
      <c r="A4965" s="2">
        <f>IFERROR(__xludf.DUMMYFUNCTION("""COMPUTED_VALUE"""),38568.666666666664)</f>
        <v>38568.66667</v>
      </c>
      <c r="B4965" s="1">
        <f>IFERROR(__xludf.DUMMYFUNCTION("""COMPUTED_VALUE"""),1245.04)</f>
        <v>1245.04</v>
      </c>
      <c r="C4965" s="1">
        <f>IFERROR(__xludf.DUMMYFUNCTION("""COMPUTED_VALUE"""),1245.04)</f>
        <v>1245.04</v>
      </c>
      <c r="D4965" s="1">
        <f>IFERROR(__xludf.DUMMYFUNCTION("""COMPUTED_VALUE"""),1235.15)</f>
        <v>1235.15</v>
      </c>
      <c r="E4965" s="1">
        <f>IFERROR(__xludf.DUMMYFUNCTION("""COMPUTED_VALUE"""),1235.86)</f>
        <v>1235.86</v>
      </c>
      <c r="F4965" s="1">
        <f>IFERROR(__xludf.DUMMYFUNCTION("""COMPUTED_VALUE"""),1.98122E8)</f>
        <v>198122000</v>
      </c>
    </row>
    <row r="4966">
      <c r="A4966" s="2">
        <f>IFERROR(__xludf.DUMMYFUNCTION("""COMPUTED_VALUE"""),38569.666666666664)</f>
        <v>38569.66667</v>
      </c>
      <c r="B4966" s="1">
        <f>IFERROR(__xludf.DUMMYFUNCTION("""COMPUTED_VALUE"""),1235.86)</f>
        <v>1235.86</v>
      </c>
      <c r="C4966" s="1">
        <f>IFERROR(__xludf.DUMMYFUNCTION("""COMPUTED_VALUE"""),1235.86)</f>
        <v>1235.86</v>
      </c>
      <c r="D4966" s="1">
        <f>IFERROR(__xludf.DUMMYFUNCTION("""COMPUTED_VALUE"""),1225.62)</f>
        <v>1225.62</v>
      </c>
      <c r="E4966" s="1">
        <f>IFERROR(__xludf.DUMMYFUNCTION("""COMPUTED_VALUE"""),1226.42)</f>
        <v>1226.42</v>
      </c>
      <c r="F4966" s="1">
        <f>IFERROR(__xludf.DUMMYFUNCTION("""COMPUTED_VALUE"""),1.93028E8)</f>
        <v>193028000</v>
      </c>
    </row>
    <row r="4967">
      <c r="A4967" s="2">
        <f>IFERROR(__xludf.DUMMYFUNCTION("""COMPUTED_VALUE"""),38572.666666666664)</f>
        <v>38572.66667</v>
      </c>
      <c r="B4967" s="1">
        <f>IFERROR(__xludf.DUMMYFUNCTION("""COMPUTED_VALUE"""),1226.42)</f>
        <v>1226.42</v>
      </c>
      <c r="C4967" s="1">
        <f>IFERROR(__xludf.DUMMYFUNCTION("""COMPUTED_VALUE"""),1232.28)</f>
        <v>1232.28</v>
      </c>
      <c r="D4967" s="1">
        <f>IFERROR(__xludf.DUMMYFUNCTION("""COMPUTED_VALUE"""),1222.67)</f>
        <v>1222.67</v>
      </c>
      <c r="E4967" s="1">
        <f>IFERROR(__xludf.DUMMYFUNCTION("""COMPUTED_VALUE"""),1223.13)</f>
        <v>1223.13</v>
      </c>
      <c r="F4967" s="1">
        <f>IFERROR(__xludf.DUMMYFUNCTION("""COMPUTED_VALUE"""),1.80414E8)</f>
        <v>180414000</v>
      </c>
    </row>
    <row r="4968">
      <c r="A4968" s="2">
        <f>IFERROR(__xludf.DUMMYFUNCTION("""COMPUTED_VALUE"""),38573.666666666664)</f>
        <v>38573.66667</v>
      </c>
      <c r="B4968" s="1">
        <f>IFERROR(__xludf.DUMMYFUNCTION("""COMPUTED_VALUE"""),1223.13)</f>
        <v>1223.13</v>
      </c>
      <c r="C4968" s="1">
        <f>IFERROR(__xludf.DUMMYFUNCTION("""COMPUTED_VALUE"""),1234.11)</f>
        <v>1234.11</v>
      </c>
      <c r="D4968" s="1">
        <f>IFERROR(__xludf.DUMMYFUNCTION("""COMPUTED_VALUE"""),1223.13)</f>
        <v>1223.13</v>
      </c>
      <c r="E4968" s="1">
        <f>IFERROR(__xludf.DUMMYFUNCTION("""COMPUTED_VALUE"""),1231.38)</f>
        <v>1231.38</v>
      </c>
      <c r="F4968" s="1">
        <f>IFERROR(__xludf.DUMMYFUNCTION("""COMPUTED_VALUE"""),1.89752E8)</f>
        <v>189752000</v>
      </c>
    </row>
    <row r="4969">
      <c r="A4969" s="2">
        <f>IFERROR(__xludf.DUMMYFUNCTION("""COMPUTED_VALUE"""),38574.666666666664)</f>
        <v>38574.66667</v>
      </c>
      <c r="B4969" s="1">
        <f>IFERROR(__xludf.DUMMYFUNCTION("""COMPUTED_VALUE"""),1231.38)</f>
        <v>1231.38</v>
      </c>
      <c r="C4969" s="1">
        <f>IFERROR(__xludf.DUMMYFUNCTION("""COMPUTED_VALUE"""),1242.69)</f>
        <v>1242.69</v>
      </c>
      <c r="D4969" s="1">
        <f>IFERROR(__xludf.DUMMYFUNCTION("""COMPUTED_VALUE"""),1226.58)</f>
        <v>1226.58</v>
      </c>
      <c r="E4969" s="1">
        <f>IFERROR(__xludf.DUMMYFUNCTION("""COMPUTED_VALUE"""),1229.13)</f>
        <v>1229.13</v>
      </c>
      <c r="F4969" s="1">
        <f>IFERROR(__xludf.DUMMYFUNCTION("""COMPUTED_VALUE"""),2.17232E8)</f>
        <v>217232000</v>
      </c>
    </row>
    <row r="4970">
      <c r="A4970" s="2">
        <f>IFERROR(__xludf.DUMMYFUNCTION("""COMPUTED_VALUE"""),38575.666666666664)</f>
        <v>38575.66667</v>
      </c>
      <c r="B4970" s="1">
        <f>IFERROR(__xludf.DUMMYFUNCTION("""COMPUTED_VALUE"""),1229.13)</f>
        <v>1229.13</v>
      </c>
      <c r="C4970" s="1">
        <f>IFERROR(__xludf.DUMMYFUNCTION("""COMPUTED_VALUE"""),1237.81)</f>
        <v>1237.81</v>
      </c>
      <c r="D4970" s="1">
        <f>IFERROR(__xludf.DUMMYFUNCTION("""COMPUTED_VALUE"""),1228.33)</f>
        <v>1228.33</v>
      </c>
      <c r="E4970" s="1">
        <f>IFERROR(__xludf.DUMMYFUNCTION("""COMPUTED_VALUE"""),1237.81)</f>
        <v>1237.81</v>
      </c>
      <c r="F4970" s="1">
        <f>IFERROR(__xludf.DUMMYFUNCTION("""COMPUTED_VALUE"""),1.94156E8)</f>
        <v>194156000</v>
      </c>
    </row>
    <row r="4971">
      <c r="A4971" s="2">
        <f>IFERROR(__xludf.DUMMYFUNCTION("""COMPUTED_VALUE"""),38576.666666666664)</f>
        <v>38576.66667</v>
      </c>
      <c r="B4971" s="1">
        <f>IFERROR(__xludf.DUMMYFUNCTION("""COMPUTED_VALUE"""),1237.81)</f>
        <v>1237.81</v>
      </c>
      <c r="C4971" s="1">
        <f>IFERROR(__xludf.DUMMYFUNCTION("""COMPUTED_VALUE"""),1237.81)</f>
        <v>1237.81</v>
      </c>
      <c r="D4971" s="1">
        <f>IFERROR(__xludf.DUMMYFUNCTION("""COMPUTED_VALUE"""),1225.87)</f>
        <v>1225.87</v>
      </c>
      <c r="E4971" s="1">
        <f>IFERROR(__xludf.DUMMYFUNCTION("""COMPUTED_VALUE"""),1230.39)</f>
        <v>1230.39</v>
      </c>
      <c r="F4971" s="1">
        <f>IFERROR(__xludf.DUMMYFUNCTION("""COMPUTED_VALUE"""),1.7093E8)</f>
        <v>170930000</v>
      </c>
    </row>
    <row r="4972">
      <c r="A4972" s="2">
        <f>IFERROR(__xludf.DUMMYFUNCTION("""COMPUTED_VALUE"""),38579.666666666664)</f>
        <v>38579.66667</v>
      </c>
      <c r="B4972" s="1">
        <f>IFERROR(__xludf.DUMMYFUNCTION("""COMPUTED_VALUE"""),1230.4)</f>
        <v>1230.4</v>
      </c>
      <c r="C4972" s="1">
        <f>IFERROR(__xludf.DUMMYFUNCTION("""COMPUTED_VALUE"""),1236.24)</f>
        <v>1236.24</v>
      </c>
      <c r="D4972" s="1">
        <f>IFERROR(__xludf.DUMMYFUNCTION("""COMPUTED_VALUE"""),1226.2)</f>
        <v>1226.2</v>
      </c>
      <c r="E4972" s="1">
        <f>IFERROR(__xludf.DUMMYFUNCTION("""COMPUTED_VALUE"""),1233.87)</f>
        <v>1233.87</v>
      </c>
      <c r="F4972" s="1">
        <f>IFERROR(__xludf.DUMMYFUNCTION("""COMPUTED_VALUE"""),1.56288E8)</f>
        <v>156288000</v>
      </c>
    </row>
    <row r="4973">
      <c r="A4973" s="2">
        <f>IFERROR(__xludf.DUMMYFUNCTION("""COMPUTED_VALUE"""),38580.666666666664)</f>
        <v>38580.66667</v>
      </c>
      <c r="B4973" s="1">
        <f>IFERROR(__xludf.DUMMYFUNCTION("""COMPUTED_VALUE"""),1233.87)</f>
        <v>1233.87</v>
      </c>
      <c r="C4973" s="1">
        <f>IFERROR(__xludf.DUMMYFUNCTION("""COMPUTED_VALUE"""),1233.87)</f>
        <v>1233.87</v>
      </c>
      <c r="D4973" s="1">
        <f>IFERROR(__xludf.DUMMYFUNCTION("""COMPUTED_VALUE"""),1219.05)</f>
        <v>1219.05</v>
      </c>
      <c r="E4973" s="1">
        <f>IFERROR(__xludf.DUMMYFUNCTION("""COMPUTED_VALUE"""),1219.34)</f>
        <v>1219.34</v>
      </c>
      <c r="F4973" s="1">
        <f>IFERROR(__xludf.DUMMYFUNCTION("""COMPUTED_VALUE"""),1.82040992E8)</f>
        <v>182040992</v>
      </c>
    </row>
    <row r="4974">
      <c r="A4974" s="2">
        <f>IFERROR(__xludf.DUMMYFUNCTION("""COMPUTED_VALUE"""),38581.666666666664)</f>
        <v>38581.66667</v>
      </c>
      <c r="B4974" s="1">
        <f>IFERROR(__xludf.DUMMYFUNCTION("""COMPUTED_VALUE"""),1219.34)</f>
        <v>1219.34</v>
      </c>
      <c r="C4974" s="1">
        <f>IFERROR(__xludf.DUMMYFUNCTION("""COMPUTED_VALUE"""),1225.63)</f>
        <v>1225.63</v>
      </c>
      <c r="D4974" s="1">
        <f>IFERROR(__xludf.DUMMYFUNCTION("""COMPUTED_VALUE"""),1218.28)</f>
        <v>1218.28</v>
      </c>
      <c r="E4974" s="1">
        <f>IFERROR(__xludf.DUMMYFUNCTION("""COMPUTED_VALUE"""),1220.24)</f>
        <v>1220.24</v>
      </c>
      <c r="F4974" s="1">
        <f>IFERROR(__xludf.DUMMYFUNCTION("""COMPUTED_VALUE"""),1.85915008E8)</f>
        <v>185915008</v>
      </c>
    </row>
    <row r="4975">
      <c r="A4975" s="2">
        <f>IFERROR(__xludf.DUMMYFUNCTION("""COMPUTED_VALUE"""),38582.666666666664)</f>
        <v>38582.66667</v>
      </c>
      <c r="B4975" s="1">
        <f>IFERROR(__xludf.DUMMYFUNCTION("""COMPUTED_VALUE"""),1220.24)</f>
        <v>1220.24</v>
      </c>
      <c r="C4975" s="1">
        <f>IFERROR(__xludf.DUMMYFUNCTION("""COMPUTED_VALUE"""),1222.64)</f>
        <v>1222.64</v>
      </c>
      <c r="D4975" s="1">
        <f>IFERROR(__xludf.DUMMYFUNCTION("""COMPUTED_VALUE"""),1215.93)</f>
        <v>1215.93</v>
      </c>
      <c r="E4975" s="1">
        <f>IFERROR(__xludf.DUMMYFUNCTION("""COMPUTED_VALUE"""),1219.02)</f>
        <v>1219.02</v>
      </c>
      <c r="F4975" s="1">
        <f>IFERROR(__xludf.DUMMYFUNCTION("""COMPUTED_VALUE"""),1.80816992E8)</f>
        <v>180816992</v>
      </c>
    </row>
    <row r="4976">
      <c r="A4976" s="2">
        <f>IFERROR(__xludf.DUMMYFUNCTION("""COMPUTED_VALUE"""),38583.666666666664)</f>
        <v>38583.66667</v>
      </c>
      <c r="B4976" s="1">
        <f>IFERROR(__xludf.DUMMYFUNCTION("""COMPUTED_VALUE"""),1219.02)</f>
        <v>1219.02</v>
      </c>
      <c r="C4976" s="1">
        <f>IFERROR(__xludf.DUMMYFUNCTION("""COMPUTED_VALUE"""),1225.08)</f>
        <v>1225.08</v>
      </c>
      <c r="D4976" s="1">
        <f>IFERROR(__xludf.DUMMYFUNCTION("""COMPUTED_VALUE"""),1219.02)</f>
        <v>1219.02</v>
      </c>
      <c r="E4976" s="1">
        <f>IFERROR(__xludf.DUMMYFUNCTION("""COMPUTED_VALUE"""),1219.71)</f>
        <v>1219.71</v>
      </c>
      <c r="F4976" s="1">
        <f>IFERROR(__xludf.DUMMYFUNCTION("""COMPUTED_VALUE"""),1.55879008E8)</f>
        <v>155879008</v>
      </c>
    </row>
    <row r="4977">
      <c r="A4977" s="2">
        <f>IFERROR(__xludf.DUMMYFUNCTION("""COMPUTED_VALUE"""),38586.666666666664)</f>
        <v>38586.66667</v>
      </c>
      <c r="B4977" s="1">
        <f>IFERROR(__xludf.DUMMYFUNCTION("""COMPUTED_VALUE"""),1219.71)</f>
        <v>1219.71</v>
      </c>
      <c r="C4977" s="1">
        <f>IFERROR(__xludf.DUMMYFUNCTION("""COMPUTED_VALUE"""),1228.96)</f>
        <v>1228.96</v>
      </c>
      <c r="D4977" s="1">
        <f>IFERROR(__xludf.DUMMYFUNCTION("""COMPUTED_VALUE"""),1216.47)</f>
        <v>1216.47</v>
      </c>
      <c r="E4977" s="1">
        <f>IFERROR(__xludf.DUMMYFUNCTION("""COMPUTED_VALUE"""),1221.73)</f>
        <v>1221.73</v>
      </c>
      <c r="F4977" s="1">
        <f>IFERROR(__xludf.DUMMYFUNCTION("""COMPUTED_VALUE"""),1.62132992E8)</f>
        <v>162132992</v>
      </c>
    </row>
    <row r="4978">
      <c r="A4978" s="2">
        <f>IFERROR(__xludf.DUMMYFUNCTION("""COMPUTED_VALUE"""),38587.666666666664)</f>
        <v>38587.66667</v>
      </c>
      <c r="B4978" s="1">
        <f>IFERROR(__xludf.DUMMYFUNCTION("""COMPUTED_VALUE"""),1221.73)</f>
        <v>1221.73</v>
      </c>
      <c r="C4978" s="1">
        <f>IFERROR(__xludf.DUMMYFUNCTION("""COMPUTED_VALUE"""),1223.04)</f>
        <v>1223.04</v>
      </c>
      <c r="D4978" s="1">
        <f>IFERROR(__xludf.DUMMYFUNCTION("""COMPUTED_VALUE"""),1214.44)</f>
        <v>1214.44</v>
      </c>
      <c r="E4978" s="1">
        <f>IFERROR(__xludf.DUMMYFUNCTION("""COMPUTED_VALUE"""),1217.59)</f>
        <v>1217.59</v>
      </c>
      <c r="F4978" s="1">
        <f>IFERROR(__xludf.DUMMYFUNCTION("""COMPUTED_VALUE"""),1.67862E8)</f>
        <v>167862000</v>
      </c>
    </row>
    <row r="4979">
      <c r="A4979" s="2">
        <f>IFERROR(__xludf.DUMMYFUNCTION("""COMPUTED_VALUE"""),38588.666666666664)</f>
        <v>38588.66667</v>
      </c>
      <c r="B4979" s="1">
        <f>IFERROR(__xludf.DUMMYFUNCTION("""COMPUTED_VALUE"""),1217.57)</f>
        <v>1217.57</v>
      </c>
      <c r="C4979" s="1">
        <f>IFERROR(__xludf.DUMMYFUNCTION("""COMPUTED_VALUE"""),1224.15)</f>
        <v>1224.15</v>
      </c>
      <c r="D4979" s="1">
        <f>IFERROR(__xludf.DUMMYFUNCTION("""COMPUTED_VALUE"""),1209.37)</f>
        <v>1209.37</v>
      </c>
      <c r="E4979" s="1">
        <f>IFERROR(__xludf.DUMMYFUNCTION("""COMPUTED_VALUE"""),1209.59)</f>
        <v>1209.59</v>
      </c>
      <c r="F4979" s="1">
        <f>IFERROR(__xludf.DUMMYFUNCTION("""COMPUTED_VALUE"""),1.9308E8)</f>
        <v>193080000</v>
      </c>
    </row>
    <row r="4980">
      <c r="A4980" s="2">
        <f>IFERROR(__xludf.DUMMYFUNCTION("""COMPUTED_VALUE"""),38589.666666666664)</f>
        <v>38589.66667</v>
      </c>
      <c r="B4980" s="1">
        <f>IFERROR(__xludf.DUMMYFUNCTION("""COMPUTED_VALUE"""),1209.59)</f>
        <v>1209.59</v>
      </c>
      <c r="C4980" s="1">
        <f>IFERROR(__xludf.DUMMYFUNCTION("""COMPUTED_VALUE"""),1213.73)</f>
        <v>1213.73</v>
      </c>
      <c r="D4980" s="1">
        <f>IFERROR(__xludf.DUMMYFUNCTION("""COMPUTED_VALUE"""),1209.57)</f>
        <v>1209.57</v>
      </c>
      <c r="E4980" s="1">
        <f>IFERROR(__xludf.DUMMYFUNCTION("""COMPUTED_VALUE"""),1212.37)</f>
        <v>1212.37</v>
      </c>
      <c r="F4980" s="1">
        <f>IFERROR(__xludf.DUMMYFUNCTION("""COMPUTED_VALUE"""),1.57111008E8)</f>
        <v>157111008</v>
      </c>
    </row>
    <row r="4981">
      <c r="A4981" s="2">
        <f>IFERROR(__xludf.DUMMYFUNCTION("""COMPUTED_VALUE"""),38590.666666666664)</f>
        <v>38590.66667</v>
      </c>
      <c r="B4981" s="1">
        <f>IFERROR(__xludf.DUMMYFUNCTION("""COMPUTED_VALUE"""),1212.4)</f>
        <v>1212.4</v>
      </c>
      <c r="C4981" s="1">
        <f>IFERROR(__xludf.DUMMYFUNCTION("""COMPUTED_VALUE"""),1212.4)</f>
        <v>1212.4</v>
      </c>
      <c r="D4981" s="1">
        <f>IFERROR(__xludf.DUMMYFUNCTION("""COMPUTED_VALUE"""),1204.23)</f>
        <v>1204.23</v>
      </c>
      <c r="E4981" s="1">
        <f>IFERROR(__xludf.DUMMYFUNCTION("""COMPUTED_VALUE"""),1205.1)</f>
        <v>1205.1</v>
      </c>
      <c r="F4981" s="1">
        <f>IFERROR(__xludf.DUMMYFUNCTION("""COMPUTED_VALUE"""),1.54108992E8)</f>
        <v>154108992</v>
      </c>
    </row>
    <row r="4982">
      <c r="A4982" s="2">
        <f>IFERROR(__xludf.DUMMYFUNCTION("""COMPUTED_VALUE"""),38593.666666666664)</f>
        <v>38593.66667</v>
      </c>
      <c r="B4982" s="1">
        <f>IFERROR(__xludf.DUMMYFUNCTION("""COMPUTED_VALUE"""),1205.1)</f>
        <v>1205.1</v>
      </c>
      <c r="C4982" s="1">
        <f>IFERROR(__xludf.DUMMYFUNCTION("""COMPUTED_VALUE"""),1214.28)</f>
        <v>1214.28</v>
      </c>
      <c r="D4982" s="1">
        <f>IFERROR(__xludf.DUMMYFUNCTION("""COMPUTED_VALUE"""),1201.53)</f>
        <v>1201.53</v>
      </c>
      <c r="E4982" s="1">
        <f>IFERROR(__xludf.DUMMYFUNCTION("""COMPUTED_VALUE"""),1212.28)</f>
        <v>1212.28</v>
      </c>
      <c r="F4982" s="1">
        <f>IFERROR(__xludf.DUMMYFUNCTION("""COMPUTED_VALUE"""),1.59944992E8)</f>
        <v>159944992</v>
      </c>
    </row>
    <row r="4983">
      <c r="A4983" s="2">
        <f>IFERROR(__xludf.DUMMYFUNCTION("""COMPUTED_VALUE"""),38594.666666666664)</f>
        <v>38594.66667</v>
      </c>
      <c r="B4983" s="1">
        <f>IFERROR(__xludf.DUMMYFUNCTION("""COMPUTED_VALUE"""),1212.28)</f>
        <v>1212.28</v>
      </c>
      <c r="C4983" s="1">
        <f>IFERROR(__xludf.DUMMYFUNCTION("""COMPUTED_VALUE"""),1212.28)</f>
        <v>1212.28</v>
      </c>
      <c r="D4983" s="1">
        <f>IFERROR(__xludf.DUMMYFUNCTION("""COMPUTED_VALUE"""),1201.07)</f>
        <v>1201.07</v>
      </c>
      <c r="E4983" s="1">
        <f>IFERROR(__xludf.DUMMYFUNCTION("""COMPUTED_VALUE"""),1208.41)</f>
        <v>1208.41</v>
      </c>
      <c r="F4983" s="1">
        <f>IFERROR(__xludf.DUMMYFUNCTION("""COMPUTED_VALUE"""),1.91647008E8)</f>
        <v>191647008</v>
      </c>
    </row>
    <row r="4984">
      <c r="A4984" s="2">
        <f>IFERROR(__xludf.DUMMYFUNCTION("""COMPUTED_VALUE"""),38595.666666666664)</f>
        <v>38595.66667</v>
      </c>
      <c r="B4984" s="1">
        <f>IFERROR(__xludf.DUMMYFUNCTION("""COMPUTED_VALUE"""),1208.41)</f>
        <v>1208.41</v>
      </c>
      <c r="C4984" s="1">
        <f>IFERROR(__xludf.DUMMYFUNCTION("""COMPUTED_VALUE"""),1220.36)</f>
        <v>1220.36</v>
      </c>
      <c r="D4984" s="1">
        <f>IFERROR(__xludf.DUMMYFUNCTION("""COMPUTED_VALUE"""),1204.4)</f>
        <v>1204.4</v>
      </c>
      <c r="E4984" s="1">
        <f>IFERROR(__xludf.DUMMYFUNCTION("""COMPUTED_VALUE"""),1220.33)</f>
        <v>1220.33</v>
      </c>
      <c r="F4984" s="1">
        <f>IFERROR(__xludf.DUMMYFUNCTION("""COMPUTED_VALUE"""),2.36551008E8)</f>
        <v>236551008</v>
      </c>
    </row>
    <row r="4985">
      <c r="A4985" s="2">
        <f>IFERROR(__xludf.DUMMYFUNCTION("""COMPUTED_VALUE"""),38596.666666666664)</f>
        <v>38596.66667</v>
      </c>
      <c r="B4985" s="1">
        <f>IFERROR(__xludf.DUMMYFUNCTION("""COMPUTED_VALUE"""),1220.33)</f>
        <v>1220.33</v>
      </c>
      <c r="C4985" s="1">
        <f>IFERROR(__xludf.DUMMYFUNCTION("""COMPUTED_VALUE"""),1227.16)</f>
        <v>1227.16</v>
      </c>
      <c r="D4985" s="1">
        <f>IFERROR(__xludf.DUMMYFUNCTION("""COMPUTED_VALUE"""),1216.18)</f>
        <v>1216.18</v>
      </c>
      <c r="E4985" s="1">
        <f>IFERROR(__xludf.DUMMYFUNCTION("""COMPUTED_VALUE"""),1221.59)</f>
        <v>1221.59</v>
      </c>
      <c r="F4985" s="1">
        <f>IFERROR(__xludf.DUMMYFUNCTION("""COMPUTED_VALUE"""),2.22986E8)</f>
        <v>222986000</v>
      </c>
    </row>
    <row r="4986">
      <c r="A4986" s="2">
        <f>IFERROR(__xludf.DUMMYFUNCTION("""COMPUTED_VALUE"""),38597.666666666664)</f>
        <v>38597.66667</v>
      </c>
      <c r="B4986" s="1">
        <f>IFERROR(__xludf.DUMMYFUNCTION("""COMPUTED_VALUE"""),1221.59)</f>
        <v>1221.59</v>
      </c>
      <c r="C4986" s="1">
        <f>IFERROR(__xludf.DUMMYFUNCTION("""COMPUTED_VALUE"""),1224.45)</f>
        <v>1224.45</v>
      </c>
      <c r="D4986" s="1">
        <f>IFERROR(__xludf.DUMMYFUNCTION("""COMPUTED_VALUE"""),1217.75)</f>
        <v>1217.75</v>
      </c>
      <c r="E4986" s="1">
        <f>IFERROR(__xludf.DUMMYFUNCTION("""COMPUTED_VALUE"""),1218.02)</f>
        <v>1218.02</v>
      </c>
      <c r="F4986" s="1">
        <f>IFERROR(__xludf.DUMMYFUNCTION("""COMPUTED_VALUE"""),1.64016E8)</f>
        <v>164016000</v>
      </c>
    </row>
    <row r="4987">
      <c r="A4987" s="2">
        <f>IFERROR(__xludf.DUMMYFUNCTION("""COMPUTED_VALUE"""),38601.666666666664)</f>
        <v>38601.66667</v>
      </c>
      <c r="B4987" s="1">
        <f>IFERROR(__xludf.DUMMYFUNCTION("""COMPUTED_VALUE"""),1218.02)</f>
        <v>1218.02</v>
      </c>
      <c r="C4987" s="1">
        <f>IFERROR(__xludf.DUMMYFUNCTION("""COMPUTED_VALUE"""),1233.57)</f>
        <v>1233.57</v>
      </c>
      <c r="D4987" s="1">
        <f>IFERROR(__xludf.DUMMYFUNCTION("""COMPUTED_VALUE"""),1218.02)</f>
        <v>1218.02</v>
      </c>
      <c r="E4987" s="1">
        <f>IFERROR(__xludf.DUMMYFUNCTION("""COMPUTED_VALUE"""),1233.39)</f>
        <v>1233.39</v>
      </c>
      <c r="F4987" s="1">
        <f>IFERROR(__xludf.DUMMYFUNCTION("""COMPUTED_VALUE"""),1.93208992E8)</f>
        <v>193208992</v>
      </c>
    </row>
    <row r="4988">
      <c r="A4988" s="2">
        <f>IFERROR(__xludf.DUMMYFUNCTION("""COMPUTED_VALUE"""),38602.666666666664)</f>
        <v>38602.66667</v>
      </c>
      <c r="B4988" s="1">
        <f>IFERROR(__xludf.DUMMYFUNCTION("""COMPUTED_VALUE"""),1233.39)</f>
        <v>1233.39</v>
      </c>
      <c r="C4988" s="1">
        <f>IFERROR(__xludf.DUMMYFUNCTION("""COMPUTED_VALUE"""),1237.06)</f>
        <v>1237.06</v>
      </c>
      <c r="D4988" s="1">
        <f>IFERROR(__xludf.DUMMYFUNCTION("""COMPUTED_VALUE"""),1230.93)</f>
        <v>1230.93</v>
      </c>
      <c r="E4988" s="1">
        <f>IFERROR(__xludf.DUMMYFUNCTION("""COMPUTED_VALUE"""),1236.36)</f>
        <v>1236.36</v>
      </c>
      <c r="F4988" s="1">
        <f>IFERROR(__xludf.DUMMYFUNCTION("""COMPUTED_VALUE"""),2.0677E8)</f>
        <v>206770000</v>
      </c>
    </row>
    <row r="4989">
      <c r="A4989" s="2">
        <f>IFERROR(__xludf.DUMMYFUNCTION("""COMPUTED_VALUE"""),38603.666666666664)</f>
        <v>38603.66667</v>
      </c>
      <c r="B4989" s="1">
        <f>IFERROR(__xludf.DUMMYFUNCTION("""COMPUTED_VALUE"""),1236.36)</f>
        <v>1236.36</v>
      </c>
      <c r="C4989" s="1">
        <f>IFERROR(__xludf.DUMMYFUNCTION("""COMPUTED_VALUE"""),1236.36)</f>
        <v>1236.36</v>
      </c>
      <c r="D4989" s="1">
        <f>IFERROR(__xludf.DUMMYFUNCTION("""COMPUTED_VALUE"""),1229.51)</f>
        <v>1229.51</v>
      </c>
      <c r="E4989" s="1">
        <f>IFERROR(__xludf.DUMMYFUNCTION("""COMPUTED_VALUE"""),1231.67)</f>
        <v>1231.67</v>
      </c>
      <c r="F4989" s="1">
        <f>IFERROR(__xludf.DUMMYFUNCTION("""COMPUTED_VALUE"""),1.95538E8)</f>
        <v>195538000</v>
      </c>
    </row>
    <row r="4990">
      <c r="A4990" s="2">
        <f>IFERROR(__xludf.DUMMYFUNCTION("""COMPUTED_VALUE"""),38604.666666666664)</f>
        <v>38604.66667</v>
      </c>
      <c r="B4990" s="1">
        <f>IFERROR(__xludf.DUMMYFUNCTION("""COMPUTED_VALUE"""),1231.67)</f>
        <v>1231.67</v>
      </c>
      <c r="C4990" s="1">
        <f>IFERROR(__xludf.DUMMYFUNCTION("""COMPUTED_VALUE"""),1243.13)</f>
        <v>1243.13</v>
      </c>
      <c r="D4990" s="1">
        <f>IFERROR(__xludf.DUMMYFUNCTION("""COMPUTED_VALUE"""),1231.67)</f>
        <v>1231.67</v>
      </c>
      <c r="E4990" s="1">
        <f>IFERROR(__xludf.DUMMYFUNCTION("""COMPUTED_VALUE"""),1241.48)</f>
        <v>1241.48</v>
      </c>
      <c r="F4990" s="1">
        <f>IFERROR(__xludf.DUMMYFUNCTION("""COMPUTED_VALUE"""),1.99256E8)</f>
        <v>199256000</v>
      </c>
    </row>
    <row r="4991">
      <c r="A4991" s="2">
        <f>IFERROR(__xludf.DUMMYFUNCTION("""COMPUTED_VALUE"""),38607.666666666664)</f>
        <v>38607.66667</v>
      </c>
      <c r="B4991" s="1">
        <f>IFERROR(__xludf.DUMMYFUNCTION("""COMPUTED_VALUE"""),1241.48)</f>
        <v>1241.48</v>
      </c>
      <c r="C4991" s="1">
        <f>IFERROR(__xludf.DUMMYFUNCTION("""COMPUTED_VALUE"""),1242.5)</f>
        <v>1242.5</v>
      </c>
      <c r="D4991" s="1">
        <f>IFERROR(__xludf.DUMMYFUNCTION("""COMPUTED_VALUE"""),1239.15)</f>
        <v>1239.15</v>
      </c>
      <c r="E4991" s="1">
        <f>IFERROR(__xludf.DUMMYFUNCTION("""COMPUTED_VALUE"""),1240.56)</f>
        <v>1240.56</v>
      </c>
      <c r="F4991" s="1">
        <f>IFERROR(__xludf.DUMMYFUNCTION("""COMPUTED_VALUE"""),1.93804992E8)</f>
        <v>193804992</v>
      </c>
    </row>
    <row r="4992">
      <c r="A4992" s="2">
        <f>IFERROR(__xludf.DUMMYFUNCTION("""COMPUTED_VALUE"""),38608.666666666664)</f>
        <v>38608.66667</v>
      </c>
      <c r="B4992" s="1">
        <f>IFERROR(__xludf.DUMMYFUNCTION("""COMPUTED_VALUE"""),1240.57)</f>
        <v>1240.57</v>
      </c>
      <c r="C4992" s="1">
        <f>IFERROR(__xludf.DUMMYFUNCTION("""COMPUTED_VALUE"""),1240.57)</f>
        <v>1240.57</v>
      </c>
      <c r="D4992" s="1">
        <f>IFERROR(__xludf.DUMMYFUNCTION("""COMPUTED_VALUE"""),1231.2)</f>
        <v>1231.2</v>
      </c>
      <c r="E4992" s="1">
        <f>IFERROR(__xludf.DUMMYFUNCTION("""COMPUTED_VALUE"""),1231.2)</f>
        <v>1231.2</v>
      </c>
      <c r="F4992" s="1">
        <f>IFERROR(__xludf.DUMMYFUNCTION("""COMPUTED_VALUE"""),2.08236E8)</f>
        <v>208236000</v>
      </c>
    </row>
    <row r="4993">
      <c r="A4993" s="2">
        <f>IFERROR(__xludf.DUMMYFUNCTION("""COMPUTED_VALUE"""),38609.666666666664)</f>
        <v>38609.66667</v>
      </c>
      <c r="B4993" s="1">
        <f>IFERROR(__xludf.DUMMYFUNCTION("""COMPUTED_VALUE"""),1231.2)</f>
        <v>1231.2</v>
      </c>
      <c r="C4993" s="1">
        <f>IFERROR(__xludf.DUMMYFUNCTION("""COMPUTED_VALUE"""),1234.74)</f>
        <v>1234.74</v>
      </c>
      <c r="D4993" s="1">
        <f>IFERROR(__xludf.DUMMYFUNCTION("""COMPUTED_VALUE"""),1226.16)</f>
        <v>1226.16</v>
      </c>
      <c r="E4993" s="1">
        <f>IFERROR(__xludf.DUMMYFUNCTION("""COMPUTED_VALUE"""),1227.16)</f>
        <v>1227.16</v>
      </c>
      <c r="F4993" s="1">
        <f>IFERROR(__xludf.DUMMYFUNCTION("""COMPUTED_VALUE"""),1.98675008E8)</f>
        <v>198675008</v>
      </c>
    </row>
    <row r="4994">
      <c r="A4994" s="2">
        <f>IFERROR(__xludf.DUMMYFUNCTION("""COMPUTED_VALUE"""),38610.666666666664)</f>
        <v>38610.66667</v>
      </c>
      <c r="B4994" s="1">
        <f>IFERROR(__xludf.DUMMYFUNCTION("""COMPUTED_VALUE"""),1227.16)</f>
        <v>1227.16</v>
      </c>
      <c r="C4994" s="1">
        <f>IFERROR(__xludf.DUMMYFUNCTION("""COMPUTED_VALUE"""),1231.88)</f>
        <v>1231.88</v>
      </c>
      <c r="D4994" s="1">
        <f>IFERROR(__xludf.DUMMYFUNCTION("""COMPUTED_VALUE"""),1224.85)</f>
        <v>1224.85</v>
      </c>
      <c r="E4994" s="1">
        <f>IFERROR(__xludf.DUMMYFUNCTION("""COMPUTED_VALUE"""),1227.73)</f>
        <v>1227.73</v>
      </c>
      <c r="F4994" s="1">
        <f>IFERROR(__xludf.DUMMYFUNCTION("""COMPUTED_VALUE"""),2.07934E8)</f>
        <v>207934000</v>
      </c>
    </row>
    <row r="4995">
      <c r="A4995" s="2">
        <f>IFERROR(__xludf.DUMMYFUNCTION("""COMPUTED_VALUE"""),38611.666666666664)</f>
        <v>38611.66667</v>
      </c>
      <c r="B4995" s="1">
        <f>IFERROR(__xludf.DUMMYFUNCTION("""COMPUTED_VALUE"""),1228.42)</f>
        <v>1228.42</v>
      </c>
      <c r="C4995" s="1">
        <f>IFERROR(__xludf.DUMMYFUNCTION("""COMPUTED_VALUE"""),1237.95)</f>
        <v>1237.95</v>
      </c>
      <c r="D4995" s="1">
        <f>IFERROR(__xludf.DUMMYFUNCTION("""COMPUTED_VALUE"""),1228.42)</f>
        <v>1228.42</v>
      </c>
      <c r="E4995" s="1">
        <f>IFERROR(__xludf.DUMMYFUNCTION("""COMPUTED_VALUE"""),1237.91)</f>
        <v>1237.91</v>
      </c>
      <c r="F4995" s="1">
        <f>IFERROR(__xludf.DUMMYFUNCTION("""COMPUTED_VALUE"""),3.15247008E8)</f>
        <v>315247008</v>
      </c>
    </row>
    <row r="4996">
      <c r="A4996" s="2">
        <f>IFERROR(__xludf.DUMMYFUNCTION("""COMPUTED_VALUE"""),38614.666666666664)</f>
        <v>38614.66667</v>
      </c>
      <c r="B4996" s="1">
        <f>IFERROR(__xludf.DUMMYFUNCTION("""COMPUTED_VALUE"""),1237.91)</f>
        <v>1237.91</v>
      </c>
      <c r="C4996" s="1">
        <f>IFERROR(__xludf.DUMMYFUNCTION("""COMPUTED_VALUE"""),1237.91)</f>
        <v>1237.91</v>
      </c>
      <c r="D4996" s="1">
        <f>IFERROR(__xludf.DUMMYFUNCTION("""COMPUTED_VALUE"""),1227.65)</f>
        <v>1227.65</v>
      </c>
      <c r="E4996" s="1">
        <f>IFERROR(__xludf.DUMMYFUNCTION("""COMPUTED_VALUE"""),1231.02)</f>
        <v>1231.02</v>
      </c>
      <c r="F4996" s="1">
        <f>IFERROR(__xludf.DUMMYFUNCTION("""COMPUTED_VALUE"""),2.07654E8)</f>
        <v>207654000</v>
      </c>
    </row>
    <row r="4997">
      <c r="A4997" s="2">
        <f>IFERROR(__xludf.DUMMYFUNCTION("""COMPUTED_VALUE"""),38615.666666666664)</f>
        <v>38615.66667</v>
      </c>
      <c r="B4997" s="1">
        <f>IFERROR(__xludf.DUMMYFUNCTION("""COMPUTED_VALUE"""),1231.02)</f>
        <v>1231.02</v>
      </c>
      <c r="C4997" s="1">
        <f>IFERROR(__xludf.DUMMYFUNCTION("""COMPUTED_VALUE"""),1236.49)</f>
        <v>1236.49</v>
      </c>
      <c r="D4997" s="1">
        <f>IFERROR(__xludf.DUMMYFUNCTION("""COMPUTED_VALUE"""),1220.07)</f>
        <v>1220.07</v>
      </c>
      <c r="E4997" s="1">
        <f>IFERROR(__xludf.DUMMYFUNCTION("""COMPUTED_VALUE"""),1221.34)</f>
        <v>1221.34</v>
      </c>
      <c r="F4997" s="1">
        <f>IFERROR(__xludf.DUMMYFUNCTION("""COMPUTED_VALUE"""),2.31924992E8)</f>
        <v>231924992</v>
      </c>
    </row>
    <row r="4998">
      <c r="A4998" s="2">
        <f>IFERROR(__xludf.DUMMYFUNCTION("""COMPUTED_VALUE"""),38616.666666666664)</f>
        <v>38616.66667</v>
      </c>
      <c r="B4998" s="1">
        <f>IFERROR(__xludf.DUMMYFUNCTION("""COMPUTED_VALUE"""),1221.34)</f>
        <v>1221.34</v>
      </c>
      <c r="C4998" s="1">
        <f>IFERROR(__xludf.DUMMYFUNCTION("""COMPUTED_VALUE"""),1221.52)</f>
        <v>1221.52</v>
      </c>
      <c r="D4998" s="1">
        <f>IFERROR(__xludf.DUMMYFUNCTION("""COMPUTED_VALUE"""),1209.89)</f>
        <v>1209.89</v>
      </c>
      <c r="E4998" s="1">
        <f>IFERROR(__xludf.DUMMYFUNCTION("""COMPUTED_VALUE"""),1210.2)</f>
        <v>1210.2</v>
      </c>
      <c r="F4998" s="1">
        <f>IFERROR(__xludf.DUMMYFUNCTION("""COMPUTED_VALUE"""),2.54815008E8)</f>
        <v>254815008</v>
      </c>
    </row>
    <row r="4999">
      <c r="A4999" s="2">
        <f>IFERROR(__xludf.DUMMYFUNCTION("""COMPUTED_VALUE"""),38617.666666666664)</f>
        <v>38617.66667</v>
      </c>
      <c r="B4999" s="1">
        <f>IFERROR(__xludf.DUMMYFUNCTION("""COMPUTED_VALUE"""),1210.2)</f>
        <v>1210.2</v>
      </c>
      <c r="C4999" s="1">
        <f>IFERROR(__xludf.DUMMYFUNCTION("""COMPUTED_VALUE"""),1216.64)</f>
        <v>1216.64</v>
      </c>
      <c r="D4999" s="1">
        <f>IFERROR(__xludf.DUMMYFUNCTION("""COMPUTED_VALUE"""),1205.35)</f>
        <v>1205.35</v>
      </c>
      <c r="E4999" s="1">
        <f>IFERROR(__xludf.DUMMYFUNCTION("""COMPUTED_VALUE"""),1214.62)</f>
        <v>1214.62</v>
      </c>
      <c r="F4999" s="1">
        <f>IFERROR(__xludf.DUMMYFUNCTION("""COMPUTED_VALUE"""),2.42472E8)</f>
        <v>242472000</v>
      </c>
    </row>
    <row r="5000">
      <c r="A5000" s="2">
        <f>IFERROR(__xludf.DUMMYFUNCTION("""COMPUTED_VALUE"""),38618.666666666664)</f>
        <v>38618.66667</v>
      </c>
      <c r="B5000" s="1">
        <f>IFERROR(__xludf.DUMMYFUNCTION("""COMPUTED_VALUE"""),1214.62)</f>
        <v>1214.62</v>
      </c>
      <c r="C5000" s="1">
        <f>IFERROR(__xludf.DUMMYFUNCTION("""COMPUTED_VALUE"""),1218.83)</f>
        <v>1218.83</v>
      </c>
      <c r="D5000" s="1">
        <f>IFERROR(__xludf.DUMMYFUNCTION("""COMPUTED_VALUE"""),1209.8)</f>
        <v>1209.8</v>
      </c>
      <c r="E5000" s="1">
        <f>IFERROR(__xludf.DUMMYFUNCTION("""COMPUTED_VALUE"""),1215.29)</f>
        <v>1215.29</v>
      </c>
      <c r="F5000" s="1">
        <f>IFERROR(__xludf.DUMMYFUNCTION("""COMPUTED_VALUE"""),1.97302E8)</f>
        <v>197302000</v>
      </c>
    </row>
    <row r="5001">
      <c r="A5001" s="2">
        <f>IFERROR(__xludf.DUMMYFUNCTION("""COMPUTED_VALUE"""),38621.666666666664)</f>
        <v>38621.66667</v>
      </c>
      <c r="B5001" s="1">
        <f>IFERROR(__xludf.DUMMYFUNCTION("""COMPUTED_VALUE"""),1215.29)</f>
        <v>1215.29</v>
      </c>
      <c r="C5001" s="1">
        <f>IFERROR(__xludf.DUMMYFUNCTION("""COMPUTED_VALUE"""),1222.56)</f>
        <v>1222.56</v>
      </c>
      <c r="D5001" s="1">
        <f>IFERROR(__xludf.DUMMYFUNCTION("""COMPUTED_VALUE"""),1211.84)</f>
        <v>1211.84</v>
      </c>
      <c r="E5001" s="1">
        <f>IFERROR(__xludf.DUMMYFUNCTION("""COMPUTED_VALUE"""),1215.63)</f>
        <v>1215.63</v>
      </c>
      <c r="F5001" s="1">
        <f>IFERROR(__xludf.DUMMYFUNCTION("""COMPUTED_VALUE"""),2.02222E8)</f>
        <v>202222000</v>
      </c>
    </row>
    <row r="5002">
      <c r="A5002" s="2">
        <f>IFERROR(__xludf.DUMMYFUNCTION("""COMPUTED_VALUE"""),38622.666666666664)</f>
        <v>38622.66667</v>
      </c>
      <c r="B5002" s="1">
        <f>IFERROR(__xludf.DUMMYFUNCTION("""COMPUTED_VALUE"""),1215.63)</f>
        <v>1215.63</v>
      </c>
      <c r="C5002" s="1">
        <f>IFERROR(__xludf.DUMMYFUNCTION("""COMPUTED_VALUE"""),1220.17)</f>
        <v>1220.17</v>
      </c>
      <c r="D5002" s="1">
        <f>IFERROR(__xludf.DUMMYFUNCTION("""COMPUTED_VALUE"""),1211.11)</f>
        <v>1211.11</v>
      </c>
      <c r="E5002" s="1">
        <f>IFERROR(__xludf.DUMMYFUNCTION("""COMPUTED_VALUE"""),1215.66)</f>
        <v>1215.66</v>
      </c>
      <c r="F5002" s="1">
        <f>IFERROR(__xludf.DUMMYFUNCTION("""COMPUTED_VALUE"""),1.97627008E8)</f>
        <v>197627008</v>
      </c>
    </row>
    <row r="5003">
      <c r="A5003" s="2">
        <f>IFERROR(__xludf.DUMMYFUNCTION("""COMPUTED_VALUE"""),38623.666666666664)</f>
        <v>38623.66667</v>
      </c>
      <c r="B5003" s="1">
        <f>IFERROR(__xludf.DUMMYFUNCTION("""COMPUTED_VALUE"""),1215.66)</f>
        <v>1215.66</v>
      </c>
      <c r="C5003" s="1">
        <f>IFERROR(__xludf.DUMMYFUNCTION("""COMPUTED_VALUE"""),1220.98)</f>
        <v>1220.98</v>
      </c>
      <c r="D5003" s="1">
        <f>IFERROR(__xludf.DUMMYFUNCTION("""COMPUTED_VALUE"""),1212.72)</f>
        <v>1212.72</v>
      </c>
      <c r="E5003" s="1">
        <f>IFERROR(__xludf.DUMMYFUNCTION("""COMPUTED_VALUE"""),1216.89)</f>
        <v>1216.89</v>
      </c>
      <c r="F5003" s="1">
        <f>IFERROR(__xludf.DUMMYFUNCTION("""COMPUTED_VALUE"""),2.10698E8)</f>
        <v>210698000</v>
      </c>
    </row>
    <row r="5004">
      <c r="A5004" s="2">
        <f>IFERROR(__xludf.DUMMYFUNCTION("""COMPUTED_VALUE"""),38624.666666666664)</f>
        <v>38624.66667</v>
      </c>
      <c r="B5004" s="1">
        <f>IFERROR(__xludf.DUMMYFUNCTION("""COMPUTED_VALUE"""),1216.89)</f>
        <v>1216.89</v>
      </c>
      <c r="C5004" s="1">
        <f>IFERROR(__xludf.DUMMYFUNCTION("""COMPUTED_VALUE"""),1228.7)</f>
        <v>1228.7</v>
      </c>
      <c r="D5004" s="1">
        <f>IFERROR(__xludf.DUMMYFUNCTION("""COMPUTED_VALUE"""),1211.54)</f>
        <v>1211.54</v>
      </c>
      <c r="E5004" s="1">
        <f>IFERROR(__xludf.DUMMYFUNCTION("""COMPUTED_VALUE"""),1227.68)</f>
        <v>1227.68</v>
      </c>
      <c r="F5004" s="1">
        <f>IFERROR(__xludf.DUMMYFUNCTION("""COMPUTED_VALUE"""),2.17612E8)</f>
        <v>217612000</v>
      </c>
    </row>
    <row r="5005">
      <c r="A5005" s="2">
        <f>IFERROR(__xludf.DUMMYFUNCTION("""COMPUTED_VALUE"""),38625.666666666664)</f>
        <v>38625.66667</v>
      </c>
      <c r="B5005" s="1">
        <f>IFERROR(__xludf.DUMMYFUNCTION("""COMPUTED_VALUE"""),1227.68)</f>
        <v>1227.68</v>
      </c>
      <c r="C5005" s="1">
        <f>IFERROR(__xludf.DUMMYFUNCTION("""COMPUTED_VALUE"""),1229.57)</f>
        <v>1229.57</v>
      </c>
      <c r="D5005" s="1">
        <f>IFERROR(__xludf.DUMMYFUNCTION("""COMPUTED_VALUE"""),1225.22)</f>
        <v>1225.22</v>
      </c>
      <c r="E5005" s="1">
        <f>IFERROR(__xludf.DUMMYFUNCTION("""COMPUTED_VALUE"""),1228.81)</f>
        <v>1228.81</v>
      </c>
      <c r="F5005" s="1">
        <f>IFERROR(__xludf.DUMMYFUNCTION("""COMPUTED_VALUE"""),2.09752E8)</f>
        <v>209752000</v>
      </c>
    </row>
    <row r="5006">
      <c r="A5006" s="2">
        <f>IFERROR(__xludf.DUMMYFUNCTION("""COMPUTED_VALUE"""),38628.666666666664)</f>
        <v>38628.66667</v>
      </c>
      <c r="B5006" s="1">
        <f>IFERROR(__xludf.DUMMYFUNCTION("""COMPUTED_VALUE"""),1228.81)</f>
        <v>1228.81</v>
      </c>
      <c r="C5006" s="1">
        <f>IFERROR(__xludf.DUMMYFUNCTION("""COMPUTED_VALUE"""),1233.27)</f>
        <v>1233.27</v>
      </c>
      <c r="D5006" s="1">
        <f>IFERROR(__xludf.DUMMYFUNCTION("""COMPUTED_VALUE"""),1225.15)</f>
        <v>1225.15</v>
      </c>
      <c r="E5006" s="1">
        <f>IFERROR(__xludf.DUMMYFUNCTION("""COMPUTED_VALUE"""),1226.7)</f>
        <v>1226.7</v>
      </c>
      <c r="F5006" s="1">
        <f>IFERROR(__xludf.DUMMYFUNCTION("""COMPUTED_VALUE"""),2.09748992E8)</f>
        <v>209748992</v>
      </c>
    </row>
    <row r="5007">
      <c r="A5007" s="2">
        <f>IFERROR(__xludf.DUMMYFUNCTION("""COMPUTED_VALUE"""),38629.666666666664)</f>
        <v>38629.66667</v>
      </c>
      <c r="B5007" s="1">
        <f>IFERROR(__xludf.DUMMYFUNCTION("""COMPUTED_VALUE"""),1226.7)</f>
        <v>1226.7</v>
      </c>
      <c r="C5007" s="1">
        <f>IFERROR(__xludf.DUMMYFUNCTION("""COMPUTED_VALUE"""),1229.88)</f>
        <v>1229.88</v>
      </c>
      <c r="D5007" s="1">
        <f>IFERROR(__xludf.DUMMYFUNCTION("""COMPUTED_VALUE"""),1214.02)</f>
        <v>1214.02</v>
      </c>
      <c r="E5007" s="1">
        <f>IFERROR(__xludf.DUMMYFUNCTION("""COMPUTED_VALUE"""),1214.47)</f>
        <v>1214.47</v>
      </c>
      <c r="F5007" s="1">
        <f>IFERROR(__xludf.DUMMYFUNCTION("""COMPUTED_VALUE"""),2.34142E8)</f>
        <v>234142000</v>
      </c>
    </row>
    <row r="5008">
      <c r="A5008" s="2">
        <f>IFERROR(__xludf.DUMMYFUNCTION("""COMPUTED_VALUE"""),38630.666666666664)</f>
        <v>38630.66667</v>
      </c>
      <c r="B5008" s="1">
        <f>IFERROR(__xludf.DUMMYFUNCTION("""COMPUTED_VALUE"""),1214.47)</f>
        <v>1214.47</v>
      </c>
      <c r="C5008" s="1">
        <f>IFERROR(__xludf.DUMMYFUNCTION("""COMPUTED_VALUE"""),1214.47)</f>
        <v>1214.47</v>
      </c>
      <c r="D5008" s="1">
        <f>IFERROR(__xludf.DUMMYFUNCTION("""COMPUTED_VALUE"""),1196.25)</f>
        <v>1196.25</v>
      </c>
      <c r="E5008" s="1">
        <f>IFERROR(__xludf.DUMMYFUNCTION("""COMPUTED_VALUE"""),1196.39)</f>
        <v>1196.39</v>
      </c>
      <c r="F5008" s="1">
        <f>IFERROR(__xludf.DUMMYFUNCTION("""COMPUTED_VALUE"""),2.54678E8)</f>
        <v>254678000</v>
      </c>
    </row>
    <row r="5009">
      <c r="A5009" s="2">
        <f>IFERROR(__xludf.DUMMYFUNCTION("""COMPUTED_VALUE"""),38631.666666666664)</f>
        <v>38631.66667</v>
      </c>
      <c r="B5009" s="1">
        <f>IFERROR(__xludf.DUMMYFUNCTION("""COMPUTED_VALUE"""),1196.39)</f>
        <v>1196.39</v>
      </c>
      <c r="C5009" s="1">
        <f>IFERROR(__xludf.DUMMYFUNCTION("""COMPUTED_VALUE"""),1202.14)</f>
        <v>1202.14</v>
      </c>
      <c r="D5009" s="1">
        <f>IFERROR(__xludf.DUMMYFUNCTION("""COMPUTED_VALUE"""),1181.92)</f>
        <v>1181.92</v>
      </c>
      <c r="E5009" s="1">
        <f>IFERROR(__xludf.DUMMYFUNCTION("""COMPUTED_VALUE"""),1191.49)</f>
        <v>1191.49</v>
      </c>
      <c r="F5009" s="1">
        <f>IFERROR(__xludf.DUMMYFUNCTION("""COMPUTED_VALUE"""),2.79203008E8)</f>
        <v>279203008</v>
      </c>
    </row>
    <row r="5010">
      <c r="A5010" s="2">
        <f>IFERROR(__xludf.DUMMYFUNCTION("""COMPUTED_VALUE"""),38632.666666666664)</f>
        <v>38632.66667</v>
      </c>
      <c r="B5010" s="1">
        <f>IFERROR(__xludf.DUMMYFUNCTION("""COMPUTED_VALUE"""),1191.49)</f>
        <v>1191.49</v>
      </c>
      <c r="C5010" s="1">
        <f>IFERROR(__xludf.DUMMYFUNCTION("""COMPUTED_VALUE"""),1199.71)</f>
        <v>1199.71</v>
      </c>
      <c r="D5010" s="1">
        <f>IFERROR(__xludf.DUMMYFUNCTION("""COMPUTED_VALUE"""),1191.46)</f>
        <v>1191.46</v>
      </c>
      <c r="E5010" s="1">
        <f>IFERROR(__xludf.DUMMYFUNCTION("""COMPUTED_VALUE"""),1195.9)</f>
        <v>1195.9</v>
      </c>
      <c r="F5010" s="1">
        <f>IFERROR(__xludf.DUMMYFUNCTION("""COMPUTED_VALUE"""),2.12608E8)</f>
        <v>212608000</v>
      </c>
    </row>
    <row r="5011">
      <c r="A5011" s="2">
        <f>IFERROR(__xludf.DUMMYFUNCTION("""COMPUTED_VALUE"""),38635.666666666664)</f>
        <v>38635.66667</v>
      </c>
      <c r="B5011" s="1">
        <f>IFERROR(__xludf.DUMMYFUNCTION("""COMPUTED_VALUE"""),1195.9)</f>
        <v>1195.9</v>
      </c>
      <c r="C5011" s="1">
        <f>IFERROR(__xludf.DUMMYFUNCTION("""COMPUTED_VALUE"""),1196.42)</f>
        <v>1196.42</v>
      </c>
      <c r="D5011" s="1">
        <f>IFERROR(__xludf.DUMMYFUNCTION("""COMPUTED_VALUE"""),1186.12)</f>
        <v>1186.12</v>
      </c>
      <c r="E5011" s="1">
        <f>IFERROR(__xludf.DUMMYFUNCTION("""COMPUTED_VALUE"""),1187.33)</f>
        <v>1187.33</v>
      </c>
      <c r="F5011" s="1">
        <f>IFERROR(__xludf.DUMMYFUNCTION("""COMPUTED_VALUE"""),2.19599008E8)</f>
        <v>219599008</v>
      </c>
    </row>
    <row r="5012">
      <c r="A5012" s="2">
        <f>IFERROR(__xludf.DUMMYFUNCTION("""COMPUTED_VALUE"""),38636.666666666664)</f>
        <v>38636.66667</v>
      </c>
      <c r="B5012" s="1">
        <f>IFERROR(__xludf.DUMMYFUNCTION("""COMPUTED_VALUE"""),1187.33)</f>
        <v>1187.33</v>
      </c>
      <c r="C5012" s="1">
        <f>IFERROR(__xludf.DUMMYFUNCTION("""COMPUTED_VALUE"""),1193.02)</f>
        <v>1193.02</v>
      </c>
      <c r="D5012" s="1">
        <f>IFERROR(__xludf.DUMMYFUNCTION("""COMPUTED_VALUE"""),1183.16)</f>
        <v>1183.16</v>
      </c>
      <c r="E5012" s="1">
        <f>IFERROR(__xludf.DUMMYFUNCTION("""COMPUTED_VALUE"""),1184.87)</f>
        <v>1184.87</v>
      </c>
      <c r="F5012" s="1">
        <f>IFERROR(__xludf.DUMMYFUNCTION("""COMPUTED_VALUE"""),2.29904E8)</f>
        <v>229904000</v>
      </c>
    </row>
    <row r="5013">
      <c r="A5013" s="2">
        <f>IFERROR(__xludf.DUMMYFUNCTION("""COMPUTED_VALUE"""),38637.666666666664)</f>
        <v>38637.66667</v>
      </c>
      <c r="B5013" s="1">
        <f>IFERROR(__xludf.DUMMYFUNCTION("""COMPUTED_VALUE"""),1184.87)</f>
        <v>1184.87</v>
      </c>
      <c r="C5013" s="1">
        <f>IFERROR(__xludf.DUMMYFUNCTION("""COMPUTED_VALUE"""),1190.02)</f>
        <v>1190.02</v>
      </c>
      <c r="D5013" s="1">
        <f>IFERROR(__xludf.DUMMYFUNCTION("""COMPUTED_VALUE"""),1173.65)</f>
        <v>1173.65</v>
      </c>
      <c r="E5013" s="1">
        <f>IFERROR(__xludf.DUMMYFUNCTION("""COMPUTED_VALUE"""),1177.68)</f>
        <v>1177.68</v>
      </c>
      <c r="F5013" s="1">
        <f>IFERROR(__xludf.DUMMYFUNCTION("""COMPUTED_VALUE"""),2.49128E8)</f>
        <v>249128000</v>
      </c>
    </row>
    <row r="5014">
      <c r="A5014" s="2">
        <f>IFERROR(__xludf.DUMMYFUNCTION("""COMPUTED_VALUE"""),38638.666666666664)</f>
        <v>38638.66667</v>
      </c>
      <c r="B5014" s="1">
        <f>IFERROR(__xludf.DUMMYFUNCTION("""COMPUTED_VALUE"""),1177.68)</f>
        <v>1177.68</v>
      </c>
      <c r="C5014" s="1">
        <f>IFERROR(__xludf.DUMMYFUNCTION("""COMPUTED_VALUE"""),1179.56)</f>
        <v>1179.56</v>
      </c>
      <c r="D5014" s="1">
        <f>IFERROR(__xludf.DUMMYFUNCTION("""COMPUTED_VALUE"""),1168.2)</f>
        <v>1168.2</v>
      </c>
      <c r="E5014" s="1">
        <f>IFERROR(__xludf.DUMMYFUNCTION("""COMPUTED_VALUE"""),1176.84)</f>
        <v>1176.84</v>
      </c>
      <c r="F5014" s="1">
        <f>IFERROR(__xludf.DUMMYFUNCTION("""COMPUTED_VALUE"""),2.35115008E8)</f>
        <v>235115008</v>
      </c>
    </row>
    <row r="5015">
      <c r="A5015" s="2">
        <f>IFERROR(__xludf.DUMMYFUNCTION("""COMPUTED_VALUE"""),38639.666666666664)</f>
        <v>38639.66667</v>
      </c>
      <c r="B5015" s="1">
        <f>IFERROR(__xludf.DUMMYFUNCTION("""COMPUTED_VALUE"""),1176.84)</f>
        <v>1176.84</v>
      </c>
      <c r="C5015" s="1">
        <f>IFERROR(__xludf.DUMMYFUNCTION("""COMPUTED_VALUE"""),1187.13)</f>
        <v>1187.13</v>
      </c>
      <c r="D5015" s="1">
        <f>IFERROR(__xludf.DUMMYFUNCTION("""COMPUTED_VALUE"""),1175.44)</f>
        <v>1175.44</v>
      </c>
      <c r="E5015" s="1">
        <f>IFERROR(__xludf.DUMMYFUNCTION("""COMPUTED_VALUE"""),1186.57)</f>
        <v>1186.57</v>
      </c>
      <c r="F5015" s="1">
        <f>IFERROR(__xludf.DUMMYFUNCTION("""COMPUTED_VALUE"""),2.18894E8)</f>
        <v>218894000</v>
      </c>
    </row>
    <row r="5016">
      <c r="A5016" s="2">
        <f>IFERROR(__xludf.DUMMYFUNCTION("""COMPUTED_VALUE"""),38642.666666666664)</f>
        <v>38642.66667</v>
      </c>
      <c r="B5016" s="1">
        <f>IFERROR(__xludf.DUMMYFUNCTION("""COMPUTED_VALUE"""),1186.57)</f>
        <v>1186.57</v>
      </c>
      <c r="C5016" s="1">
        <f>IFERROR(__xludf.DUMMYFUNCTION("""COMPUTED_VALUE"""),1191.21)</f>
        <v>1191.21</v>
      </c>
      <c r="D5016" s="1">
        <f>IFERROR(__xludf.DUMMYFUNCTION("""COMPUTED_VALUE"""),1184.48)</f>
        <v>1184.48</v>
      </c>
      <c r="E5016" s="1">
        <f>IFERROR(__xludf.DUMMYFUNCTION("""COMPUTED_VALUE"""),1190.1)</f>
        <v>1190.1</v>
      </c>
      <c r="F5016" s="1">
        <f>IFERROR(__xludf.DUMMYFUNCTION("""COMPUTED_VALUE"""),2.05456992E8)</f>
        <v>205456992</v>
      </c>
    </row>
    <row r="5017">
      <c r="A5017" s="2">
        <f>IFERROR(__xludf.DUMMYFUNCTION("""COMPUTED_VALUE"""),38643.666666666664)</f>
        <v>38643.66667</v>
      </c>
      <c r="B5017" s="1">
        <f>IFERROR(__xludf.DUMMYFUNCTION("""COMPUTED_VALUE"""),1190.1)</f>
        <v>1190.1</v>
      </c>
      <c r="C5017" s="1">
        <f>IFERROR(__xludf.DUMMYFUNCTION("""COMPUTED_VALUE"""),1190.1)</f>
        <v>1190.1</v>
      </c>
      <c r="D5017" s="1">
        <f>IFERROR(__xludf.DUMMYFUNCTION("""COMPUTED_VALUE"""),1178.13)</f>
        <v>1178.13</v>
      </c>
      <c r="E5017" s="1">
        <f>IFERROR(__xludf.DUMMYFUNCTION("""COMPUTED_VALUE"""),1178.14)</f>
        <v>1178.14</v>
      </c>
      <c r="F5017" s="1">
        <f>IFERROR(__xludf.DUMMYFUNCTION("""COMPUTED_VALUE"""),2.19700992E8)</f>
        <v>219700992</v>
      </c>
    </row>
    <row r="5018">
      <c r="A5018" s="2">
        <f>IFERROR(__xludf.DUMMYFUNCTION("""COMPUTED_VALUE"""),38644.666666666664)</f>
        <v>38644.66667</v>
      </c>
      <c r="B5018" s="1">
        <f>IFERROR(__xludf.DUMMYFUNCTION("""COMPUTED_VALUE"""),1178.14)</f>
        <v>1178.14</v>
      </c>
      <c r="C5018" s="1">
        <f>IFERROR(__xludf.DUMMYFUNCTION("""COMPUTED_VALUE"""),1195.76)</f>
        <v>1195.76</v>
      </c>
      <c r="D5018" s="1">
        <f>IFERROR(__xludf.DUMMYFUNCTION("""COMPUTED_VALUE"""),1170.55)</f>
        <v>1170.55</v>
      </c>
      <c r="E5018" s="1">
        <f>IFERROR(__xludf.DUMMYFUNCTION("""COMPUTED_VALUE"""),1195.76)</f>
        <v>1195.76</v>
      </c>
      <c r="F5018" s="1">
        <f>IFERROR(__xludf.DUMMYFUNCTION("""COMPUTED_VALUE"""),2.70359008E8)</f>
        <v>270359008</v>
      </c>
    </row>
    <row r="5019">
      <c r="A5019" s="2">
        <f>IFERROR(__xludf.DUMMYFUNCTION("""COMPUTED_VALUE"""),38645.666666666664)</f>
        <v>38645.66667</v>
      </c>
      <c r="B5019" s="1">
        <f>IFERROR(__xludf.DUMMYFUNCTION("""COMPUTED_VALUE"""),1195.76)</f>
        <v>1195.76</v>
      </c>
      <c r="C5019" s="1">
        <f>IFERROR(__xludf.DUMMYFUNCTION("""COMPUTED_VALUE"""),1197.3)</f>
        <v>1197.3</v>
      </c>
      <c r="D5019" s="1">
        <f>IFERROR(__xludf.DUMMYFUNCTION("""COMPUTED_VALUE"""),1173.35)</f>
        <v>1173.35</v>
      </c>
      <c r="E5019" s="1">
        <f>IFERROR(__xludf.DUMMYFUNCTION("""COMPUTED_VALUE"""),1177.8)</f>
        <v>1177.8</v>
      </c>
      <c r="F5019" s="1">
        <f>IFERROR(__xludf.DUMMYFUNCTION("""COMPUTED_VALUE"""),2.61724992E8)</f>
        <v>261724992</v>
      </c>
    </row>
    <row r="5020">
      <c r="A5020" s="2">
        <f>IFERROR(__xludf.DUMMYFUNCTION("""COMPUTED_VALUE"""),38646.666666666664)</f>
        <v>38646.66667</v>
      </c>
      <c r="B5020" s="1">
        <f>IFERROR(__xludf.DUMMYFUNCTION("""COMPUTED_VALUE"""),1177.8)</f>
        <v>1177.8</v>
      </c>
      <c r="C5020" s="1">
        <f>IFERROR(__xludf.DUMMYFUNCTION("""COMPUTED_VALUE"""),1186.46)</f>
        <v>1186.46</v>
      </c>
      <c r="D5020" s="1">
        <f>IFERROR(__xludf.DUMMYFUNCTION("""COMPUTED_VALUE"""),1174.92)</f>
        <v>1174.92</v>
      </c>
      <c r="E5020" s="1">
        <f>IFERROR(__xludf.DUMMYFUNCTION("""COMPUTED_VALUE"""),1179.59)</f>
        <v>1179.59</v>
      </c>
      <c r="F5020" s="1">
        <f>IFERROR(__xludf.DUMMYFUNCTION("""COMPUTED_VALUE"""),2.47092E8)</f>
        <v>247092000</v>
      </c>
    </row>
    <row r="5021">
      <c r="A5021" s="2">
        <f>IFERROR(__xludf.DUMMYFUNCTION("""COMPUTED_VALUE"""),38649.666666666664)</f>
        <v>38649.66667</v>
      </c>
      <c r="B5021" s="1">
        <f>IFERROR(__xludf.DUMMYFUNCTION("""COMPUTED_VALUE"""),1179.59)</f>
        <v>1179.59</v>
      </c>
      <c r="C5021" s="1">
        <f>IFERROR(__xludf.DUMMYFUNCTION("""COMPUTED_VALUE"""),1199.39)</f>
        <v>1199.39</v>
      </c>
      <c r="D5021" s="1">
        <f>IFERROR(__xludf.DUMMYFUNCTION("""COMPUTED_VALUE"""),1179.59)</f>
        <v>1179.59</v>
      </c>
      <c r="E5021" s="1">
        <f>IFERROR(__xludf.DUMMYFUNCTION("""COMPUTED_VALUE"""),1199.38)</f>
        <v>1199.38</v>
      </c>
      <c r="F5021" s="1">
        <f>IFERROR(__xludf.DUMMYFUNCTION("""COMPUTED_VALUE"""),2.19779008E8)</f>
        <v>219779008</v>
      </c>
    </row>
    <row r="5022">
      <c r="A5022" s="2">
        <f>IFERROR(__xludf.DUMMYFUNCTION("""COMPUTED_VALUE"""),38650.666666666664)</f>
        <v>38650.66667</v>
      </c>
      <c r="B5022" s="1">
        <f>IFERROR(__xludf.DUMMYFUNCTION("""COMPUTED_VALUE"""),1199.38)</f>
        <v>1199.38</v>
      </c>
      <c r="C5022" s="1">
        <f>IFERROR(__xludf.DUMMYFUNCTION("""COMPUTED_VALUE"""),1201.3)</f>
        <v>1201.3</v>
      </c>
      <c r="D5022" s="1">
        <f>IFERROR(__xludf.DUMMYFUNCTION("""COMPUTED_VALUE"""),1189.29)</f>
        <v>1189.29</v>
      </c>
      <c r="E5022" s="1">
        <f>IFERROR(__xludf.DUMMYFUNCTION("""COMPUTED_VALUE"""),1196.54)</f>
        <v>1196.54</v>
      </c>
      <c r="F5022" s="1">
        <f>IFERROR(__xludf.DUMMYFUNCTION("""COMPUTED_VALUE"""),2.31247008E8)</f>
        <v>231247008</v>
      </c>
    </row>
    <row r="5023">
      <c r="A5023" s="2">
        <f>IFERROR(__xludf.DUMMYFUNCTION("""COMPUTED_VALUE"""),38651.666666666664)</f>
        <v>38651.66667</v>
      </c>
      <c r="B5023" s="1">
        <f>IFERROR(__xludf.DUMMYFUNCTION("""COMPUTED_VALUE"""),1196.54)</f>
        <v>1196.54</v>
      </c>
      <c r="C5023" s="1">
        <f>IFERROR(__xludf.DUMMYFUNCTION("""COMPUTED_VALUE"""),1204.01)</f>
        <v>1204.01</v>
      </c>
      <c r="D5023" s="1">
        <f>IFERROR(__xludf.DUMMYFUNCTION("""COMPUTED_VALUE"""),1191.38)</f>
        <v>1191.38</v>
      </c>
      <c r="E5023" s="1">
        <f>IFERROR(__xludf.DUMMYFUNCTION("""COMPUTED_VALUE"""),1191.38)</f>
        <v>1191.38</v>
      </c>
      <c r="F5023" s="1">
        <f>IFERROR(__xludf.DUMMYFUNCTION("""COMPUTED_VALUE"""),2.46775008E8)</f>
        <v>246775008</v>
      </c>
    </row>
    <row r="5024">
      <c r="A5024" s="2">
        <f>IFERROR(__xludf.DUMMYFUNCTION("""COMPUTED_VALUE"""),38652.666666666664)</f>
        <v>38652.66667</v>
      </c>
      <c r="B5024" s="1">
        <f>IFERROR(__xludf.DUMMYFUNCTION("""COMPUTED_VALUE"""),1191.38)</f>
        <v>1191.38</v>
      </c>
      <c r="C5024" s="1">
        <f>IFERROR(__xludf.DUMMYFUNCTION("""COMPUTED_VALUE"""),1192.65)</f>
        <v>1192.65</v>
      </c>
      <c r="D5024" s="1">
        <f>IFERROR(__xludf.DUMMYFUNCTION("""COMPUTED_VALUE"""),1178.89)</f>
        <v>1178.89</v>
      </c>
      <c r="E5024" s="1">
        <f>IFERROR(__xludf.DUMMYFUNCTION("""COMPUTED_VALUE"""),1178.9)</f>
        <v>1178.9</v>
      </c>
      <c r="F5024" s="1">
        <f>IFERROR(__xludf.DUMMYFUNCTION("""COMPUTED_VALUE"""),2.39536992E8)</f>
        <v>239536992</v>
      </c>
    </row>
    <row r="5025">
      <c r="A5025" s="2">
        <f>IFERROR(__xludf.DUMMYFUNCTION("""COMPUTED_VALUE"""),38653.666666666664)</f>
        <v>38653.66667</v>
      </c>
      <c r="B5025" s="1">
        <f>IFERROR(__xludf.DUMMYFUNCTION("""COMPUTED_VALUE"""),1178.9)</f>
        <v>1178.9</v>
      </c>
      <c r="C5025" s="1">
        <f>IFERROR(__xludf.DUMMYFUNCTION("""COMPUTED_VALUE"""),1198.41)</f>
        <v>1198.41</v>
      </c>
      <c r="D5025" s="1">
        <f>IFERROR(__xludf.DUMMYFUNCTION("""COMPUTED_VALUE"""),1178.9)</f>
        <v>1178.9</v>
      </c>
      <c r="E5025" s="1">
        <f>IFERROR(__xludf.DUMMYFUNCTION("""COMPUTED_VALUE"""),1198.41)</f>
        <v>1198.41</v>
      </c>
      <c r="F5025" s="1">
        <f>IFERROR(__xludf.DUMMYFUNCTION("""COMPUTED_VALUE"""),2.3794E8)</f>
        <v>237940000</v>
      </c>
    </row>
    <row r="5026">
      <c r="A5026" s="2">
        <f>IFERROR(__xludf.DUMMYFUNCTION("""COMPUTED_VALUE"""),38656.666666666664)</f>
        <v>38656.66667</v>
      </c>
      <c r="B5026" s="1">
        <f>IFERROR(__xludf.DUMMYFUNCTION("""COMPUTED_VALUE"""),1198.41)</f>
        <v>1198.41</v>
      </c>
      <c r="C5026" s="1">
        <f>IFERROR(__xludf.DUMMYFUNCTION("""COMPUTED_VALUE"""),1211.43)</f>
        <v>1211.43</v>
      </c>
      <c r="D5026" s="1">
        <f>IFERROR(__xludf.DUMMYFUNCTION("""COMPUTED_VALUE"""),1198.41)</f>
        <v>1198.41</v>
      </c>
      <c r="E5026" s="1">
        <f>IFERROR(__xludf.DUMMYFUNCTION("""COMPUTED_VALUE"""),1207.01)</f>
        <v>1207.01</v>
      </c>
      <c r="F5026" s="1">
        <f>IFERROR(__xludf.DUMMYFUNCTION("""COMPUTED_VALUE"""),2.56747008E8)</f>
        <v>256747008</v>
      </c>
    </row>
    <row r="5027">
      <c r="A5027" s="2">
        <f>IFERROR(__xludf.DUMMYFUNCTION("""COMPUTED_VALUE"""),38657.666666666664)</f>
        <v>38657.66667</v>
      </c>
      <c r="B5027" s="1">
        <f>IFERROR(__xludf.DUMMYFUNCTION("""COMPUTED_VALUE"""),1207.01)</f>
        <v>1207.01</v>
      </c>
      <c r="C5027" s="1">
        <f>IFERROR(__xludf.DUMMYFUNCTION("""COMPUTED_VALUE"""),1207.34)</f>
        <v>1207.34</v>
      </c>
      <c r="D5027" s="1">
        <f>IFERROR(__xludf.DUMMYFUNCTION("""COMPUTED_VALUE"""),1201.77)</f>
        <v>1201.77</v>
      </c>
      <c r="E5027" s="1">
        <f>IFERROR(__xludf.DUMMYFUNCTION("""COMPUTED_VALUE"""),1202.76)</f>
        <v>1202.76</v>
      </c>
      <c r="F5027" s="1">
        <f>IFERROR(__xludf.DUMMYFUNCTION("""COMPUTED_VALUE"""),2.45784992E8)</f>
        <v>245784992</v>
      </c>
    </row>
    <row r="5028">
      <c r="A5028" s="2">
        <f>IFERROR(__xludf.DUMMYFUNCTION("""COMPUTED_VALUE"""),38658.666666666664)</f>
        <v>38658.66667</v>
      </c>
      <c r="B5028" s="1">
        <f>IFERROR(__xludf.DUMMYFUNCTION("""COMPUTED_VALUE"""),1202.76)</f>
        <v>1202.76</v>
      </c>
      <c r="C5028" s="1">
        <f>IFERROR(__xludf.DUMMYFUNCTION("""COMPUTED_VALUE"""),1215.08)</f>
        <v>1215.08</v>
      </c>
      <c r="D5028" s="1">
        <f>IFERROR(__xludf.DUMMYFUNCTION("""COMPUTED_VALUE"""),1201.07)</f>
        <v>1201.07</v>
      </c>
      <c r="E5028" s="1">
        <f>IFERROR(__xludf.DUMMYFUNCTION("""COMPUTED_VALUE"""),1214.76)</f>
        <v>1214.76</v>
      </c>
      <c r="F5028" s="1">
        <f>IFERROR(__xludf.DUMMYFUNCTION("""COMPUTED_VALUE"""),2.64808992E8)</f>
        <v>264808992</v>
      </c>
    </row>
    <row r="5029">
      <c r="A5029" s="2">
        <f>IFERROR(__xludf.DUMMYFUNCTION("""COMPUTED_VALUE"""),38659.666666666664)</f>
        <v>38659.66667</v>
      </c>
      <c r="B5029" s="1">
        <f>IFERROR(__xludf.DUMMYFUNCTION("""COMPUTED_VALUE"""),1214.76)</f>
        <v>1214.76</v>
      </c>
      <c r="C5029" s="1">
        <f>IFERROR(__xludf.DUMMYFUNCTION("""COMPUTED_VALUE"""),1224.7)</f>
        <v>1224.7</v>
      </c>
      <c r="D5029" s="1">
        <f>IFERROR(__xludf.DUMMYFUNCTION("""COMPUTED_VALUE"""),1214.76)</f>
        <v>1214.76</v>
      </c>
      <c r="E5029" s="1">
        <f>IFERROR(__xludf.DUMMYFUNCTION("""COMPUTED_VALUE"""),1219.94)</f>
        <v>1219.94</v>
      </c>
      <c r="F5029" s="1">
        <f>IFERROR(__xludf.DUMMYFUNCTION("""COMPUTED_VALUE"""),2.71663008E8)</f>
        <v>271663008</v>
      </c>
    </row>
    <row r="5030">
      <c r="A5030" s="2">
        <f>IFERROR(__xludf.DUMMYFUNCTION("""COMPUTED_VALUE"""),38660.666666666664)</f>
        <v>38660.66667</v>
      </c>
      <c r="B5030" s="1">
        <f>IFERROR(__xludf.DUMMYFUNCTION("""COMPUTED_VALUE"""),1219.94)</f>
        <v>1219.94</v>
      </c>
      <c r="C5030" s="1">
        <f>IFERROR(__xludf.DUMMYFUNCTION("""COMPUTED_VALUE"""),1222.52)</f>
        <v>1222.52</v>
      </c>
      <c r="D5030" s="1">
        <f>IFERROR(__xludf.DUMMYFUNCTION("""COMPUTED_VALUE"""),1214.45)</f>
        <v>1214.45</v>
      </c>
      <c r="E5030" s="1">
        <f>IFERROR(__xludf.DUMMYFUNCTION("""COMPUTED_VALUE"""),1220.14)</f>
        <v>1220.14</v>
      </c>
      <c r="F5030" s="1">
        <f>IFERROR(__xludf.DUMMYFUNCTION("""COMPUTED_VALUE"""),2.05051008E8)</f>
        <v>205051008</v>
      </c>
    </row>
    <row r="5031">
      <c r="A5031" s="2">
        <f>IFERROR(__xludf.DUMMYFUNCTION("""COMPUTED_VALUE"""),38663.666666666664)</f>
        <v>38663.66667</v>
      </c>
      <c r="B5031" s="1">
        <f>IFERROR(__xludf.DUMMYFUNCTION("""COMPUTED_VALUE"""),1220.14)</f>
        <v>1220.14</v>
      </c>
      <c r="C5031" s="1">
        <f>IFERROR(__xludf.DUMMYFUNCTION("""COMPUTED_VALUE"""),1224.18)</f>
        <v>1224.18</v>
      </c>
      <c r="D5031" s="1">
        <f>IFERROR(__xludf.DUMMYFUNCTION("""COMPUTED_VALUE"""),1217.35)</f>
        <v>1217.35</v>
      </c>
      <c r="E5031" s="1">
        <f>IFERROR(__xludf.DUMMYFUNCTION("""COMPUTED_VALUE"""),1222.81)</f>
        <v>1222.81</v>
      </c>
      <c r="F5031" s="1">
        <f>IFERROR(__xludf.DUMMYFUNCTION("""COMPUTED_VALUE"""),1.98758E8)</f>
        <v>198758000</v>
      </c>
    </row>
    <row r="5032">
      <c r="A5032" s="2">
        <f>IFERROR(__xludf.DUMMYFUNCTION("""COMPUTED_VALUE"""),38664.666666666664)</f>
        <v>38664.66667</v>
      </c>
      <c r="B5032" s="1">
        <f>IFERROR(__xludf.DUMMYFUNCTION("""COMPUTED_VALUE"""),1222.81)</f>
        <v>1222.81</v>
      </c>
      <c r="C5032" s="1">
        <f>IFERROR(__xludf.DUMMYFUNCTION("""COMPUTED_VALUE"""),1222.81)</f>
        <v>1222.81</v>
      </c>
      <c r="D5032" s="1">
        <f>IFERROR(__xludf.DUMMYFUNCTION("""COMPUTED_VALUE"""),1216.08)</f>
        <v>1216.08</v>
      </c>
      <c r="E5032" s="1">
        <f>IFERROR(__xludf.DUMMYFUNCTION("""COMPUTED_VALUE"""),1218.59)</f>
        <v>1218.59</v>
      </c>
      <c r="F5032" s="1">
        <f>IFERROR(__xludf.DUMMYFUNCTION("""COMPUTED_VALUE"""),1.96504992E8)</f>
        <v>196504992</v>
      </c>
    </row>
    <row r="5033">
      <c r="A5033" s="2">
        <f>IFERROR(__xludf.DUMMYFUNCTION("""COMPUTED_VALUE"""),38665.666666666664)</f>
        <v>38665.66667</v>
      </c>
      <c r="B5033" s="1">
        <f>IFERROR(__xludf.DUMMYFUNCTION("""COMPUTED_VALUE"""),1218.59)</f>
        <v>1218.59</v>
      </c>
      <c r="C5033" s="1">
        <f>IFERROR(__xludf.DUMMYFUNCTION("""COMPUTED_VALUE"""),1226.59)</f>
        <v>1226.59</v>
      </c>
      <c r="D5033" s="1">
        <f>IFERROR(__xludf.DUMMYFUNCTION("""COMPUTED_VALUE"""),1216.53)</f>
        <v>1216.53</v>
      </c>
      <c r="E5033" s="1">
        <f>IFERROR(__xludf.DUMMYFUNCTION("""COMPUTED_VALUE"""),1220.65)</f>
        <v>1220.65</v>
      </c>
      <c r="F5033" s="1">
        <f>IFERROR(__xludf.DUMMYFUNCTION("""COMPUTED_VALUE"""),2.21446E8)</f>
        <v>221446000</v>
      </c>
    </row>
    <row r="5034">
      <c r="A5034" s="2">
        <f>IFERROR(__xludf.DUMMYFUNCTION("""COMPUTED_VALUE"""),38666.666666666664)</f>
        <v>38666.66667</v>
      </c>
      <c r="B5034" s="1">
        <f>IFERROR(__xludf.DUMMYFUNCTION("""COMPUTED_VALUE"""),1220.65)</f>
        <v>1220.65</v>
      </c>
      <c r="C5034" s="1">
        <f>IFERROR(__xludf.DUMMYFUNCTION("""COMPUTED_VALUE"""),1232.41)</f>
        <v>1232.41</v>
      </c>
      <c r="D5034" s="1">
        <f>IFERROR(__xludf.DUMMYFUNCTION("""COMPUTED_VALUE"""),1215.05)</f>
        <v>1215.05</v>
      </c>
      <c r="E5034" s="1">
        <f>IFERROR(__xludf.DUMMYFUNCTION("""COMPUTED_VALUE"""),1230.96)</f>
        <v>1230.96</v>
      </c>
      <c r="F5034" s="1">
        <f>IFERROR(__xludf.DUMMYFUNCTION("""COMPUTED_VALUE"""),2.37846E8)</f>
        <v>237846000</v>
      </c>
    </row>
    <row r="5035">
      <c r="A5035" s="2">
        <f>IFERROR(__xludf.DUMMYFUNCTION("""COMPUTED_VALUE"""),38667.666666666664)</f>
        <v>38667.66667</v>
      </c>
      <c r="B5035" s="1">
        <f>IFERROR(__xludf.DUMMYFUNCTION("""COMPUTED_VALUE"""),1230.96)</f>
        <v>1230.96</v>
      </c>
      <c r="C5035" s="1">
        <f>IFERROR(__xludf.DUMMYFUNCTION("""COMPUTED_VALUE"""),1235.7)</f>
        <v>1235.7</v>
      </c>
      <c r="D5035" s="1">
        <f>IFERROR(__xludf.DUMMYFUNCTION("""COMPUTED_VALUE"""),1230.72)</f>
        <v>1230.72</v>
      </c>
      <c r="E5035" s="1">
        <f>IFERROR(__xludf.DUMMYFUNCTION("""COMPUTED_VALUE"""),1234.72)</f>
        <v>1234.72</v>
      </c>
      <c r="F5035" s="1">
        <f>IFERROR(__xludf.DUMMYFUNCTION("""COMPUTED_VALUE"""),1.77314E8)</f>
        <v>177314000</v>
      </c>
    </row>
    <row r="5036">
      <c r="A5036" s="2">
        <f>IFERROR(__xludf.DUMMYFUNCTION("""COMPUTED_VALUE"""),38670.666666666664)</f>
        <v>38670.66667</v>
      </c>
      <c r="B5036" s="1">
        <f>IFERROR(__xludf.DUMMYFUNCTION("""COMPUTED_VALUE"""),1234.72)</f>
        <v>1234.72</v>
      </c>
      <c r="C5036" s="1">
        <f>IFERROR(__xludf.DUMMYFUNCTION("""COMPUTED_VALUE"""),1237.2)</f>
        <v>1237.2</v>
      </c>
      <c r="D5036" s="1">
        <f>IFERROR(__xludf.DUMMYFUNCTION("""COMPUTED_VALUE"""),1231.78)</f>
        <v>1231.78</v>
      </c>
      <c r="E5036" s="1">
        <f>IFERROR(__xludf.DUMMYFUNCTION("""COMPUTED_VALUE"""),1233.71)</f>
        <v>1233.71</v>
      </c>
      <c r="F5036" s="1">
        <f>IFERROR(__xludf.DUMMYFUNCTION("""COMPUTED_VALUE"""),1.89978E8)</f>
        <v>189978000</v>
      </c>
    </row>
    <row r="5037">
      <c r="A5037" s="2">
        <f>IFERROR(__xludf.DUMMYFUNCTION("""COMPUTED_VALUE"""),38671.666666666664)</f>
        <v>38671.66667</v>
      </c>
      <c r="B5037" s="1">
        <f>IFERROR(__xludf.DUMMYFUNCTION("""COMPUTED_VALUE"""),1233.76)</f>
        <v>1233.76</v>
      </c>
      <c r="C5037" s="1">
        <f>IFERROR(__xludf.DUMMYFUNCTION("""COMPUTED_VALUE"""),1237.94)</f>
        <v>1237.94</v>
      </c>
      <c r="D5037" s="1">
        <f>IFERROR(__xludf.DUMMYFUNCTION("""COMPUTED_VALUE"""),1226.41)</f>
        <v>1226.41</v>
      </c>
      <c r="E5037" s="1">
        <f>IFERROR(__xludf.DUMMYFUNCTION("""COMPUTED_VALUE"""),1229.01)</f>
        <v>1229.01</v>
      </c>
      <c r="F5037" s="1">
        <f>IFERROR(__xludf.DUMMYFUNCTION("""COMPUTED_VALUE"""),2.35936992E8)</f>
        <v>235936992</v>
      </c>
    </row>
    <row r="5038">
      <c r="A5038" s="2">
        <f>IFERROR(__xludf.DUMMYFUNCTION("""COMPUTED_VALUE"""),38672.666666666664)</f>
        <v>38672.66667</v>
      </c>
      <c r="B5038" s="1">
        <f>IFERROR(__xludf.DUMMYFUNCTION("""COMPUTED_VALUE"""),1229.01)</f>
        <v>1229.01</v>
      </c>
      <c r="C5038" s="1">
        <f>IFERROR(__xludf.DUMMYFUNCTION("""COMPUTED_VALUE"""),1232.24)</f>
        <v>1232.24</v>
      </c>
      <c r="D5038" s="1">
        <f>IFERROR(__xludf.DUMMYFUNCTION("""COMPUTED_VALUE"""),1227.18)</f>
        <v>1227.18</v>
      </c>
      <c r="E5038" s="1">
        <f>IFERROR(__xludf.DUMMYFUNCTION("""COMPUTED_VALUE"""),1231.21)</f>
        <v>1231.21</v>
      </c>
      <c r="F5038" s="1">
        <f>IFERROR(__xludf.DUMMYFUNCTION("""COMPUTED_VALUE"""),2.12158E8)</f>
        <v>212158000</v>
      </c>
    </row>
    <row r="5039">
      <c r="A5039" s="2">
        <f>IFERROR(__xludf.DUMMYFUNCTION("""COMPUTED_VALUE"""),38673.666666666664)</f>
        <v>38673.66667</v>
      </c>
      <c r="B5039" s="1">
        <f>IFERROR(__xludf.DUMMYFUNCTION("""COMPUTED_VALUE"""),1231.21)</f>
        <v>1231.21</v>
      </c>
      <c r="C5039" s="1">
        <f>IFERROR(__xludf.DUMMYFUNCTION("""COMPUTED_VALUE"""),1242.96)</f>
        <v>1242.96</v>
      </c>
      <c r="D5039" s="1">
        <f>IFERROR(__xludf.DUMMYFUNCTION("""COMPUTED_VALUE"""),1231.21)</f>
        <v>1231.21</v>
      </c>
      <c r="E5039" s="1">
        <f>IFERROR(__xludf.DUMMYFUNCTION("""COMPUTED_VALUE"""),1242.8)</f>
        <v>1242.8</v>
      </c>
      <c r="F5039" s="1">
        <f>IFERROR(__xludf.DUMMYFUNCTION("""COMPUTED_VALUE"""),2.29804E8)</f>
        <v>229804000</v>
      </c>
    </row>
    <row r="5040">
      <c r="A5040" s="2">
        <f>IFERROR(__xludf.DUMMYFUNCTION("""COMPUTED_VALUE"""),38674.666666666664)</f>
        <v>38674.66667</v>
      </c>
      <c r="B5040" s="1">
        <f>IFERROR(__xludf.DUMMYFUNCTION("""COMPUTED_VALUE"""),1242.8)</f>
        <v>1242.8</v>
      </c>
      <c r="C5040" s="1">
        <f>IFERROR(__xludf.DUMMYFUNCTION("""COMPUTED_VALUE"""),1249.52)</f>
        <v>1249.52</v>
      </c>
      <c r="D5040" s="1">
        <f>IFERROR(__xludf.DUMMYFUNCTION("""COMPUTED_VALUE"""),1240.71)</f>
        <v>1240.71</v>
      </c>
      <c r="E5040" s="1">
        <f>IFERROR(__xludf.DUMMYFUNCTION("""COMPUTED_VALUE"""),1248.27)</f>
        <v>1248.27</v>
      </c>
      <c r="F5040" s="1">
        <f>IFERROR(__xludf.DUMMYFUNCTION("""COMPUTED_VALUE"""),2.45328992E8)</f>
        <v>245328992</v>
      </c>
    </row>
    <row r="5041">
      <c r="A5041" s="2">
        <f>IFERROR(__xludf.DUMMYFUNCTION("""COMPUTED_VALUE"""),38677.666666666664)</f>
        <v>38677.66667</v>
      </c>
      <c r="B5041" s="1">
        <f>IFERROR(__xludf.DUMMYFUNCTION("""COMPUTED_VALUE"""),1248.27)</f>
        <v>1248.27</v>
      </c>
      <c r="C5041" s="1">
        <f>IFERROR(__xludf.DUMMYFUNCTION("""COMPUTED_VALUE"""),1255.89)</f>
        <v>1255.89</v>
      </c>
      <c r="D5041" s="1">
        <f>IFERROR(__xludf.DUMMYFUNCTION("""COMPUTED_VALUE"""),1246.9)</f>
        <v>1246.9</v>
      </c>
      <c r="E5041" s="1">
        <f>IFERROR(__xludf.DUMMYFUNCTION("""COMPUTED_VALUE"""),1254.85)</f>
        <v>1254.85</v>
      </c>
      <c r="F5041" s="1">
        <f>IFERROR(__xludf.DUMMYFUNCTION("""COMPUTED_VALUE"""),2.11735008E8)</f>
        <v>211735008</v>
      </c>
    </row>
    <row r="5042">
      <c r="A5042" s="2">
        <f>IFERROR(__xludf.DUMMYFUNCTION("""COMPUTED_VALUE"""),38678.666666666664)</f>
        <v>38678.66667</v>
      </c>
      <c r="B5042" s="1">
        <f>IFERROR(__xludf.DUMMYFUNCTION("""COMPUTED_VALUE"""),1254.85)</f>
        <v>1254.85</v>
      </c>
      <c r="C5042" s="1">
        <f>IFERROR(__xludf.DUMMYFUNCTION("""COMPUTED_VALUE"""),1261.9)</f>
        <v>1261.9</v>
      </c>
      <c r="D5042" s="1">
        <f>IFERROR(__xludf.DUMMYFUNCTION("""COMPUTED_VALUE"""),1251.4)</f>
        <v>1251.4</v>
      </c>
      <c r="E5042" s="1">
        <f>IFERROR(__xludf.DUMMYFUNCTION("""COMPUTED_VALUE"""),1261.23)</f>
        <v>1261.23</v>
      </c>
      <c r="F5042" s="1">
        <f>IFERROR(__xludf.DUMMYFUNCTION("""COMPUTED_VALUE"""),2.29142E8)</f>
        <v>229142000</v>
      </c>
    </row>
    <row r="5043">
      <c r="A5043" s="2">
        <f>IFERROR(__xludf.DUMMYFUNCTION("""COMPUTED_VALUE"""),38679.666666666664)</f>
        <v>38679.66667</v>
      </c>
      <c r="B5043" s="1">
        <f>IFERROR(__xludf.DUMMYFUNCTION("""COMPUTED_VALUE"""),1261.23)</f>
        <v>1261.23</v>
      </c>
      <c r="C5043" s="1">
        <f>IFERROR(__xludf.DUMMYFUNCTION("""COMPUTED_VALUE"""),1270.64)</f>
        <v>1270.64</v>
      </c>
      <c r="D5043" s="1">
        <f>IFERROR(__xludf.DUMMYFUNCTION("""COMPUTED_VALUE"""),1259.51)</f>
        <v>1259.51</v>
      </c>
      <c r="E5043" s="1">
        <f>IFERROR(__xludf.DUMMYFUNCTION("""COMPUTED_VALUE"""),1265.61)</f>
        <v>1265.61</v>
      </c>
      <c r="F5043" s="1">
        <f>IFERROR(__xludf.DUMMYFUNCTION("""COMPUTED_VALUE"""),1.9854E8)</f>
        <v>198540000</v>
      </c>
    </row>
    <row r="5044">
      <c r="A5044" s="2">
        <f>IFERROR(__xludf.DUMMYFUNCTION("""COMPUTED_VALUE"""),38681.666666666664)</f>
        <v>38681.66667</v>
      </c>
      <c r="B5044" s="1">
        <f>IFERROR(__xludf.DUMMYFUNCTION("""COMPUTED_VALUE"""),1265.61)</f>
        <v>1265.61</v>
      </c>
      <c r="C5044" s="1">
        <f>IFERROR(__xludf.DUMMYFUNCTION("""COMPUTED_VALUE"""),1268.78)</f>
        <v>1268.78</v>
      </c>
      <c r="D5044" s="1">
        <f>IFERROR(__xludf.DUMMYFUNCTION("""COMPUTED_VALUE"""),1265.54)</f>
        <v>1265.54</v>
      </c>
      <c r="E5044" s="1">
        <f>IFERROR(__xludf.DUMMYFUNCTION("""COMPUTED_VALUE"""),1268.25)</f>
        <v>1268.25</v>
      </c>
      <c r="F5044" s="1">
        <f>IFERROR(__xludf.DUMMYFUNCTION("""COMPUTED_VALUE"""),3.2494E7)</f>
        <v>32494000</v>
      </c>
    </row>
    <row r="5045">
      <c r="A5045" s="2">
        <f>IFERROR(__xludf.DUMMYFUNCTION("""COMPUTED_VALUE"""),38684.666666666664)</f>
        <v>38684.66667</v>
      </c>
      <c r="B5045" s="1">
        <f>IFERROR(__xludf.DUMMYFUNCTION("""COMPUTED_VALUE"""),1268.25)</f>
        <v>1268.25</v>
      </c>
      <c r="C5045" s="1">
        <f>IFERROR(__xludf.DUMMYFUNCTION("""COMPUTED_VALUE"""),1268.42)</f>
        <v>1268.42</v>
      </c>
      <c r="D5045" s="1">
        <f>IFERROR(__xludf.DUMMYFUNCTION("""COMPUTED_VALUE"""),1257.17)</f>
        <v>1257.17</v>
      </c>
      <c r="E5045" s="1">
        <f>IFERROR(__xludf.DUMMYFUNCTION("""COMPUTED_VALUE"""),1257.46)</f>
        <v>1257.46</v>
      </c>
      <c r="F5045" s="1">
        <f>IFERROR(__xludf.DUMMYFUNCTION("""COMPUTED_VALUE"""),2.0169E8)</f>
        <v>201690000</v>
      </c>
    </row>
    <row r="5046">
      <c r="A5046" s="2">
        <f>IFERROR(__xludf.DUMMYFUNCTION("""COMPUTED_VALUE"""),38685.666666666664)</f>
        <v>38685.66667</v>
      </c>
      <c r="B5046" s="1">
        <f>IFERROR(__xludf.DUMMYFUNCTION("""COMPUTED_VALUE"""),1257.46)</f>
        <v>1257.46</v>
      </c>
      <c r="C5046" s="1">
        <f>IFERROR(__xludf.DUMMYFUNCTION("""COMPUTED_VALUE"""),1266.18)</f>
        <v>1266.18</v>
      </c>
      <c r="D5046" s="1">
        <f>IFERROR(__xludf.DUMMYFUNCTION("""COMPUTED_VALUE"""),1257.46)</f>
        <v>1257.46</v>
      </c>
      <c r="E5046" s="1">
        <f>IFERROR(__xludf.DUMMYFUNCTION("""COMPUTED_VALUE"""),1257.48)</f>
        <v>1257.48</v>
      </c>
      <c r="F5046" s="1">
        <f>IFERROR(__xludf.DUMMYFUNCTION("""COMPUTED_VALUE"""),2.26834E8)</f>
        <v>226834000</v>
      </c>
    </row>
    <row r="5047">
      <c r="A5047" s="2">
        <f>IFERROR(__xludf.DUMMYFUNCTION("""COMPUTED_VALUE"""),38686.666666666664)</f>
        <v>38686.66667</v>
      </c>
      <c r="B5047" s="1">
        <f>IFERROR(__xludf.DUMMYFUNCTION("""COMPUTED_VALUE"""),1257.48)</f>
        <v>1257.48</v>
      </c>
      <c r="C5047" s="1">
        <f>IFERROR(__xludf.DUMMYFUNCTION("""COMPUTED_VALUE"""),1260.93)</f>
        <v>1260.93</v>
      </c>
      <c r="D5047" s="1">
        <f>IFERROR(__xludf.DUMMYFUNCTION("""COMPUTED_VALUE"""),1249.39)</f>
        <v>1249.39</v>
      </c>
      <c r="E5047" s="1">
        <f>IFERROR(__xludf.DUMMYFUNCTION("""COMPUTED_VALUE"""),1249.48)</f>
        <v>1249.48</v>
      </c>
      <c r="F5047" s="1">
        <f>IFERROR(__xludf.DUMMYFUNCTION("""COMPUTED_VALUE"""),2.37468992E8)</f>
        <v>237468992</v>
      </c>
    </row>
    <row r="5048">
      <c r="A5048" s="2">
        <f>IFERROR(__xludf.DUMMYFUNCTION("""COMPUTED_VALUE"""),38687.666666666664)</f>
        <v>38687.66667</v>
      </c>
      <c r="B5048" s="1">
        <f>IFERROR(__xludf.DUMMYFUNCTION("""COMPUTED_VALUE"""),1249.48)</f>
        <v>1249.48</v>
      </c>
      <c r="C5048" s="1">
        <f>IFERROR(__xludf.DUMMYFUNCTION("""COMPUTED_VALUE"""),1266.17)</f>
        <v>1266.17</v>
      </c>
      <c r="D5048" s="1">
        <f>IFERROR(__xludf.DUMMYFUNCTION("""COMPUTED_VALUE"""),1249.48)</f>
        <v>1249.48</v>
      </c>
      <c r="E5048" s="1">
        <f>IFERROR(__xludf.DUMMYFUNCTION("""COMPUTED_VALUE"""),1264.67)</f>
        <v>1264.67</v>
      </c>
      <c r="F5048" s="1">
        <f>IFERROR(__xludf.DUMMYFUNCTION("""COMPUTED_VALUE"""),2.61483008E8)</f>
        <v>261483008</v>
      </c>
    </row>
    <row r="5049">
      <c r="A5049" s="2">
        <f>IFERROR(__xludf.DUMMYFUNCTION("""COMPUTED_VALUE"""),38688.666666666664)</f>
        <v>38688.66667</v>
      </c>
      <c r="B5049" s="1">
        <f>IFERROR(__xludf.DUMMYFUNCTION("""COMPUTED_VALUE"""),1264.67)</f>
        <v>1264.67</v>
      </c>
      <c r="C5049" s="1">
        <f>IFERROR(__xludf.DUMMYFUNCTION("""COMPUTED_VALUE"""),1266.83)</f>
        <v>1266.83</v>
      </c>
      <c r="D5049" s="1">
        <f>IFERROR(__xludf.DUMMYFUNCTION("""COMPUTED_VALUE"""),1261.42)</f>
        <v>1261.42</v>
      </c>
      <c r="E5049" s="1">
        <f>IFERROR(__xludf.DUMMYFUNCTION("""COMPUTED_VALUE"""),1265.08)</f>
        <v>1265.08</v>
      </c>
      <c r="F5049" s="1">
        <f>IFERROR(__xludf.DUMMYFUNCTION("""COMPUTED_VALUE"""),2.12558E8)</f>
        <v>212558000</v>
      </c>
    </row>
    <row r="5050">
      <c r="A5050" s="2">
        <f>IFERROR(__xludf.DUMMYFUNCTION("""COMPUTED_VALUE"""),38691.666666666664)</f>
        <v>38691.66667</v>
      </c>
      <c r="B5050" s="1">
        <f>IFERROR(__xludf.DUMMYFUNCTION("""COMPUTED_VALUE"""),1265.08)</f>
        <v>1265.08</v>
      </c>
      <c r="C5050" s="1">
        <f>IFERROR(__xludf.DUMMYFUNCTION("""COMPUTED_VALUE"""),1265.08)</f>
        <v>1265.08</v>
      </c>
      <c r="D5050" s="1">
        <f>IFERROR(__xludf.DUMMYFUNCTION("""COMPUTED_VALUE"""),1258.12)</f>
        <v>1258.12</v>
      </c>
      <c r="E5050" s="1">
        <f>IFERROR(__xludf.DUMMYFUNCTION("""COMPUTED_VALUE"""),1262.09)</f>
        <v>1262.09</v>
      </c>
      <c r="F5050" s="1">
        <f>IFERROR(__xludf.DUMMYFUNCTION("""COMPUTED_VALUE"""),2.32584E8)</f>
        <v>232584000</v>
      </c>
    </row>
    <row r="5051">
      <c r="A5051" s="2">
        <f>IFERROR(__xludf.DUMMYFUNCTION("""COMPUTED_VALUE"""),38692.666666666664)</f>
        <v>38692.66667</v>
      </c>
      <c r="B5051" s="1">
        <f>IFERROR(__xludf.DUMMYFUNCTION("""COMPUTED_VALUE"""),1262.09)</f>
        <v>1262.09</v>
      </c>
      <c r="C5051" s="1">
        <f>IFERROR(__xludf.DUMMYFUNCTION("""COMPUTED_VALUE"""),1272.89)</f>
        <v>1272.89</v>
      </c>
      <c r="D5051" s="1">
        <f>IFERROR(__xludf.DUMMYFUNCTION("""COMPUTED_VALUE"""),1262.09)</f>
        <v>1262.09</v>
      </c>
      <c r="E5051" s="1">
        <f>IFERROR(__xludf.DUMMYFUNCTION("""COMPUTED_VALUE"""),1263.7)</f>
        <v>1263.7</v>
      </c>
      <c r="F5051" s="1">
        <f>IFERROR(__xludf.DUMMYFUNCTION("""COMPUTED_VALUE"""),2.11074E8)</f>
        <v>211074000</v>
      </c>
    </row>
    <row r="5052">
      <c r="A5052" s="2">
        <f>IFERROR(__xludf.DUMMYFUNCTION("""COMPUTED_VALUE"""),38693.666666666664)</f>
        <v>38693.66667</v>
      </c>
      <c r="B5052" s="1">
        <f>IFERROR(__xludf.DUMMYFUNCTION("""COMPUTED_VALUE"""),1263.7)</f>
        <v>1263.7</v>
      </c>
      <c r="C5052" s="1">
        <f>IFERROR(__xludf.DUMMYFUNCTION("""COMPUTED_VALUE"""),1264.85)</f>
        <v>1264.85</v>
      </c>
      <c r="D5052" s="1">
        <f>IFERROR(__xludf.DUMMYFUNCTION("""COMPUTED_VALUE"""),1253.02)</f>
        <v>1253.02</v>
      </c>
      <c r="E5052" s="1">
        <f>IFERROR(__xludf.DUMMYFUNCTION("""COMPUTED_VALUE"""),1257.37)</f>
        <v>1257.37</v>
      </c>
      <c r="F5052" s="1">
        <f>IFERROR(__xludf.DUMMYFUNCTION("""COMPUTED_VALUE"""),2.09383008E8)</f>
        <v>209383008</v>
      </c>
    </row>
    <row r="5053">
      <c r="A5053" s="2">
        <f>IFERROR(__xludf.DUMMYFUNCTION("""COMPUTED_VALUE"""),38694.666666666664)</f>
        <v>38694.66667</v>
      </c>
      <c r="B5053" s="1">
        <f>IFERROR(__xludf.DUMMYFUNCTION("""COMPUTED_VALUE"""),1257.37)</f>
        <v>1257.37</v>
      </c>
      <c r="C5053" s="1">
        <f>IFERROR(__xludf.DUMMYFUNCTION("""COMPUTED_VALUE"""),1263.36)</f>
        <v>1263.36</v>
      </c>
      <c r="D5053" s="1">
        <f>IFERROR(__xludf.DUMMYFUNCTION("""COMPUTED_VALUE"""),1250.91)</f>
        <v>1250.91</v>
      </c>
      <c r="E5053" s="1">
        <f>IFERROR(__xludf.DUMMYFUNCTION("""COMPUTED_VALUE"""),1255.84)</f>
        <v>1255.84</v>
      </c>
      <c r="F5053" s="1">
        <f>IFERROR(__xludf.DUMMYFUNCTION("""COMPUTED_VALUE"""),2.1783E8)</f>
        <v>217830000</v>
      </c>
    </row>
    <row r="5054">
      <c r="A5054" s="2">
        <f>IFERROR(__xludf.DUMMYFUNCTION("""COMPUTED_VALUE"""),38695.666666666664)</f>
        <v>38695.66667</v>
      </c>
      <c r="B5054" s="1">
        <f>IFERROR(__xludf.DUMMYFUNCTION("""COMPUTED_VALUE"""),1255.84)</f>
        <v>1255.84</v>
      </c>
      <c r="C5054" s="1">
        <f>IFERROR(__xludf.DUMMYFUNCTION("""COMPUTED_VALUE"""),1263.08)</f>
        <v>1263.08</v>
      </c>
      <c r="D5054" s="1">
        <f>IFERROR(__xludf.DUMMYFUNCTION("""COMPUTED_VALUE"""),1254.24)</f>
        <v>1254.24</v>
      </c>
      <c r="E5054" s="1">
        <f>IFERROR(__xludf.DUMMYFUNCTION("""COMPUTED_VALUE"""),1259.37)</f>
        <v>1259.37</v>
      </c>
      <c r="F5054" s="1">
        <f>IFERROR(__xludf.DUMMYFUNCTION("""COMPUTED_VALUE"""),1.89628992E8)</f>
        <v>189628992</v>
      </c>
    </row>
    <row r="5055">
      <c r="A5055" s="2">
        <f>IFERROR(__xludf.DUMMYFUNCTION("""COMPUTED_VALUE"""),38698.666666666664)</f>
        <v>38698.66667</v>
      </c>
      <c r="B5055" s="1">
        <f>IFERROR(__xludf.DUMMYFUNCTION("""COMPUTED_VALUE"""),1259.37)</f>
        <v>1259.37</v>
      </c>
      <c r="C5055" s="1">
        <f>IFERROR(__xludf.DUMMYFUNCTION("""COMPUTED_VALUE"""),1263.86)</f>
        <v>1263.86</v>
      </c>
      <c r="D5055" s="1">
        <f>IFERROR(__xludf.DUMMYFUNCTION("""COMPUTED_VALUE"""),1255.52)</f>
        <v>1255.52</v>
      </c>
      <c r="E5055" s="1">
        <f>IFERROR(__xludf.DUMMYFUNCTION("""COMPUTED_VALUE"""),1260.43)</f>
        <v>1260.43</v>
      </c>
      <c r="F5055" s="1">
        <f>IFERROR(__xludf.DUMMYFUNCTION("""COMPUTED_VALUE"""),1.87655008E8)</f>
        <v>187655008</v>
      </c>
    </row>
    <row r="5056">
      <c r="A5056" s="2">
        <f>IFERROR(__xludf.DUMMYFUNCTION("""COMPUTED_VALUE"""),38699.666666666664)</f>
        <v>38699.66667</v>
      </c>
      <c r="B5056" s="1">
        <f>IFERROR(__xludf.DUMMYFUNCTION("""COMPUTED_VALUE"""),1260.43)</f>
        <v>1260.43</v>
      </c>
      <c r="C5056" s="1">
        <f>IFERROR(__xludf.DUMMYFUNCTION("""COMPUTED_VALUE"""),1272.11)</f>
        <v>1272.11</v>
      </c>
      <c r="D5056" s="1">
        <f>IFERROR(__xludf.DUMMYFUNCTION("""COMPUTED_VALUE"""),1258.56)</f>
        <v>1258.56</v>
      </c>
      <c r="E5056" s="1">
        <f>IFERROR(__xludf.DUMMYFUNCTION("""COMPUTED_VALUE"""),1267.43)</f>
        <v>1267.43</v>
      </c>
      <c r="F5056" s="1">
        <f>IFERROR(__xludf.DUMMYFUNCTION("""COMPUTED_VALUE"""),2.39002E8)</f>
        <v>239002000</v>
      </c>
    </row>
    <row r="5057">
      <c r="A5057" s="2">
        <f>IFERROR(__xludf.DUMMYFUNCTION("""COMPUTED_VALUE"""),38700.666666666664)</f>
        <v>38700.66667</v>
      </c>
      <c r="B5057" s="1">
        <f>IFERROR(__xludf.DUMMYFUNCTION("""COMPUTED_VALUE"""),1267.43)</f>
        <v>1267.43</v>
      </c>
      <c r="C5057" s="1">
        <f>IFERROR(__xludf.DUMMYFUNCTION("""COMPUTED_VALUE"""),1275.8)</f>
        <v>1275.8</v>
      </c>
      <c r="D5057" s="1">
        <f>IFERROR(__xludf.DUMMYFUNCTION("""COMPUTED_VALUE"""),1267.07)</f>
        <v>1267.07</v>
      </c>
      <c r="E5057" s="1">
        <f>IFERROR(__xludf.DUMMYFUNCTION("""COMPUTED_VALUE"""),1272.74)</f>
        <v>1272.74</v>
      </c>
      <c r="F5057" s="1">
        <f>IFERROR(__xludf.DUMMYFUNCTION("""COMPUTED_VALUE"""),2.14552E8)</f>
        <v>214552000</v>
      </c>
    </row>
    <row r="5058">
      <c r="A5058" s="2">
        <f>IFERROR(__xludf.DUMMYFUNCTION("""COMPUTED_VALUE"""),38701.666666666664)</f>
        <v>38701.66667</v>
      </c>
      <c r="B5058" s="1">
        <f>IFERROR(__xludf.DUMMYFUNCTION("""COMPUTED_VALUE"""),1272.74)</f>
        <v>1272.74</v>
      </c>
      <c r="C5058" s="1">
        <f>IFERROR(__xludf.DUMMYFUNCTION("""COMPUTED_VALUE"""),1275.17)</f>
        <v>1275.17</v>
      </c>
      <c r="D5058" s="1">
        <f>IFERROR(__xludf.DUMMYFUNCTION("""COMPUTED_VALUE"""),1267.86)</f>
        <v>1267.86</v>
      </c>
      <c r="E5058" s="1">
        <f>IFERROR(__xludf.DUMMYFUNCTION("""COMPUTED_VALUE"""),1270.94)</f>
        <v>1270.94</v>
      </c>
      <c r="F5058" s="1">
        <f>IFERROR(__xludf.DUMMYFUNCTION("""COMPUTED_VALUE"""),2.18059008E8)</f>
        <v>218059008</v>
      </c>
    </row>
    <row r="5059">
      <c r="A5059" s="2">
        <f>IFERROR(__xludf.DUMMYFUNCTION("""COMPUTED_VALUE"""),38702.666666666664)</f>
        <v>38702.66667</v>
      </c>
      <c r="B5059" s="1">
        <f>IFERROR(__xludf.DUMMYFUNCTION("""COMPUTED_VALUE"""),1270.94)</f>
        <v>1270.94</v>
      </c>
      <c r="C5059" s="1">
        <f>IFERROR(__xludf.DUMMYFUNCTION("""COMPUTED_VALUE"""),1275.24)</f>
        <v>1275.24</v>
      </c>
      <c r="D5059" s="1">
        <f>IFERROR(__xludf.DUMMYFUNCTION("""COMPUTED_VALUE"""),1267.32)</f>
        <v>1267.32</v>
      </c>
      <c r="E5059" s="1">
        <f>IFERROR(__xludf.DUMMYFUNCTION("""COMPUTED_VALUE"""),1267.32)</f>
        <v>1267.32</v>
      </c>
      <c r="F5059" s="1">
        <f>IFERROR(__xludf.DUMMYFUNCTION("""COMPUTED_VALUE"""),2.58419008E8)</f>
        <v>258419008</v>
      </c>
    </row>
    <row r="5060">
      <c r="A5060" s="2">
        <f>IFERROR(__xludf.DUMMYFUNCTION("""COMPUTED_VALUE"""),38705.666666666664)</f>
        <v>38705.66667</v>
      </c>
      <c r="B5060" s="1">
        <f>IFERROR(__xludf.DUMMYFUNCTION("""COMPUTED_VALUE"""),1267.32)</f>
        <v>1267.32</v>
      </c>
      <c r="C5060" s="1">
        <f>IFERROR(__xludf.DUMMYFUNCTION("""COMPUTED_VALUE"""),1270.51)</f>
        <v>1270.51</v>
      </c>
      <c r="D5060" s="1">
        <f>IFERROR(__xludf.DUMMYFUNCTION("""COMPUTED_VALUE"""),1259.28)</f>
        <v>1259.28</v>
      </c>
      <c r="E5060" s="1">
        <f>IFERROR(__xludf.DUMMYFUNCTION("""COMPUTED_VALUE"""),1259.92)</f>
        <v>1259.92</v>
      </c>
      <c r="F5060" s="1">
        <f>IFERROR(__xludf.DUMMYFUNCTION("""COMPUTED_VALUE"""),2.20880992E8)</f>
        <v>220880992</v>
      </c>
    </row>
    <row r="5061">
      <c r="A5061" s="2">
        <f>IFERROR(__xludf.DUMMYFUNCTION("""COMPUTED_VALUE"""),38706.666666666664)</f>
        <v>38706.66667</v>
      </c>
      <c r="B5061" s="1">
        <f>IFERROR(__xludf.DUMMYFUNCTION("""COMPUTED_VALUE"""),1259.92)</f>
        <v>1259.92</v>
      </c>
      <c r="C5061" s="1">
        <f>IFERROR(__xludf.DUMMYFUNCTION("""COMPUTED_VALUE"""),1263.86)</f>
        <v>1263.86</v>
      </c>
      <c r="D5061" s="1">
        <f>IFERROR(__xludf.DUMMYFUNCTION("""COMPUTED_VALUE"""),1257.21)</f>
        <v>1257.21</v>
      </c>
      <c r="E5061" s="1">
        <f>IFERROR(__xludf.DUMMYFUNCTION("""COMPUTED_VALUE"""),1259.62)</f>
        <v>1259.62</v>
      </c>
      <c r="F5061" s="1">
        <f>IFERROR(__xludf.DUMMYFUNCTION("""COMPUTED_VALUE"""),1.99668992E8)</f>
        <v>199668992</v>
      </c>
    </row>
    <row r="5062">
      <c r="A5062" s="2">
        <f>IFERROR(__xludf.DUMMYFUNCTION("""COMPUTED_VALUE"""),38707.666666666664)</f>
        <v>38707.66667</v>
      </c>
      <c r="B5062" s="1">
        <f>IFERROR(__xludf.DUMMYFUNCTION("""COMPUTED_VALUE"""),1259.62)</f>
        <v>1259.62</v>
      </c>
      <c r="C5062" s="1">
        <f>IFERROR(__xludf.DUMMYFUNCTION("""COMPUTED_VALUE"""),1269.37)</f>
        <v>1269.37</v>
      </c>
      <c r="D5062" s="1">
        <f>IFERROR(__xludf.DUMMYFUNCTION("""COMPUTED_VALUE"""),1259.62)</f>
        <v>1259.62</v>
      </c>
      <c r="E5062" s="1">
        <f>IFERROR(__xludf.DUMMYFUNCTION("""COMPUTED_VALUE"""),1262.79)</f>
        <v>1262.79</v>
      </c>
      <c r="F5062" s="1">
        <f>IFERROR(__xludf.DUMMYFUNCTION("""COMPUTED_VALUE"""),2.06516992E8)</f>
        <v>206516992</v>
      </c>
    </row>
    <row r="5063">
      <c r="A5063" s="2">
        <f>IFERROR(__xludf.DUMMYFUNCTION("""COMPUTED_VALUE"""),38708.666666666664)</f>
        <v>38708.66667</v>
      </c>
      <c r="B5063" s="1">
        <f>IFERROR(__xludf.DUMMYFUNCTION("""COMPUTED_VALUE"""),1262.79)</f>
        <v>1262.79</v>
      </c>
      <c r="C5063" s="1">
        <f>IFERROR(__xludf.DUMMYFUNCTION("""COMPUTED_VALUE"""),1268.19)</f>
        <v>1268.19</v>
      </c>
      <c r="D5063" s="1">
        <f>IFERROR(__xludf.DUMMYFUNCTION("""COMPUTED_VALUE"""),1262.5)</f>
        <v>1262.5</v>
      </c>
      <c r="E5063" s="1">
        <f>IFERROR(__xludf.DUMMYFUNCTION("""COMPUTED_VALUE"""),1268.12)</f>
        <v>1268.12</v>
      </c>
      <c r="F5063" s="1">
        <f>IFERROR(__xludf.DUMMYFUNCTION("""COMPUTED_VALUE"""),1.8885E8)</f>
        <v>188850000</v>
      </c>
    </row>
    <row r="5064">
      <c r="A5064" s="2">
        <f>IFERROR(__xludf.DUMMYFUNCTION("""COMPUTED_VALUE"""),38709.666666666664)</f>
        <v>38709.66667</v>
      </c>
      <c r="B5064" s="1">
        <f>IFERROR(__xludf.DUMMYFUNCTION("""COMPUTED_VALUE"""),1268.12)</f>
        <v>1268.12</v>
      </c>
      <c r="C5064" s="1">
        <f>IFERROR(__xludf.DUMMYFUNCTION("""COMPUTED_VALUE"""),1269.76)</f>
        <v>1269.76</v>
      </c>
      <c r="D5064" s="1">
        <f>IFERROR(__xludf.DUMMYFUNCTION("""COMPUTED_VALUE"""),1265.92)</f>
        <v>1265.92</v>
      </c>
      <c r="E5064" s="1">
        <f>IFERROR(__xludf.DUMMYFUNCTION("""COMPUTED_VALUE"""),1268.66)</f>
        <v>1268.66</v>
      </c>
      <c r="F5064" s="1">
        <f>IFERROR(__xludf.DUMMYFUNCTION("""COMPUTED_VALUE"""),1.28581E8)</f>
        <v>128581000</v>
      </c>
    </row>
    <row r="5065">
      <c r="A5065" s="2">
        <f>IFERROR(__xludf.DUMMYFUNCTION("""COMPUTED_VALUE"""),38713.666666666664)</f>
        <v>38713.66667</v>
      </c>
      <c r="B5065" s="1">
        <f>IFERROR(__xludf.DUMMYFUNCTION("""COMPUTED_VALUE"""),1268.66)</f>
        <v>1268.66</v>
      </c>
      <c r="C5065" s="1">
        <f>IFERROR(__xludf.DUMMYFUNCTION("""COMPUTED_VALUE"""),1271.83)</f>
        <v>1271.83</v>
      </c>
      <c r="D5065" s="1">
        <f>IFERROR(__xludf.DUMMYFUNCTION("""COMPUTED_VALUE"""),1256.54)</f>
        <v>1256.54</v>
      </c>
      <c r="E5065" s="1">
        <f>IFERROR(__xludf.DUMMYFUNCTION("""COMPUTED_VALUE"""),1256.54)</f>
        <v>1256.54</v>
      </c>
      <c r="F5065" s="1">
        <f>IFERROR(__xludf.DUMMYFUNCTION("""COMPUTED_VALUE"""),1.54047008E8)</f>
        <v>154047008</v>
      </c>
    </row>
    <row r="5066">
      <c r="A5066" s="2">
        <f>IFERROR(__xludf.DUMMYFUNCTION("""COMPUTED_VALUE"""),38714.666666666664)</f>
        <v>38714.66667</v>
      </c>
      <c r="B5066" s="1">
        <f>IFERROR(__xludf.DUMMYFUNCTION("""COMPUTED_VALUE"""),1256.54)</f>
        <v>1256.54</v>
      </c>
      <c r="C5066" s="1">
        <f>IFERROR(__xludf.DUMMYFUNCTION("""COMPUTED_VALUE"""),1261.1)</f>
        <v>1261.1</v>
      </c>
      <c r="D5066" s="1">
        <f>IFERROR(__xludf.DUMMYFUNCTION("""COMPUTED_VALUE"""),1256.54)</f>
        <v>1256.54</v>
      </c>
      <c r="E5066" s="1">
        <f>IFERROR(__xludf.DUMMYFUNCTION("""COMPUTED_VALUE"""),1258.17)</f>
        <v>1258.17</v>
      </c>
      <c r="F5066" s="1">
        <f>IFERROR(__xludf.DUMMYFUNCTION("""COMPUTED_VALUE"""),1.42236E8)</f>
        <v>142236000</v>
      </c>
    </row>
    <row r="5067">
      <c r="A5067" s="2">
        <f>IFERROR(__xludf.DUMMYFUNCTION("""COMPUTED_VALUE"""),38715.666666666664)</f>
        <v>38715.66667</v>
      </c>
      <c r="B5067" s="1">
        <f>IFERROR(__xludf.DUMMYFUNCTION("""COMPUTED_VALUE"""),1258.17)</f>
        <v>1258.17</v>
      </c>
      <c r="C5067" s="1">
        <f>IFERROR(__xludf.DUMMYFUNCTION("""COMPUTED_VALUE"""),1260.61)</f>
        <v>1260.61</v>
      </c>
      <c r="D5067" s="1">
        <f>IFERROR(__xludf.DUMMYFUNCTION("""COMPUTED_VALUE"""),1254.18)</f>
        <v>1254.18</v>
      </c>
      <c r="E5067" s="1">
        <f>IFERROR(__xludf.DUMMYFUNCTION("""COMPUTED_VALUE"""),1254.42)</f>
        <v>1254.42</v>
      </c>
      <c r="F5067" s="1">
        <f>IFERROR(__xludf.DUMMYFUNCTION("""COMPUTED_VALUE"""),1.38254E8)</f>
        <v>138254000</v>
      </c>
    </row>
    <row r="5068">
      <c r="A5068" s="2">
        <f>IFERROR(__xludf.DUMMYFUNCTION("""COMPUTED_VALUE"""),38716.666666666664)</f>
        <v>38716.66667</v>
      </c>
      <c r="B5068" s="1">
        <f>IFERROR(__xludf.DUMMYFUNCTION("""COMPUTED_VALUE"""),1254.42)</f>
        <v>1254.42</v>
      </c>
      <c r="C5068" s="1">
        <f>IFERROR(__xludf.DUMMYFUNCTION("""COMPUTED_VALUE"""),1254.42)</f>
        <v>1254.42</v>
      </c>
      <c r="D5068" s="1">
        <f>IFERROR(__xludf.DUMMYFUNCTION("""COMPUTED_VALUE"""),1246.59)</f>
        <v>1246.59</v>
      </c>
      <c r="E5068" s="1">
        <f>IFERROR(__xludf.DUMMYFUNCTION("""COMPUTED_VALUE"""),1248.29)</f>
        <v>1248.29</v>
      </c>
      <c r="F5068" s="1">
        <f>IFERROR(__xludf.DUMMYFUNCTION("""COMPUTED_VALUE"""),1.4435E8)</f>
        <v>144350000</v>
      </c>
    </row>
    <row r="5069">
      <c r="A5069" s="2">
        <f>IFERROR(__xludf.DUMMYFUNCTION("""COMPUTED_VALUE"""),38720.666666666664)</f>
        <v>38720.66667</v>
      </c>
      <c r="B5069" s="1">
        <f>IFERROR(__xludf.DUMMYFUNCTION("""COMPUTED_VALUE"""),1248.29)</f>
        <v>1248.29</v>
      </c>
      <c r="C5069" s="1">
        <f>IFERROR(__xludf.DUMMYFUNCTION("""COMPUTED_VALUE"""),1270.22)</f>
        <v>1270.22</v>
      </c>
      <c r="D5069" s="1">
        <f>IFERROR(__xludf.DUMMYFUNCTION("""COMPUTED_VALUE"""),1245.77)</f>
        <v>1245.77</v>
      </c>
      <c r="E5069" s="1">
        <f>IFERROR(__xludf.DUMMYFUNCTION("""COMPUTED_VALUE"""),1268.8)</f>
        <v>1268.8</v>
      </c>
      <c r="F5069" s="1">
        <f>IFERROR(__xludf.DUMMYFUNCTION("""COMPUTED_VALUE"""),2.55456992E8)</f>
        <v>255456992</v>
      </c>
    </row>
    <row r="5070">
      <c r="A5070" s="2">
        <f>IFERROR(__xludf.DUMMYFUNCTION("""COMPUTED_VALUE"""),38721.666666666664)</f>
        <v>38721.66667</v>
      </c>
      <c r="B5070" s="1">
        <f>IFERROR(__xludf.DUMMYFUNCTION("""COMPUTED_VALUE"""),1268.8)</f>
        <v>1268.8</v>
      </c>
      <c r="C5070" s="1">
        <f>IFERROR(__xludf.DUMMYFUNCTION("""COMPUTED_VALUE"""),1275.37)</f>
        <v>1275.37</v>
      </c>
      <c r="D5070" s="1">
        <f>IFERROR(__xludf.DUMMYFUNCTION("""COMPUTED_VALUE"""),1267.74)</f>
        <v>1267.74</v>
      </c>
      <c r="E5070" s="1">
        <f>IFERROR(__xludf.DUMMYFUNCTION("""COMPUTED_VALUE"""),1273.46)</f>
        <v>1273.46</v>
      </c>
      <c r="F5070" s="1">
        <f>IFERROR(__xludf.DUMMYFUNCTION("""COMPUTED_VALUE"""),2.51532992E8)</f>
        <v>251532992</v>
      </c>
    </row>
    <row r="5071">
      <c r="A5071" s="2">
        <f>IFERROR(__xludf.DUMMYFUNCTION("""COMPUTED_VALUE"""),38722.666666666664)</f>
        <v>38722.66667</v>
      </c>
      <c r="B5071" s="1">
        <f>IFERROR(__xludf.DUMMYFUNCTION("""COMPUTED_VALUE"""),1273.46)</f>
        <v>1273.46</v>
      </c>
      <c r="C5071" s="1">
        <f>IFERROR(__xludf.DUMMYFUNCTION("""COMPUTED_VALUE"""),1276.83)</f>
        <v>1276.83</v>
      </c>
      <c r="D5071" s="1">
        <f>IFERROR(__xludf.DUMMYFUNCTION("""COMPUTED_VALUE"""),1270.3)</f>
        <v>1270.3</v>
      </c>
      <c r="E5071" s="1">
        <f>IFERROR(__xludf.DUMMYFUNCTION("""COMPUTED_VALUE"""),1273.48)</f>
        <v>1273.48</v>
      </c>
      <c r="F5071" s="1">
        <f>IFERROR(__xludf.DUMMYFUNCTION("""COMPUTED_VALUE"""),2.43334E8)</f>
        <v>243334000</v>
      </c>
    </row>
    <row r="5072">
      <c r="A5072" s="2">
        <f>IFERROR(__xludf.DUMMYFUNCTION("""COMPUTED_VALUE"""),38723.666666666664)</f>
        <v>38723.66667</v>
      </c>
      <c r="B5072" s="1">
        <f>IFERROR(__xludf.DUMMYFUNCTION("""COMPUTED_VALUE"""),1273.48)</f>
        <v>1273.48</v>
      </c>
      <c r="C5072" s="1">
        <f>IFERROR(__xludf.DUMMYFUNCTION("""COMPUTED_VALUE"""),1285.94)</f>
        <v>1285.94</v>
      </c>
      <c r="D5072" s="1">
        <f>IFERROR(__xludf.DUMMYFUNCTION("""COMPUTED_VALUE"""),1273.48)</f>
        <v>1273.48</v>
      </c>
      <c r="E5072" s="1">
        <f>IFERROR(__xludf.DUMMYFUNCTION("""COMPUTED_VALUE"""),1285.45)</f>
        <v>1285.45</v>
      </c>
      <c r="F5072" s="1">
        <f>IFERROR(__xludf.DUMMYFUNCTION("""COMPUTED_VALUE"""),2.44656E8)</f>
        <v>244656000</v>
      </c>
    </row>
    <row r="5073">
      <c r="A5073" s="2">
        <f>IFERROR(__xludf.DUMMYFUNCTION("""COMPUTED_VALUE"""),38726.666666666664)</f>
        <v>38726.66667</v>
      </c>
      <c r="B5073" s="1">
        <f>IFERROR(__xludf.DUMMYFUNCTION("""COMPUTED_VALUE"""),1285.45)</f>
        <v>1285.45</v>
      </c>
      <c r="C5073" s="1">
        <f>IFERROR(__xludf.DUMMYFUNCTION("""COMPUTED_VALUE"""),1290.78)</f>
        <v>1290.78</v>
      </c>
      <c r="D5073" s="1">
        <f>IFERROR(__xludf.DUMMYFUNCTION("""COMPUTED_VALUE"""),1284.82)</f>
        <v>1284.82</v>
      </c>
      <c r="E5073" s="1">
        <f>IFERROR(__xludf.DUMMYFUNCTION("""COMPUTED_VALUE"""),1290.15)</f>
        <v>1290.15</v>
      </c>
      <c r="F5073" s="1">
        <f>IFERROR(__xludf.DUMMYFUNCTION("""COMPUTED_VALUE"""),2.30148992E8)</f>
        <v>230148992</v>
      </c>
    </row>
    <row r="5074">
      <c r="A5074" s="2">
        <f>IFERROR(__xludf.DUMMYFUNCTION("""COMPUTED_VALUE"""),38727.666666666664)</f>
        <v>38727.66667</v>
      </c>
      <c r="B5074" s="1">
        <f>IFERROR(__xludf.DUMMYFUNCTION("""COMPUTED_VALUE"""),1290.15)</f>
        <v>1290.15</v>
      </c>
      <c r="C5074" s="1">
        <f>IFERROR(__xludf.DUMMYFUNCTION("""COMPUTED_VALUE"""),1290.15)</f>
        <v>1290.15</v>
      </c>
      <c r="D5074" s="1">
        <f>IFERROR(__xludf.DUMMYFUNCTION("""COMPUTED_VALUE"""),1283.76)</f>
        <v>1283.76</v>
      </c>
      <c r="E5074" s="1">
        <f>IFERROR(__xludf.DUMMYFUNCTION("""COMPUTED_VALUE"""),1289.69)</f>
        <v>1289.69</v>
      </c>
      <c r="F5074" s="1">
        <f>IFERROR(__xludf.DUMMYFUNCTION("""COMPUTED_VALUE"""),2.37308E8)</f>
        <v>237308000</v>
      </c>
    </row>
    <row r="5075">
      <c r="A5075" s="2">
        <f>IFERROR(__xludf.DUMMYFUNCTION("""COMPUTED_VALUE"""),38728.666666666664)</f>
        <v>38728.66667</v>
      </c>
      <c r="B5075" s="1">
        <f>IFERROR(__xludf.DUMMYFUNCTION("""COMPUTED_VALUE"""),1289.72)</f>
        <v>1289.72</v>
      </c>
      <c r="C5075" s="1">
        <f>IFERROR(__xludf.DUMMYFUNCTION("""COMPUTED_VALUE"""),1294.9)</f>
        <v>1294.9</v>
      </c>
      <c r="D5075" s="1">
        <f>IFERROR(__xludf.DUMMYFUNCTION("""COMPUTED_VALUE"""),1288.12)</f>
        <v>1288.12</v>
      </c>
      <c r="E5075" s="1">
        <f>IFERROR(__xludf.DUMMYFUNCTION("""COMPUTED_VALUE"""),1294.18)</f>
        <v>1294.18</v>
      </c>
      <c r="F5075" s="1">
        <f>IFERROR(__xludf.DUMMYFUNCTION("""COMPUTED_VALUE"""),2.40612992E8)</f>
        <v>240612992</v>
      </c>
    </row>
    <row r="5076">
      <c r="A5076" s="2">
        <f>IFERROR(__xludf.DUMMYFUNCTION("""COMPUTED_VALUE"""),38729.666666666664)</f>
        <v>38729.66667</v>
      </c>
      <c r="B5076" s="1">
        <f>IFERROR(__xludf.DUMMYFUNCTION("""COMPUTED_VALUE"""),1294.18)</f>
        <v>1294.18</v>
      </c>
      <c r="C5076" s="1">
        <f>IFERROR(__xludf.DUMMYFUNCTION("""COMPUTED_VALUE"""),1294.18)</f>
        <v>1294.18</v>
      </c>
      <c r="D5076" s="1">
        <f>IFERROR(__xludf.DUMMYFUNCTION("""COMPUTED_VALUE"""),1285.04)</f>
        <v>1285.04</v>
      </c>
      <c r="E5076" s="1">
        <f>IFERROR(__xludf.DUMMYFUNCTION("""COMPUTED_VALUE"""),1286.06)</f>
        <v>1286.06</v>
      </c>
      <c r="F5076" s="1">
        <f>IFERROR(__xludf.DUMMYFUNCTION("""COMPUTED_VALUE"""),2.31835008E8)</f>
        <v>231835008</v>
      </c>
    </row>
    <row r="5077">
      <c r="A5077" s="2">
        <f>IFERROR(__xludf.DUMMYFUNCTION("""COMPUTED_VALUE"""),38730.666666666664)</f>
        <v>38730.66667</v>
      </c>
      <c r="B5077" s="1">
        <f>IFERROR(__xludf.DUMMYFUNCTION("""COMPUTED_VALUE"""),1286.06)</f>
        <v>1286.06</v>
      </c>
      <c r="C5077" s="1">
        <f>IFERROR(__xludf.DUMMYFUNCTION("""COMPUTED_VALUE"""),1288.96)</f>
        <v>1288.96</v>
      </c>
      <c r="D5077" s="1">
        <f>IFERROR(__xludf.DUMMYFUNCTION("""COMPUTED_VALUE"""),1282.96)</f>
        <v>1282.96</v>
      </c>
      <c r="E5077" s="1">
        <f>IFERROR(__xludf.DUMMYFUNCTION("""COMPUTED_VALUE"""),1287.61)</f>
        <v>1287.61</v>
      </c>
      <c r="F5077" s="1">
        <f>IFERROR(__xludf.DUMMYFUNCTION("""COMPUTED_VALUE"""),2.20651008E8)</f>
        <v>220651008</v>
      </c>
    </row>
    <row r="5078">
      <c r="A5078" s="2">
        <f>IFERROR(__xludf.DUMMYFUNCTION("""COMPUTED_VALUE"""),38734.666666666664)</f>
        <v>38734.66667</v>
      </c>
      <c r="B5078" s="1">
        <f>IFERROR(__xludf.DUMMYFUNCTION("""COMPUTED_VALUE"""),1287.61)</f>
        <v>1287.61</v>
      </c>
      <c r="C5078" s="1">
        <f>IFERROR(__xludf.DUMMYFUNCTION("""COMPUTED_VALUE"""),1287.61)</f>
        <v>1287.61</v>
      </c>
      <c r="D5078" s="1">
        <f>IFERROR(__xludf.DUMMYFUNCTION("""COMPUTED_VALUE"""),1278.61)</f>
        <v>1278.61</v>
      </c>
      <c r="E5078" s="1">
        <f>IFERROR(__xludf.DUMMYFUNCTION("""COMPUTED_VALUE"""),1282.93)</f>
        <v>1282.93</v>
      </c>
      <c r="F5078" s="1">
        <f>IFERROR(__xludf.DUMMYFUNCTION("""COMPUTED_VALUE"""),2.17996992E8)</f>
        <v>217996992</v>
      </c>
    </row>
    <row r="5079">
      <c r="A5079" s="2">
        <f>IFERROR(__xludf.DUMMYFUNCTION("""COMPUTED_VALUE"""),38735.666666666664)</f>
        <v>38735.66667</v>
      </c>
      <c r="B5079" s="1">
        <f>IFERROR(__xludf.DUMMYFUNCTION("""COMPUTED_VALUE"""),1282.93)</f>
        <v>1282.93</v>
      </c>
      <c r="C5079" s="1">
        <f>IFERROR(__xludf.DUMMYFUNCTION("""COMPUTED_VALUE"""),1282.93)</f>
        <v>1282.93</v>
      </c>
      <c r="D5079" s="1">
        <f>IFERROR(__xludf.DUMMYFUNCTION("""COMPUTED_VALUE"""),1272.08)</f>
        <v>1272.08</v>
      </c>
      <c r="E5079" s="1">
        <f>IFERROR(__xludf.DUMMYFUNCTION("""COMPUTED_VALUE"""),1277.93)</f>
        <v>1277.93</v>
      </c>
      <c r="F5079" s="1">
        <f>IFERROR(__xludf.DUMMYFUNCTION("""COMPUTED_VALUE"""),2.2332E8)</f>
        <v>223320000</v>
      </c>
    </row>
    <row r="5080">
      <c r="A5080" s="2">
        <f>IFERROR(__xludf.DUMMYFUNCTION("""COMPUTED_VALUE"""),38736.666666666664)</f>
        <v>38736.66667</v>
      </c>
      <c r="B5080" s="1">
        <f>IFERROR(__xludf.DUMMYFUNCTION("""COMPUTED_VALUE"""),1277.93)</f>
        <v>1277.93</v>
      </c>
      <c r="C5080" s="1">
        <f>IFERROR(__xludf.DUMMYFUNCTION("""COMPUTED_VALUE"""),1287.79)</f>
        <v>1287.79</v>
      </c>
      <c r="D5080" s="1">
        <f>IFERROR(__xludf.DUMMYFUNCTION("""COMPUTED_VALUE"""),1277.93)</f>
        <v>1277.93</v>
      </c>
      <c r="E5080" s="1">
        <f>IFERROR(__xludf.DUMMYFUNCTION("""COMPUTED_VALUE"""),1285.04)</f>
        <v>1285.04</v>
      </c>
      <c r="F5080" s="1">
        <f>IFERROR(__xludf.DUMMYFUNCTION("""COMPUTED_VALUE"""),2.44402E8)</f>
        <v>244402000</v>
      </c>
    </row>
    <row r="5081">
      <c r="A5081" s="2">
        <f>IFERROR(__xludf.DUMMYFUNCTION("""COMPUTED_VALUE"""),38737.666666666664)</f>
        <v>38737.66667</v>
      </c>
      <c r="B5081" s="1">
        <f>IFERROR(__xludf.DUMMYFUNCTION("""COMPUTED_VALUE"""),1285.04)</f>
        <v>1285.04</v>
      </c>
      <c r="C5081" s="1">
        <f>IFERROR(__xludf.DUMMYFUNCTION("""COMPUTED_VALUE"""),1285.04)</f>
        <v>1285.04</v>
      </c>
      <c r="D5081" s="1">
        <f>IFERROR(__xludf.DUMMYFUNCTION("""COMPUTED_VALUE"""),1260.92)</f>
        <v>1260.92</v>
      </c>
      <c r="E5081" s="1">
        <f>IFERROR(__xludf.DUMMYFUNCTION("""COMPUTED_VALUE"""),1261.49)</f>
        <v>1261.49</v>
      </c>
      <c r="F5081" s="1">
        <f>IFERROR(__xludf.DUMMYFUNCTION("""COMPUTED_VALUE"""),2.84580992E8)</f>
        <v>284580992</v>
      </c>
    </row>
    <row r="5082">
      <c r="A5082" s="2">
        <f>IFERROR(__xludf.DUMMYFUNCTION("""COMPUTED_VALUE"""),38740.666666666664)</f>
        <v>38740.66667</v>
      </c>
      <c r="B5082" s="1">
        <f>IFERROR(__xludf.DUMMYFUNCTION("""COMPUTED_VALUE"""),1261.49)</f>
        <v>1261.49</v>
      </c>
      <c r="C5082" s="1">
        <f>IFERROR(__xludf.DUMMYFUNCTION("""COMPUTED_VALUE"""),1268.19)</f>
        <v>1268.19</v>
      </c>
      <c r="D5082" s="1">
        <f>IFERROR(__xludf.DUMMYFUNCTION("""COMPUTED_VALUE"""),1261.49)</f>
        <v>1261.49</v>
      </c>
      <c r="E5082" s="1">
        <f>IFERROR(__xludf.DUMMYFUNCTION("""COMPUTED_VALUE"""),1263.82)</f>
        <v>1263.82</v>
      </c>
      <c r="F5082" s="1">
        <f>IFERROR(__xludf.DUMMYFUNCTION("""COMPUTED_VALUE"""),2.25607008E8)</f>
        <v>225607008</v>
      </c>
    </row>
    <row r="5083">
      <c r="A5083" s="2">
        <f>IFERROR(__xludf.DUMMYFUNCTION("""COMPUTED_VALUE"""),38741.666666666664)</f>
        <v>38741.66667</v>
      </c>
      <c r="B5083" s="1">
        <f>IFERROR(__xludf.DUMMYFUNCTION("""COMPUTED_VALUE"""),1263.82)</f>
        <v>1263.82</v>
      </c>
      <c r="C5083" s="1">
        <f>IFERROR(__xludf.DUMMYFUNCTION("""COMPUTED_VALUE"""),1271.47)</f>
        <v>1271.47</v>
      </c>
      <c r="D5083" s="1">
        <f>IFERROR(__xludf.DUMMYFUNCTION("""COMPUTED_VALUE"""),1263.82)</f>
        <v>1263.82</v>
      </c>
      <c r="E5083" s="1">
        <f>IFERROR(__xludf.DUMMYFUNCTION("""COMPUTED_VALUE"""),1266.86)</f>
        <v>1266.86</v>
      </c>
      <c r="F5083" s="1">
        <f>IFERROR(__xludf.DUMMYFUNCTION("""COMPUTED_VALUE"""),2.60872E8)</f>
        <v>260872000</v>
      </c>
    </row>
    <row r="5084">
      <c r="A5084" s="2">
        <f>IFERROR(__xludf.DUMMYFUNCTION("""COMPUTED_VALUE"""),38742.666666666664)</f>
        <v>38742.66667</v>
      </c>
      <c r="B5084" s="1">
        <f>IFERROR(__xludf.DUMMYFUNCTION("""COMPUTED_VALUE"""),1266.86)</f>
        <v>1266.86</v>
      </c>
      <c r="C5084" s="1">
        <f>IFERROR(__xludf.DUMMYFUNCTION("""COMPUTED_VALUE"""),1271.87)</f>
        <v>1271.87</v>
      </c>
      <c r="D5084" s="1">
        <f>IFERROR(__xludf.DUMMYFUNCTION("""COMPUTED_VALUE"""),1259.42)</f>
        <v>1259.42</v>
      </c>
      <c r="E5084" s="1">
        <f>IFERROR(__xludf.DUMMYFUNCTION("""COMPUTED_VALUE"""),1264.68)</f>
        <v>1264.68</v>
      </c>
      <c r="F5084" s="1">
        <f>IFERROR(__xludf.DUMMYFUNCTION("""COMPUTED_VALUE"""),2.61706E8)</f>
        <v>261706000</v>
      </c>
    </row>
    <row r="5085">
      <c r="A5085" s="2">
        <f>IFERROR(__xludf.DUMMYFUNCTION("""COMPUTED_VALUE"""),38743.666666666664)</f>
        <v>38743.66667</v>
      </c>
      <c r="B5085" s="1">
        <f>IFERROR(__xludf.DUMMYFUNCTION("""COMPUTED_VALUE"""),1264.68)</f>
        <v>1264.68</v>
      </c>
      <c r="C5085" s="1">
        <f>IFERROR(__xludf.DUMMYFUNCTION("""COMPUTED_VALUE"""),1276.44)</f>
        <v>1276.44</v>
      </c>
      <c r="D5085" s="1">
        <f>IFERROR(__xludf.DUMMYFUNCTION("""COMPUTED_VALUE"""),1264.68)</f>
        <v>1264.68</v>
      </c>
      <c r="E5085" s="1">
        <f>IFERROR(__xludf.DUMMYFUNCTION("""COMPUTED_VALUE"""),1273.83)</f>
        <v>1273.83</v>
      </c>
      <c r="F5085" s="1">
        <f>IFERROR(__xludf.DUMMYFUNCTION("""COMPUTED_VALUE"""),2.85678016E8)</f>
        <v>285678016</v>
      </c>
    </row>
    <row r="5086">
      <c r="A5086" s="2">
        <f>IFERROR(__xludf.DUMMYFUNCTION("""COMPUTED_VALUE"""),38744.666666666664)</f>
        <v>38744.66667</v>
      </c>
      <c r="B5086" s="1">
        <f>IFERROR(__xludf.DUMMYFUNCTION("""COMPUTED_VALUE"""),1273.83)</f>
        <v>1273.83</v>
      </c>
      <c r="C5086" s="1">
        <f>IFERROR(__xludf.DUMMYFUNCTION("""COMPUTED_VALUE"""),1286.38)</f>
        <v>1286.38</v>
      </c>
      <c r="D5086" s="1">
        <f>IFERROR(__xludf.DUMMYFUNCTION("""COMPUTED_VALUE"""),1273.83)</f>
        <v>1273.83</v>
      </c>
      <c r="E5086" s="1">
        <f>IFERROR(__xludf.DUMMYFUNCTION("""COMPUTED_VALUE"""),1283.72)</f>
        <v>1283.72</v>
      </c>
      <c r="F5086" s="1">
        <f>IFERROR(__xludf.DUMMYFUNCTION("""COMPUTED_VALUE"""),2.62362E8)</f>
        <v>262362000</v>
      </c>
    </row>
    <row r="5087">
      <c r="A5087" s="2">
        <f>IFERROR(__xludf.DUMMYFUNCTION("""COMPUTED_VALUE"""),38747.666666666664)</f>
        <v>38747.66667</v>
      </c>
      <c r="B5087" s="1">
        <f>IFERROR(__xludf.DUMMYFUNCTION("""COMPUTED_VALUE"""),1283.72)</f>
        <v>1283.72</v>
      </c>
      <c r="C5087" s="1">
        <f>IFERROR(__xludf.DUMMYFUNCTION("""COMPUTED_VALUE"""),1287.94)</f>
        <v>1287.94</v>
      </c>
      <c r="D5087" s="1">
        <f>IFERROR(__xludf.DUMMYFUNCTION("""COMPUTED_VALUE"""),1283.51)</f>
        <v>1283.51</v>
      </c>
      <c r="E5087" s="1">
        <f>IFERROR(__xludf.DUMMYFUNCTION("""COMPUTED_VALUE"""),1285.2)</f>
        <v>1285.2</v>
      </c>
      <c r="F5087" s="1">
        <f>IFERROR(__xludf.DUMMYFUNCTION("""COMPUTED_VALUE"""),2.28272992E8)</f>
        <v>228272992</v>
      </c>
    </row>
    <row r="5088">
      <c r="A5088" s="2">
        <f>IFERROR(__xludf.DUMMYFUNCTION("""COMPUTED_VALUE"""),38748.666666666664)</f>
        <v>38748.66667</v>
      </c>
      <c r="B5088" s="1">
        <f>IFERROR(__xludf.DUMMYFUNCTION("""COMPUTED_VALUE"""),1285.2)</f>
        <v>1285.2</v>
      </c>
      <c r="C5088" s="1">
        <f>IFERROR(__xludf.DUMMYFUNCTION("""COMPUTED_VALUE"""),1285.2)</f>
        <v>1285.2</v>
      </c>
      <c r="D5088" s="1">
        <f>IFERROR(__xludf.DUMMYFUNCTION("""COMPUTED_VALUE"""),1276.85)</f>
        <v>1276.85</v>
      </c>
      <c r="E5088" s="1">
        <f>IFERROR(__xludf.DUMMYFUNCTION("""COMPUTED_VALUE"""),1280.08)</f>
        <v>1280.08</v>
      </c>
      <c r="F5088" s="1">
        <f>IFERROR(__xludf.DUMMYFUNCTION("""COMPUTED_VALUE"""),2.70831008E8)</f>
        <v>270831008</v>
      </c>
    </row>
    <row r="5089">
      <c r="A5089" s="2">
        <f>IFERROR(__xludf.DUMMYFUNCTION("""COMPUTED_VALUE"""),38749.666666666664)</f>
        <v>38749.66667</v>
      </c>
      <c r="B5089" s="1">
        <f>IFERROR(__xludf.DUMMYFUNCTION("""COMPUTED_VALUE"""),1280.08)</f>
        <v>1280.08</v>
      </c>
      <c r="C5089" s="1">
        <f>IFERROR(__xludf.DUMMYFUNCTION("""COMPUTED_VALUE"""),1283.33)</f>
        <v>1283.33</v>
      </c>
      <c r="D5089" s="1">
        <f>IFERROR(__xludf.DUMMYFUNCTION("""COMPUTED_VALUE"""),1277.57)</f>
        <v>1277.57</v>
      </c>
      <c r="E5089" s="1">
        <f>IFERROR(__xludf.DUMMYFUNCTION("""COMPUTED_VALUE"""),1282.46)</f>
        <v>1282.46</v>
      </c>
      <c r="F5089" s="1">
        <f>IFERROR(__xludf.DUMMYFUNCTION("""COMPUTED_VALUE"""),2.58940992E8)</f>
        <v>258940992</v>
      </c>
    </row>
    <row r="5090">
      <c r="A5090" s="2">
        <f>IFERROR(__xludf.DUMMYFUNCTION("""COMPUTED_VALUE"""),38750.666666666664)</f>
        <v>38750.66667</v>
      </c>
      <c r="B5090" s="1">
        <f>IFERROR(__xludf.DUMMYFUNCTION("""COMPUTED_VALUE"""),1282.46)</f>
        <v>1282.46</v>
      </c>
      <c r="C5090" s="1">
        <f>IFERROR(__xludf.DUMMYFUNCTION("""COMPUTED_VALUE"""),1282.46)</f>
        <v>1282.46</v>
      </c>
      <c r="D5090" s="1">
        <f>IFERROR(__xludf.DUMMYFUNCTION("""COMPUTED_VALUE"""),1267.72)</f>
        <v>1267.72</v>
      </c>
      <c r="E5090" s="1">
        <f>IFERROR(__xludf.DUMMYFUNCTION("""COMPUTED_VALUE"""),1270.84)</f>
        <v>1270.84</v>
      </c>
      <c r="F5090" s="1">
        <f>IFERROR(__xludf.DUMMYFUNCTION("""COMPUTED_VALUE"""),2.5653E8)</f>
        <v>256530000</v>
      </c>
    </row>
    <row r="5091">
      <c r="A5091" s="2">
        <f>IFERROR(__xludf.DUMMYFUNCTION("""COMPUTED_VALUE"""),38751.666666666664)</f>
        <v>38751.66667</v>
      </c>
      <c r="B5091" s="1">
        <f>IFERROR(__xludf.DUMMYFUNCTION("""COMPUTED_VALUE"""),1270.84)</f>
        <v>1270.84</v>
      </c>
      <c r="C5091" s="1">
        <f>IFERROR(__xludf.DUMMYFUNCTION("""COMPUTED_VALUE"""),1270.87)</f>
        <v>1270.87</v>
      </c>
      <c r="D5091" s="1">
        <f>IFERROR(__xludf.DUMMYFUNCTION("""COMPUTED_VALUE"""),1261.02)</f>
        <v>1261.02</v>
      </c>
      <c r="E5091" s="1">
        <f>IFERROR(__xludf.DUMMYFUNCTION("""COMPUTED_VALUE"""),1264.03)</f>
        <v>1264.03</v>
      </c>
      <c r="F5091" s="1">
        <f>IFERROR(__xludf.DUMMYFUNCTION("""COMPUTED_VALUE"""),2.28220992E8)</f>
        <v>228220992</v>
      </c>
    </row>
    <row r="5092">
      <c r="A5092" s="2">
        <f>IFERROR(__xludf.DUMMYFUNCTION("""COMPUTED_VALUE"""),38754.666666666664)</f>
        <v>38754.66667</v>
      </c>
      <c r="B5092" s="1">
        <f>IFERROR(__xludf.DUMMYFUNCTION("""COMPUTED_VALUE"""),1264.03)</f>
        <v>1264.03</v>
      </c>
      <c r="C5092" s="1">
        <f>IFERROR(__xludf.DUMMYFUNCTION("""COMPUTED_VALUE"""),1267.04)</f>
        <v>1267.04</v>
      </c>
      <c r="D5092" s="1">
        <f>IFERROR(__xludf.DUMMYFUNCTION("""COMPUTED_VALUE"""),1261.62)</f>
        <v>1261.62</v>
      </c>
      <c r="E5092" s="1">
        <f>IFERROR(__xludf.DUMMYFUNCTION("""COMPUTED_VALUE"""),1265.02)</f>
        <v>1265.02</v>
      </c>
      <c r="F5092" s="1">
        <f>IFERROR(__xludf.DUMMYFUNCTION("""COMPUTED_VALUE"""),2.13236E8)</f>
        <v>213236000</v>
      </c>
    </row>
    <row r="5093">
      <c r="A5093" s="2">
        <f>IFERROR(__xludf.DUMMYFUNCTION("""COMPUTED_VALUE"""),38755.666666666664)</f>
        <v>38755.66667</v>
      </c>
      <c r="B5093" s="1">
        <f>IFERROR(__xludf.DUMMYFUNCTION("""COMPUTED_VALUE"""),1265.02)</f>
        <v>1265.02</v>
      </c>
      <c r="C5093" s="1">
        <f>IFERROR(__xludf.DUMMYFUNCTION("""COMPUTED_VALUE"""),1265.78)</f>
        <v>1265.78</v>
      </c>
      <c r="D5093" s="1">
        <f>IFERROR(__xludf.DUMMYFUNCTION("""COMPUTED_VALUE"""),1253.61)</f>
        <v>1253.61</v>
      </c>
      <c r="E5093" s="1">
        <f>IFERROR(__xludf.DUMMYFUNCTION("""COMPUTED_VALUE"""),1254.78)</f>
        <v>1254.78</v>
      </c>
      <c r="F5093" s="1">
        <f>IFERROR(__xludf.DUMMYFUNCTION("""COMPUTED_VALUE"""),2.36636992E8)</f>
        <v>236636992</v>
      </c>
    </row>
    <row r="5094">
      <c r="A5094" s="2">
        <f>IFERROR(__xludf.DUMMYFUNCTION("""COMPUTED_VALUE"""),38756.666666666664)</f>
        <v>38756.66667</v>
      </c>
      <c r="B5094" s="1">
        <f>IFERROR(__xludf.DUMMYFUNCTION("""COMPUTED_VALUE"""),1254.78)</f>
        <v>1254.78</v>
      </c>
      <c r="C5094" s="1">
        <f>IFERROR(__xludf.DUMMYFUNCTION("""COMPUTED_VALUE"""),1266.47)</f>
        <v>1266.47</v>
      </c>
      <c r="D5094" s="1">
        <f>IFERROR(__xludf.DUMMYFUNCTION("""COMPUTED_VALUE"""),1254.78)</f>
        <v>1254.78</v>
      </c>
      <c r="E5094" s="1">
        <f>IFERROR(__xludf.DUMMYFUNCTION("""COMPUTED_VALUE"""),1265.65)</f>
        <v>1265.65</v>
      </c>
      <c r="F5094" s="1">
        <f>IFERROR(__xludf.DUMMYFUNCTION("""COMPUTED_VALUE"""),2.45686E8)</f>
        <v>245686000</v>
      </c>
    </row>
    <row r="5095">
      <c r="A5095" s="2">
        <f>IFERROR(__xludf.DUMMYFUNCTION("""COMPUTED_VALUE"""),38757.666666666664)</f>
        <v>38757.66667</v>
      </c>
      <c r="B5095" s="1">
        <f>IFERROR(__xludf.DUMMYFUNCTION("""COMPUTED_VALUE"""),1265.65)</f>
        <v>1265.65</v>
      </c>
      <c r="C5095" s="1">
        <f>IFERROR(__xludf.DUMMYFUNCTION("""COMPUTED_VALUE"""),1274.56)</f>
        <v>1274.56</v>
      </c>
      <c r="D5095" s="1">
        <f>IFERROR(__xludf.DUMMYFUNCTION("""COMPUTED_VALUE"""),1262.8)</f>
        <v>1262.8</v>
      </c>
      <c r="E5095" s="1">
        <f>IFERROR(__xludf.DUMMYFUNCTION("""COMPUTED_VALUE"""),1263.78)</f>
        <v>1263.78</v>
      </c>
      <c r="F5095" s="1">
        <f>IFERROR(__xludf.DUMMYFUNCTION("""COMPUTED_VALUE"""),2.44192E8)</f>
        <v>244192000</v>
      </c>
    </row>
    <row r="5096">
      <c r="A5096" s="2">
        <f>IFERROR(__xludf.DUMMYFUNCTION("""COMPUTED_VALUE"""),38758.666666666664)</f>
        <v>38758.66667</v>
      </c>
      <c r="B5096" s="1">
        <f>IFERROR(__xludf.DUMMYFUNCTION("""COMPUTED_VALUE"""),1263.82)</f>
        <v>1263.82</v>
      </c>
      <c r="C5096" s="1">
        <f>IFERROR(__xludf.DUMMYFUNCTION("""COMPUTED_VALUE"""),1269.59)</f>
        <v>1269.59</v>
      </c>
      <c r="D5096" s="1">
        <f>IFERROR(__xludf.DUMMYFUNCTION("""COMPUTED_VALUE"""),1255.04)</f>
        <v>1255.04</v>
      </c>
      <c r="E5096" s="1">
        <f>IFERROR(__xludf.DUMMYFUNCTION("""COMPUTED_VALUE"""),1266.99)</f>
        <v>1266.99</v>
      </c>
      <c r="F5096" s="1">
        <f>IFERROR(__xludf.DUMMYFUNCTION("""COMPUTED_VALUE"""),2.29004992E8)</f>
        <v>229004992</v>
      </c>
    </row>
    <row r="5097">
      <c r="A5097" s="2">
        <f>IFERROR(__xludf.DUMMYFUNCTION("""COMPUTED_VALUE"""),38761.666666666664)</f>
        <v>38761.66667</v>
      </c>
      <c r="B5097" s="1">
        <f>IFERROR(__xludf.DUMMYFUNCTION("""COMPUTED_VALUE"""),1266.99)</f>
        <v>1266.99</v>
      </c>
      <c r="C5097" s="1">
        <f>IFERROR(__xludf.DUMMYFUNCTION("""COMPUTED_VALUE"""),1266.99)</f>
        <v>1266.99</v>
      </c>
      <c r="D5097" s="1">
        <f>IFERROR(__xludf.DUMMYFUNCTION("""COMPUTED_VALUE"""),1258.34)</f>
        <v>1258.34</v>
      </c>
      <c r="E5097" s="1">
        <f>IFERROR(__xludf.DUMMYFUNCTION("""COMPUTED_VALUE"""),1262.86)</f>
        <v>1262.86</v>
      </c>
      <c r="F5097" s="1">
        <f>IFERROR(__xludf.DUMMYFUNCTION("""COMPUTED_VALUE"""),1.85008E8)</f>
        <v>185008000</v>
      </c>
    </row>
    <row r="5098">
      <c r="A5098" s="2">
        <f>IFERROR(__xludf.DUMMYFUNCTION("""COMPUTED_VALUE"""),38762.666666666664)</f>
        <v>38762.66667</v>
      </c>
      <c r="B5098" s="1">
        <f>IFERROR(__xludf.DUMMYFUNCTION("""COMPUTED_VALUE"""),1262.86)</f>
        <v>1262.86</v>
      </c>
      <c r="C5098" s="1">
        <f>IFERROR(__xludf.DUMMYFUNCTION("""COMPUTED_VALUE"""),1278.21)</f>
        <v>1278.21</v>
      </c>
      <c r="D5098" s="1">
        <f>IFERROR(__xludf.DUMMYFUNCTION("""COMPUTED_VALUE"""),1260.8)</f>
        <v>1260.8</v>
      </c>
      <c r="E5098" s="1">
        <f>IFERROR(__xludf.DUMMYFUNCTION("""COMPUTED_VALUE"""),1275.53)</f>
        <v>1275.53</v>
      </c>
      <c r="F5098" s="1">
        <f>IFERROR(__xludf.DUMMYFUNCTION("""COMPUTED_VALUE"""),2.43794E8)</f>
        <v>243794000</v>
      </c>
    </row>
    <row r="5099">
      <c r="A5099" s="2">
        <f>IFERROR(__xludf.DUMMYFUNCTION("""COMPUTED_VALUE"""),38763.666666666664)</f>
        <v>38763.66667</v>
      </c>
      <c r="B5099" s="1">
        <f>IFERROR(__xludf.DUMMYFUNCTION("""COMPUTED_VALUE"""),1275.53)</f>
        <v>1275.53</v>
      </c>
      <c r="C5099" s="1">
        <f>IFERROR(__xludf.DUMMYFUNCTION("""COMPUTED_VALUE"""),1281.0)</f>
        <v>1281</v>
      </c>
      <c r="D5099" s="1">
        <f>IFERROR(__xludf.DUMMYFUNCTION("""COMPUTED_VALUE"""),1271.06)</f>
        <v>1271.06</v>
      </c>
      <c r="E5099" s="1">
        <f>IFERROR(__xludf.DUMMYFUNCTION("""COMPUTED_VALUE"""),1280.0)</f>
        <v>1280</v>
      </c>
      <c r="F5099" s="1">
        <f>IFERROR(__xludf.DUMMYFUNCTION("""COMPUTED_VALUE"""),2.31759008E8)</f>
        <v>231759008</v>
      </c>
    </row>
    <row r="5100">
      <c r="A5100" s="2">
        <f>IFERROR(__xludf.DUMMYFUNCTION("""COMPUTED_VALUE"""),38764.666666666664)</f>
        <v>38764.66667</v>
      </c>
      <c r="B5100" s="1">
        <f>IFERROR(__xludf.DUMMYFUNCTION("""COMPUTED_VALUE"""),1280.0)</f>
        <v>1280</v>
      </c>
      <c r="C5100" s="1">
        <f>IFERROR(__xludf.DUMMYFUNCTION("""COMPUTED_VALUE"""),1289.39)</f>
        <v>1289.39</v>
      </c>
      <c r="D5100" s="1">
        <f>IFERROR(__xludf.DUMMYFUNCTION("""COMPUTED_VALUE"""),1280.0)</f>
        <v>1280</v>
      </c>
      <c r="E5100" s="1">
        <f>IFERROR(__xludf.DUMMYFUNCTION("""COMPUTED_VALUE"""),1289.38)</f>
        <v>1289.38</v>
      </c>
      <c r="F5100" s="1">
        <f>IFERROR(__xludf.DUMMYFUNCTION("""COMPUTED_VALUE"""),2.25148992E8)</f>
        <v>225148992</v>
      </c>
    </row>
    <row r="5101">
      <c r="A5101" s="2">
        <f>IFERROR(__xludf.DUMMYFUNCTION("""COMPUTED_VALUE"""),38765.666666666664)</f>
        <v>38765.66667</v>
      </c>
      <c r="B5101" s="1">
        <f>IFERROR(__xludf.DUMMYFUNCTION("""COMPUTED_VALUE"""),1289.38)</f>
        <v>1289.38</v>
      </c>
      <c r="C5101" s="1">
        <f>IFERROR(__xludf.DUMMYFUNCTION("""COMPUTED_VALUE"""),1289.47)</f>
        <v>1289.47</v>
      </c>
      <c r="D5101" s="1">
        <f>IFERROR(__xludf.DUMMYFUNCTION("""COMPUTED_VALUE"""),1284.07)</f>
        <v>1284.07</v>
      </c>
      <c r="E5101" s="1">
        <f>IFERROR(__xludf.DUMMYFUNCTION("""COMPUTED_VALUE"""),1287.24)</f>
        <v>1287.24</v>
      </c>
      <c r="F5101" s="1">
        <f>IFERROR(__xludf.DUMMYFUNCTION("""COMPUTED_VALUE"""),2.12826E8)</f>
        <v>212826000</v>
      </c>
    </row>
    <row r="5102">
      <c r="A5102" s="2">
        <f>IFERROR(__xludf.DUMMYFUNCTION("""COMPUTED_VALUE"""),38769.666666666664)</f>
        <v>38769.66667</v>
      </c>
      <c r="B5102" s="1">
        <f>IFERROR(__xludf.DUMMYFUNCTION("""COMPUTED_VALUE"""),1287.24)</f>
        <v>1287.24</v>
      </c>
      <c r="C5102" s="1">
        <f>IFERROR(__xludf.DUMMYFUNCTION("""COMPUTED_VALUE"""),1291.92)</f>
        <v>1291.92</v>
      </c>
      <c r="D5102" s="1">
        <f>IFERROR(__xludf.DUMMYFUNCTION("""COMPUTED_VALUE"""),1281.33)</f>
        <v>1281.33</v>
      </c>
      <c r="E5102" s="1">
        <f>IFERROR(__xludf.DUMMYFUNCTION("""COMPUTED_VALUE"""),1283.04)</f>
        <v>1283.04</v>
      </c>
      <c r="F5102" s="1">
        <f>IFERROR(__xludf.DUMMYFUNCTION("""COMPUTED_VALUE"""),2.10432E8)</f>
        <v>210432000</v>
      </c>
    </row>
    <row r="5103">
      <c r="A5103" s="2">
        <f>IFERROR(__xludf.DUMMYFUNCTION("""COMPUTED_VALUE"""),38770.666666666664)</f>
        <v>38770.66667</v>
      </c>
      <c r="B5103" s="1">
        <f>IFERROR(__xludf.DUMMYFUNCTION("""COMPUTED_VALUE"""),1283.03)</f>
        <v>1283.03</v>
      </c>
      <c r="C5103" s="1">
        <f>IFERROR(__xludf.DUMMYFUNCTION("""COMPUTED_VALUE"""),1294.16)</f>
        <v>1294.16</v>
      </c>
      <c r="D5103" s="1">
        <f>IFERROR(__xludf.DUMMYFUNCTION("""COMPUTED_VALUE"""),1283.03)</f>
        <v>1283.03</v>
      </c>
      <c r="E5103" s="1">
        <f>IFERROR(__xludf.DUMMYFUNCTION("""COMPUTED_VALUE"""),1292.67)</f>
        <v>1292.67</v>
      </c>
      <c r="F5103" s="1">
        <f>IFERROR(__xludf.DUMMYFUNCTION("""COMPUTED_VALUE"""),2.22238E8)</f>
        <v>222238000</v>
      </c>
    </row>
    <row r="5104">
      <c r="A5104" s="2">
        <f>IFERROR(__xludf.DUMMYFUNCTION("""COMPUTED_VALUE"""),38771.666666666664)</f>
        <v>38771.66667</v>
      </c>
      <c r="B5104" s="1">
        <f>IFERROR(__xludf.DUMMYFUNCTION("""COMPUTED_VALUE"""),1292.67)</f>
        <v>1292.67</v>
      </c>
      <c r="C5104" s="1">
        <f>IFERROR(__xludf.DUMMYFUNCTION("""COMPUTED_VALUE"""),1293.84)</f>
        <v>1293.84</v>
      </c>
      <c r="D5104" s="1">
        <f>IFERROR(__xludf.DUMMYFUNCTION("""COMPUTED_VALUE"""),1285.14)</f>
        <v>1285.14</v>
      </c>
      <c r="E5104" s="1">
        <f>IFERROR(__xludf.DUMMYFUNCTION("""COMPUTED_VALUE"""),1287.79)</f>
        <v>1287.79</v>
      </c>
      <c r="F5104" s="1">
        <f>IFERROR(__xludf.DUMMYFUNCTION("""COMPUTED_VALUE"""),2.14420992E8)</f>
        <v>214420992</v>
      </c>
    </row>
    <row r="5105">
      <c r="A5105" s="2">
        <f>IFERROR(__xludf.DUMMYFUNCTION("""COMPUTED_VALUE"""),38772.666666666664)</f>
        <v>38772.66667</v>
      </c>
      <c r="B5105" s="1">
        <f>IFERROR(__xludf.DUMMYFUNCTION("""COMPUTED_VALUE"""),1287.79)</f>
        <v>1287.79</v>
      </c>
      <c r="C5105" s="1">
        <f>IFERROR(__xludf.DUMMYFUNCTION("""COMPUTED_VALUE"""),1292.11)</f>
        <v>1292.11</v>
      </c>
      <c r="D5105" s="1">
        <f>IFERROR(__xludf.DUMMYFUNCTION("""COMPUTED_VALUE"""),1285.62)</f>
        <v>1285.62</v>
      </c>
      <c r="E5105" s="1">
        <f>IFERROR(__xludf.DUMMYFUNCTION("""COMPUTED_VALUE"""),1289.43)</f>
        <v>1289.43</v>
      </c>
      <c r="F5105" s="1">
        <f>IFERROR(__xludf.DUMMYFUNCTION("""COMPUTED_VALUE"""),1.93300992E8)</f>
        <v>193300992</v>
      </c>
    </row>
    <row r="5106">
      <c r="A5106" s="2">
        <f>IFERROR(__xludf.DUMMYFUNCTION("""COMPUTED_VALUE"""),38775.666666666664)</f>
        <v>38775.66667</v>
      </c>
      <c r="B5106" s="1">
        <f>IFERROR(__xludf.DUMMYFUNCTION("""COMPUTED_VALUE"""),1289.43)</f>
        <v>1289.43</v>
      </c>
      <c r="C5106" s="1">
        <f>IFERROR(__xludf.DUMMYFUNCTION("""COMPUTED_VALUE"""),1297.57)</f>
        <v>1297.57</v>
      </c>
      <c r="D5106" s="1">
        <f>IFERROR(__xludf.DUMMYFUNCTION("""COMPUTED_VALUE"""),1289.43)</f>
        <v>1289.43</v>
      </c>
      <c r="E5106" s="1">
        <f>IFERROR(__xludf.DUMMYFUNCTION("""COMPUTED_VALUE"""),1294.12)</f>
        <v>1294.12</v>
      </c>
      <c r="F5106" s="1">
        <f>IFERROR(__xludf.DUMMYFUNCTION("""COMPUTED_VALUE"""),1.97532E8)</f>
        <v>197532000</v>
      </c>
    </row>
    <row r="5107">
      <c r="A5107" s="2">
        <f>IFERROR(__xludf.DUMMYFUNCTION("""COMPUTED_VALUE"""),38776.666666666664)</f>
        <v>38776.66667</v>
      </c>
      <c r="B5107" s="1">
        <f>IFERROR(__xludf.DUMMYFUNCTION("""COMPUTED_VALUE"""),1294.12)</f>
        <v>1294.12</v>
      </c>
      <c r="C5107" s="1">
        <f>IFERROR(__xludf.DUMMYFUNCTION("""COMPUTED_VALUE"""),1294.12)</f>
        <v>1294.12</v>
      </c>
      <c r="D5107" s="1">
        <f>IFERROR(__xludf.DUMMYFUNCTION("""COMPUTED_VALUE"""),1278.66)</f>
        <v>1278.66</v>
      </c>
      <c r="E5107" s="1">
        <f>IFERROR(__xludf.DUMMYFUNCTION("""COMPUTED_VALUE"""),1280.66)</f>
        <v>1280.66</v>
      </c>
      <c r="F5107" s="1">
        <f>IFERROR(__xludf.DUMMYFUNCTION("""COMPUTED_VALUE"""),2.37086E8)</f>
        <v>237086000</v>
      </c>
    </row>
    <row r="5108">
      <c r="A5108" s="2">
        <f>IFERROR(__xludf.DUMMYFUNCTION("""COMPUTED_VALUE"""),38777.666666666664)</f>
        <v>38777.66667</v>
      </c>
      <c r="B5108" s="1">
        <f>IFERROR(__xludf.DUMMYFUNCTION("""COMPUTED_VALUE"""),1280.66)</f>
        <v>1280.66</v>
      </c>
      <c r="C5108" s="1">
        <f>IFERROR(__xludf.DUMMYFUNCTION("""COMPUTED_VALUE"""),1291.8)</f>
        <v>1291.8</v>
      </c>
      <c r="D5108" s="1">
        <f>IFERROR(__xludf.DUMMYFUNCTION("""COMPUTED_VALUE"""),1280.66)</f>
        <v>1280.66</v>
      </c>
      <c r="E5108" s="1">
        <f>IFERROR(__xludf.DUMMYFUNCTION("""COMPUTED_VALUE"""),1291.24)</f>
        <v>1291.24</v>
      </c>
      <c r="F5108" s="1">
        <f>IFERROR(__xludf.DUMMYFUNCTION("""COMPUTED_VALUE"""),2.30832E8)</f>
        <v>230832000</v>
      </c>
    </row>
    <row r="5109">
      <c r="A5109" s="2">
        <f>IFERROR(__xludf.DUMMYFUNCTION("""COMPUTED_VALUE"""),38778.666666666664)</f>
        <v>38778.66667</v>
      </c>
      <c r="B5109" s="1">
        <f>IFERROR(__xludf.DUMMYFUNCTION("""COMPUTED_VALUE"""),1291.24)</f>
        <v>1291.24</v>
      </c>
      <c r="C5109" s="1">
        <f>IFERROR(__xludf.DUMMYFUNCTION("""COMPUTED_VALUE"""),1291.24)</f>
        <v>1291.24</v>
      </c>
      <c r="D5109" s="1">
        <f>IFERROR(__xludf.DUMMYFUNCTION("""COMPUTED_VALUE"""),1283.21)</f>
        <v>1283.21</v>
      </c>
      <c r="E5109" s="1">
        <f>IFERROR(__xludf.DUMMYFUNCTION("""COMPUTED_VALUE"""),1289.14)</f>
        <v>1289.14</v>
      </c>
      <c r="F5109" s="1">
        <f>IFERROR(__xludf.DUMMYFUNCTION("""COMPUTED_VALUE"""),2.49459008E8)</f>
        <v>249459008</v>
      </c>
    </row>
    <row r="5110">
      <c r="A5110" s="2">
        <f>IFERROR(__xludf.DUMMYFUNCTION("""COMPUTED_VALUE"""),38779.666666666664)</f>
        <v>38779.66667</v>
      </c>
      <c r="B5110" s="1">
        <f>IFERROR(__xludf.DUMMYFUNCTION("""COMPUTED_VALUE"""),1289.14)</f>
        <v>1289.14</v>
      </c>
      <c r="C5110" s="1">
        <f>IFERROR(__xludf.DUMMYFUNCTION("""COMPUTED_VALUE"""),1297.33)</f>
        <v>1297.33</v>
      </c>
      <c r="D5110" s="1">
        <f>IFERROR(__xludf.DUMMYFUNCTION("""COMPUTED_VALUE"""),1284.2)</f>
        <v>1284.2</v>
      </c>
      <c r="E5110" s="1">
        <f>IFERROR(__xludf.DUMMYFUNCTION("""COMPUTED_VALUE"""),1287.23)</f>
        <v>1287.23</v>
      </c>
      <c r="F5110" s="1">
        <f>IFERROR(__xludf.DUMMYFUNCTION("""COMPUTED_VALUE"""),2.15295008E8)</f>
        <v>215295008</v>
      </c>
    </row>
    <row r="5111">
      <c r="A5111" s="2">
        <f>IFERROR(__xludf.DUMMYFUNCTION("""COMPUTED_VALUE"""),38782.666666666664)</f>
        <v>38782.66667</v>
      </c>
      <c r="B5111" s="1">
        <f>IFERROR(__xludf.DUMMYFUNCTION("""COMPUTED_VALUE"""),1287.23)</f>
        <v>1287.23</v>
      </c>
      <c r="C5111" s="1">
        <f>IFERROR(__xludf.DUMMYFUNCTION("""COMPUTED_VALUE"""),1288.23)</f>
        <v>1288.23</v>
      </c>
      <c r="D5111" s="1">
        <f>IFERROR(__xludf.DUMMYFUNCTION("""COMPUTED_VALUE"""),1275.67)</f>
        <v>1275.67</v>
      </c>
      <c r="E5111" s="1">
        <f>IFERROR(__xludf.DUMMYFUNCTION("""COMPUTED_VALUE"""),1278.26)</f>
        <v>1278.26</v>
      </c>
      <c r="F5111" s="1">
        <f>IFERROR(__xludf.DUMMYFUNCTION("""COMPUTED_VALUE"""),2.28019008E8)</f>
        <v>228019008</v>
      </c>
    </row>
    <row r="5112">
      <c r="A5112" s="2">
        <f>IFERROR(__xludf.DUMMYFUNCTION("""COMPUTED_VALUE"""),38783.666666666664)</f>
        <v>38783.66667</v>
      </c>
      <c r="B5112" s="1">
        <f>IFERROR(__xludf.DUMMYFUNCTION("""COMPUTED_VALUE"""),1278.26)</f>
        <v>1278.26</v>
      </c>
      <c r="C5112" s="1">
        <f>IFERROR(__xludf.DUMMYFUNCTION("""COMPUTED_VALUE"""),1278.26)</f>
        <v>1278.26</v>
      </c>
      <c r="D5112" s="1">
        <f>IFERROR(__xludf.DUMMYFUNCTION("""COMPUTED_VALUE"""),1271.11)</f>
        <v>1271.11</v>
      </c>
      <c r="E5112" s="1">
        <f>IFERROR(__xludf.DUMMYFUNCTION("""COMPUTED_VALUE"""),1275.88)</f>
        <v>1275.88</v>
      </c>
      <c r="F5112" s="1">
        <f>IFERROR(__xludf.DUMMYFUNCTION("""COMPUTED_VALUE"""),2.26804992E8)</f>
        <v>226804992</v>
      </c>
    </row>
    <row r="5113">
      <c r="A5113" s="2">
        <f>IFERROR(__xludf.DUMMYFUNCTION("""COMPUTED_VALUE"""),38784.666666666664)</f>
        <v>38784.66667</v>
      </c>
      <c r="B5113" s="1">
        <f>IFERROR(__xludf.DUMMYFUNCTION("""COMPUTED_VALUE"""),1275.88)</f>
        <v>1275.88</v>
      </c>
      <c r="C5113" s="1">
        <f>IFERROR(__xludf.DUMMYFUNCTION("""COMPUTED_VALUE"""),1280.33)</f>
        <v>1280.33</v>
      </c>
      <c r="D5113" s="1">
        <f>IFERROR(__xludf.DUMMYFUNCTION("""COMPUTED_VALUE"""),1268.42)</f>
        <v>1268.42</v>
      </c>
      <c r="E5113" s="1">
        <f>IFERROR(__xludf.DUMMYFUNCTION("""COMPUTED_VALUE"""),1278.47)</f>
        <v>1278.47</v>
      </c>
      <c r="F5113" s="1">
        <f>IFERROR(__xludf.DUMMYFUNCTION("""COMPUTED_VALUE"""),2.44287008E8)</f>
        <v>244287008</v>
      </c>
    </row>
    <row r="5114">
      <c r="A5114" s="2">
        <f>IFERROR(__xludf.DUMMYFUNCTION("""COMPUTED_VALUE"""),38785.666666666664)</f>
        <v>38785.66667</v>
      </c>
      <c r="B5114" s="1">
        <f>IFERROR(__xludf.DUMMYFUNCTION("""COMPUTED_VALUE"""),1278.47)</f>
        <v>1278.47</v>
      </c>
      <c r="C5114" s="1">
        <f>IFERROR(__xludf.DUMMYFUNCTION("""COMPUTED_VALUE"""),1282.74)</f>
        <v>1282.74</v>
      </c>
      <c r="D5114" s="1">
        <f>IFERROR(__xludf.DUMMYFUNCTION("""COMPUTED_VALUE"""),1272.23)</f>
        <v>1272.23</v>
      </c>
      <c r="E5114" s="1">
        <f>IFERROR(__xludf.DUMMYFUNCTION("""COMPUTED_VALUE"""),1272.23)</f>
        <v>1272.23</v>
      </c>
      <c r="F5114" s="1">
        <f>IFERROR(__xludf.DUMMYFUNCTION("""COMPUTED_VALUE"""),2.14011008E8)</f>
        <v>214011008</v>
      </c>
    </row>
    <row r="5115">
      <c r="A5115" s="2">
        <f>IFERROR(__xludf.DUMMYFUNCTION("""COMPUTED_VALUE"""),38786.666666666664)</f>
        <v>38786.66667</v>
      </c>
      <c r="B5115" s="1">
        <f>IFERROR(__xludf.DUMMYFUNCTION("""COMPUTED_VALUE"""),1272.23)</f>
        <v>1272.23</v>
      </c>
      <c r="C5115" s="1">
        <f>IFERROR(__xludf.DUMMYFUNCTION("""COMPUTED_VALUE"""),1284.37)</f>
        <v>1284.37</v>
      </c>
      <c r="D5115" s="1">
        <f>IFERROR(__xludf.DUMMYFUNCTION("""COMPUTED_VALUE"""),1271.11)</f>
        <v>1271.11</v>
      </c>
      <c r="E5115" s="1">
        <f>IFERROR(__xludf.DUMMYFUNCTION("""COMPUTED_VALUE"""),1281.58)</f>
        <v>1281.58</v>
      </c>
      <c r="F5115" s="1">
        <f>IFERROR(__xludf.DUMMYFUNCTION("""COMPUTED_VALUE"""),2.12344992E8)</f>
        <v>212344992</v>
      </c>
    </row>
    <row r="5116">
      <c r="A5116" s="2">
        <f>IFERROR(__xludf.DUMMYFUNCTION("""COMPUTED_VALUE"""),38789.666666666664)</f>
        <v>38789.66667</v>
      </c>
      <c r="B5116" s="1">
        <f>IFERROR(__xludf.DUMMYFUNCTION("""COMPUTED_VALUE"""),1281.58)</f>
        <v>1281.58</v>
      </c>
      <c r="C5116" s="1">
        <f>IFERROR(__xludf.DUMMYFUNCTION("""COMPUTED_VALUE"""),1287.37)</f>
        <v>1287.37</v>
      </c>
      <c r="D5116" s="1">
        <f>IFERROR(__xludf.DUMMYFUNCTION("""COMPUTED_VALUE"""),1281.58)</f>
        <v>1281.58</v>
      </c>
      <c r="E5116" s="1">
        <f>IFERROR(__xludf.DUMMYFUNCTION("""COMPUTED_VALUE"""),1284.13)</f>
        <v>1284.13</v>
      </c>
      <c r="F5116" s="1">
        <f>IFERROR(__xludf.DUMMYFUNCTION("""COMPUTED_VALUE"""),2.07032992E8)</f>
        <v>207032992</v>
      </c>
    </row>
    <row r="5117">
      <c r="A5117" s="2">
        <f>IFERROR(__xludf.DUMMYFUNCTION("""COMPUTED_VALUE"""),38790.666666666664)</f>
        <v>38790.66667</v>
      </c>
      <c r="B5117" s="1">
        <f>IFERROR(__xludf.DUMMYFUNCTION("""COMPUTED_VALUE"""),1284.13)</f>
        <v>1284.13</v>
      </c>
      <c r="C5117" s="1">
        <f>IFERROR(__xludf.DUMMYFUNCTION("""COMPUTED_VALUE"""),1298.14)</f>
        <v>1298.14</v>
      </c>
      <c r="D5117" s="1">
        <f>IFERROR(__xludf.DUMMYFUNCTION("""COMPUTED_VALUE"""),1282.67)</f>
        <v>1282.67</v>
      </c>
      <c r="E5117" s="1">
        <f>IFERROR(__xludf.DUMMYFUNCTION("""COMPUTED_VALUE"""),1297.48)</f>
        <v>1297.48</v>
      </c>
      <c r="F5117" s="1">
        <f>IFERROR(__xludf.DUMMYFUNCTION("""COMPUTED_VALUE"""),2.16527008E8)</f>
        <v>216527008</v>
      </c>
    </row>
    <row r="5118">
      <c r="A5118" s="2">
        <f>IFERROR(__xludf.DUMMYFUNCTION("""COMPUTED_VALUE"""),38791.666666666664)</f>
        <v>38791.66667</v>
      </c>
      <c r="B5118" s="1">
        <f>IFERROR(__xludf.DUMMYFUNCTION("""COMPUTED_VALUE"""),1297.48)</f>
        <v>1297.48</v>
      </c>
      <c r="C5118" s="1">
        <f>IFERROR(__xludf.DUMMYFUNCTION("""COMPUTED_VALUE"""),1304.4)</f>
        <v>1304.4</v>
      </c>
      <c r="D5118" s="1">
        <f>IFERROR(__xludf.DUMMYFUNCTION("""COMPUTED_VALUE"""),1294.97)</f>
        <v>1294.97</v>
      </c>
      <c r="E5118" s="1">
        <f>IFERROR(__xludf.DUMMYFUNCTION("""COMPUTED_VALUE"""),1303.02)</f>
        <v>1303.02</v>
      </c>
      <c r="F5118" s="1">
        <f>IFERROR(__xludf.DUMMYFUNCTION("""COMPUTED_VALUE"""),2.293E8)</f>
        <v>229300000</v>
      </c>
    </row>
    <row r="5119">
      <c r="A5119" s="2">
        <f>IFERROR(__xludf.DUMMYFUNCTION("""COMPUTED_VALUE"""),38792.666666666664)</f>
        <v>38792.66667</v>
      </c>
      <c r="B5119" s="1">
        <f>IFERROR(__xludf.DUMMYFUNCTION("""COMPUTED_VALUE"""),1303.02)</f>
        <v>1303.02</v>
      </c>
      <c r="C5119" s="1">
        <f>IFERROR(__xludf.DUMMYFUNCTION("""COMPUTED_VALUE"""),1310.45)</f>
        <v>1310.45</v>
      </c>
      <c r="D5119" s="1">
        <f>IFERROR(__xludf.DUMMYFUNCTION("""COMPUTED_VALUE"""),1303.02)</f>
        <v>1303.02</v>
      </c>
      <c r="E5119" s="1">
        <f>IFERROR(__xludf.DUMMYFUNCTION("""COMPUTED_VALUE"""),1305.33)</f>
        <v>1305.33</v>
      </c>
      <c r="F5119" s="1">
        <f>IFERROR(__xludf.DUMMYFUNCTION("""COMPUTED_VALUE"""),2.29218E8)</f>
        <v>229218000</v>
      </c>
    </row>
    <row r="5120">
      <c r="A5120" s="2">
        <f>IFERROR(__xludf.DUMMYFUNCTION("""COMPUTED_VALUE"""),38793.666666666664)</f>
        <v>38793.66667</v>
      </c>
      <c r="B5120" s="1">
        <f>IFERROR(__xludf.DUMMYFUNCTION("""COMPUTED_VALUE"""),1305.33)</f>
        <v>1305.33</v>
      </c>
      <c r="C5120" s="1">
        <f>IFERROR(__xludf.DUMMYFUNCTION("""COMPUTED_VALUE"""),1309.79)</f>
        <v>1309.79</v>
      </c>
      <c r="D5120" s="1">
        <f>IFERROR(__xludf.DUMMYFUNCTION("""COMPUTED_VALUE"""),1305.32)</f>
        <v>1305.32</v>
      </c>
      <c r="E5120" s="1">
        <f>IFERROR(__xludf.DUMMYFUNCTION("""COMPUTED_VALUE"""),1307.25)</f>
        <v>1307.25</v>
      </c>
      <c r="F5120" s="1">
        <f>IFERROR(__xludf.DUMMYFUNCTION("""COMPUTED_VALUE"""),2.54962E8)</f>
        <v>254962000</v>
      </c>
    </row>
    <row r="5121">
      <c r="A5121" s="2">
        <f>IFERROR(__xludf.DUMMYFUNCTION("""COMPUTED_VALUE"""),38796.666666666664)</f>
        <v>38796.66667</v>
      </c>
      <c r="B5121" s="1">
        <f>IFERROR(__xludf.DUMMYFUNCTION("""COMPUTED_VALUE"""),1307.25)</f>
        <v>1307.25</v>
      </c>
      <c r="C5121" s="1">
        <f>IFERROR(__xludf.DUMMYFUNCTION("""COMPUTED_VALUE"""),1310.0)</f>
        <v>1310</v>
      </c>
      <c r="D5121" s="1">
        <f>IFERROR(__xludf.DUMMYFUNCTION("""COMPUTED_VALUE"""),1303.59)</f>
        <v>1303.59</v>
      </c>
      <c r="E5121" s="1">
        <f>IFERROR(__xludf.DUMMYFUNCTION("""COMPUTED_VALUE"""),1305.08)</f>
        <v>1305.08</v>
      </c>
      <c r="F5121" s="1">
        <f>IFERROR(__xludf.DUMMYFUNCTION("""COMPUTED_VALUE"""),1.97683008E8)</f>
        <v>197683008</v>
      </c>
    </row>
    <row r="5122">
      <c r="A5122" s="2">
        <f>IFERROR(__xludf.DUMMYFUNCTION("""COMPUTED_VALUE"""),38797.666666666664)</f>
        <v>38797.66667</v>
      </c>
      <c r="B5122" s="1">
        <f>IFERROR(__xludf.DUMMYFUNCTION("""COMPUTED_VALUE"""),1305.08)</f>
        <v>1305.08</v>
      </c>
      <c r="C5122" s="1">
        <f>IFERROR(__xludf.DUMMYFUNCTION("""COMPUTED_VALUE"""),1310.88)</f>
        <v>1310.88</v>
      </c>
      <c r="D5122" s="1">
        <f>IFERROR(__xludf.DUMMYFUNCTION("""COMPUTED_VALUE"""),1295.82)</f>
        <v>1295.82</v>
      </c>
      <c r="E5122" s="1">
        <f>IFERROR(__xludf.DUMMYFUNCTION("""COMPUTED_VALUE"""),1297.23)</f>
        <v>1297.23</v>
      </c>
      <c r="F5122" s="1">
        <f>IFERROR(__xludf.DUMMYFUNCTION("""COMPUTED_VALUE"""),2.14736992E8)</f>
        <v>214736992</v>
      </c>
    </row>
    <row r="5123">
      <c r="A5123" s="2">
        <f>IFERROR(__xludf.DUMMYFUNCTION("""COMPUTED_VALUE"""),38798.666666666664)</f>
        <v>38798.66667</v>
      </c>
      <c r="B5123" s="1">
        <f>IFERROR(__xludf.DUMMYFUNCTION("""COMPUTED_VALUE"""),1297.23)</f>
        <v>1297.23</v>
      </c>
      <c r="C5123" s="1">
        <f>IFERROR(__xludf.DUMMYFUNCTION("""COMPUTED_VALUE"""),1305.97)</f>
        <v>1305.97</v>
      </c>
      <c r="D5123" s="1">
        <f>IFERROR(__xludf.DUMMYFUNCTION("""COMPUTED_VALUE"""),1296.13)</f>
        <v>1296.13</v>
      </c>
      <c r="E5123" s="1">
        <f>IFERROR(__xludf.DUMMYFUNCTION("""COMPUTED_VALUE"""),1305.04)</f>
        <v>1305.04</v>
      </c>
      <c r="F5123" s="1">
        <f>IFERROR(__xludf.DUMMYFUNCTION("""COMPUTED_VALUE"""),2.03980992E8)</f>
        <v>203980992</v>
      </c>
    </row>
    <row r="5124">
      <c r="A5124" s="2">
        <f>IFERROR(__xludf.DUMMYFUNCTION("""COMPUTED_VALUE"""),38799.666666666664)</f>
        <v>38799.66667</v>
      </c>
      <c r="B5124" s="1">
        <f>IFERROR(__xludf.DUMMYFUNCTION("""COMPUTED_VALUE"""),1305.04)</f>
        <v>1305.04</v>
      </c>
      <c r="C5124" s="1">
        <f>IFERROR(__xludf.DUMMYFUNCTION("""COMPUTED_VALUE"""),1305.04)</f>
        <v>1305.04</v>
      </c>
      <c r="D5124" s="1">
        <f>IFERROR(__xludf.DUMMYFUNCTION("""COMPUTED_VALUE"""),1298.11)</f>
        <v>1298.11</v>
      </c>
      <c r="E5124" s="1">
        <f>IFERROR(__xludf.DUMMYFUNCTION("""COMPUTED_VALUE"""),1301.67)</f>
        <v>1301.67</v>
      </c>
      <c r="F5124" s="1">
        <f>IFERROR(__xludf.DUMMYFUNCTION("""COMPUTED_VALUE"""),1.98094E8)</f>
        <v>198094000</v>
      </c>
    </row>
    <row r="5125">
      <c r="A5125" s="2">
        <f>IFERROR(__xludf.DUMMYFUNCTION("""COMPUTED_VALUE"""),38800.666666666664)</f>
        <v>38800.66667</v>
      </c>
      <c r="B5125" s="1">
        <f>IFERROR(__xludf.DUMMYFUNCTION("""COMPUTED_VALUE"""),1301.67)</f>
        <v>1301.67</v>
      </c>
      <c r="C5125" s="1">
        <f>IFERROR(__xludf.DUMMYFUNCTION("""COMPUTED_VALUE"""),1306.53)</f>
        <v>1306.53</v>
      </c>
      <c r="D5125" s="1">
        <f>IFERROR(__xludf.DUMMYFUNCTION("""COMPUTED_VALUE"""),1298.89)</f>
        <v>1298.89</v>
      </c>
      <c r="E5125" s="1">
        <f>IFERROR(__xludf.DUMMYFUNCTION("""COMPUTED_VALUE"""),1302.95)</f>
        <v>1302.95</v>
      </c>
      <c r="F5125" s="1">
        <f>IFERROR(__xludf.DUMMYFUNCTION("""COMPUTED_VALUE"""),2.32607008E8)</f>
        <v>232607008</v>
      </c>
    </row>
    <row r="5126">
      <c r="A5126" s="2">
        <f>IFERROR(__xludf.DUMMYFUNCTION("""COMPUTED_VALUE"""),38803.666666666664)</f>
        <v>38803.66667</v>
      </c>
      <c r="B5126" s="1">
        <f>IFERROR(__xludf.DUMMYFUNCTION("""COMPUTED_VALUE"""),1302.95)</f>
        <v>1302.95</v>
      </c>
      <c r="C5126" s="1">
        <f>IFERROR(__xludf.DUMMYFUNCTION("""COMPUTED_VALUE"""),1303.74)</f>
        <v>1303.74</v>
      </c>
      <c r="D5126" s="1">
        <f>IFERROR(__xludf.DUMMYFUNCTION("""COMPUTED_VALUE"""),1299.09)</f>
        <v>1299.09</v>
      </c>
      <c r="E5126" s="1">
        <f>IFERROR(__xludf.DUMMYFUNCTION("""COMPUTED_VALUE"""),1301.61)</f>
        <v>1301.61</v>
      </c>
      <c r="F5126" s="1">
        <f>IFERROR(__xludf.DUMMYFUNCTION("""COMPUTED_VALUE"""),2.0297E8)</f>
        <v>202970000</v>
      </c>
    </row>
    <row r="5127">
      <c r="A5127" s="2">
        <f>IFERROR(__xludf.DUMMYFUNCTION("""COMPUTED_VALUE"""),38804.666666666664)</f>
        <v>38804.66667</v>
      </c>
      <c r="B5127" s="1">
        <f>IFERROR(__xludf.DUMMYFUNCTION("""COMPUTED_VALUE"""),1301.61)</f>
        <v>1301.61</v>
      </c>
      <c r="C5127" s="1">
        <f>IFERROR(__xludf.DUMMYFUNCTION("""COMPUTED_VALUE"""),1306.24)</f>
        <v>1306.24</v>
      </c>
      <c r="D5127" s="1">
        <f>IFERROR(__xludf.DUMMYFUNCTION("""COMPUTED_VALUE"""),1291.84)</f>
        <v>1291.84</v>
      </c>
      <c r="E5127" s="1">
        <f>IFERROR(__xludf.DUMMYFUNCTION("""COMPUTED_VALUE"""),1293.23)</f>
        <v>1293.23</v>
      </c>
      <c r="F5127" s="1">
        <f>IFERROR(__xludf.DUMMYFUNCTION("""COMPUTED_VALUE"""),2.14858E8)</f>
        <v>214858000</v>
      </c>
    </row>
    <row r="5128">
      <c r="A5128" s="2">
        <f>IFERROR(__xludf.DUMMYFUNCTION("""COMPUTED_VALUE"""),38805.666666666664)</f>
        <v>38805.66667</v>
      </c>
      <c r="B5128" s="1">
        <f>IFERROR(__xludf.DUMMYFUNCTION("""COMPUTED_VALUE"""),1293.23)</f>
        <v>1293.23</v>
      </c>
      <c r="C5128" s="1">
        <f>IFERROR(__xludf.DUMMYFUNCTION("""COMPUTED_VALUE"""),1305.6)</f>
        <v>1305.6</v>
      </c>
      <c r="D5128" s="1">
        <f>IFERROR(__xludf.DUMMYFUNCTION("""COMPUTED_VALUE"""),1293.23)</f>
        <v>1293.23</v>
      </c>
      <c r="E5128" s="1">
        <f>IFERROR(__xludf.DUMMYFUNCTION("""COMPUTED_VALUE"""),1302.89)</f>
        <v>1302.89</v>
      </c>
      <c r="F5128" s="1">
        <f>IFERROR(__xludf.DUMMYFUNCTION("""COMPUTED_VALUE"""),2.14354E8)</f>
        <v>214354000</v>
      </c>
    </row>
    <row r="5129">
      <c r="A5129" s="2">
        <f>IFERROR(__xludf.DUMMYFUNCTION("""COMPUTED_VALUE"""),38806.666666666664)</f>
        <v>38806.66667</v>
      </c>
      <c r="B5129" s="1">
        <f>IFERROR(__xludf.DUMMYFUNCTION("""COMPUTED_VALUE"""),1302.89)</f>
        <v>1302.89</v>
      </c>
      <c r="C5129" s="1">
        <f>IFERROR(__xludf.DUMMYFUNCTION("""COMPUTED_VALUE"""),1310.15)</f>
        <v>1310.15</v>
      </c>
      <c r="D5129" s="1">
        <f>IFERROR(__xludf.DUMMYFUNCTION("""COMPUTED_VALUE"""),1296.72)</f>
        <v>1296.72</v>
      </c>
      <c r="E5129" s="1">
        <f>IFERROR(__xludf.DUMMYFUNCTION("""COMPUTED_VALUE"""),1300.25)</f>
        <v>1300.25</v>
      </c>
      <c r="F5129" s="1">
        <f>IFERROR(__xludf.DUMMYFUNCTION("""COMPUTED_VALUE"""),2.29456E8)</f>
        <v>229456000</v>
      </c>
    </row>
    <row r="5130">
      <c r="A5130" s="2">
        <f>IFERROR(__xludf.DUMMYFUNCTION("""COMPUTED_VALUE"""),38807.666666666664)</f>
        <v>38807.66667</v>
      </c>
      <c r="B5130" s="1">
        <f>IFERROR(__xludf.DUMMYFUNCTION("""COMPUTED_VALUE"""),1300.25)</f>
        <v>1300.25</v>
      </c>
      <c r="C5130" s="1">
        <f>IFERROR(__xludf.DUMMYFUNCTION("""COMPUTED_VALUE"""),1303.0)</f>
        <v>1303</v>
      </c>
      <c r="D5130" s="1">
        <f>IFERROR(__xludf.DUMMYFUNCTION("""COMPUTED_VALUE"""),1294.83)</f>
        <v>1294.83</v>
      </c>
      <c r="E5130" s="1">
        <f>IFERROR(__xludf.DUMMYFUNCTION("""COMPUTED_VALUE"""),1294.83)</f>
        <v>1294.83</v>
      </c>
      <c r="F5130" s="1">
        <f>IFERROR(__xludf.DUMMYFUNCTION("""COMPUTED_VALUE"""),2.23671008E8)</f>
        <v>223671008</v>
      </c>
    </row>
    <row r="5131">
      <c r="A5131" s="2">
        <f>IFERROR(__xludf.DUMMYFUNCTION("""COMPUTED_VALUE"""),38810.666666666664)</f>
        <v>38810.66667</v>
      </c>
      <c r="B5131" s="1">
        <f>IFERROR(__xludf.DUMMYFUNCTION("""COMPUTED_VALUE"""),1302.88)</f>
        <v>1302.88</v>
      </c>
      <c r="C5131" s="1">
        <f>IFERROR(__xludf.DUMMYFUNCTION("""COMPUTED_VALUE"""),1309.19)</f>
        <v>1309.19</v>
      </c>
      <c r="D5131" s="1">
        <f>IFERROR(__xludf.DUMMYFUNCTION("""COMPUTED_VALUE"""),1296.65)</f>
        <v>1296.65</v>
      </c>
      <c r="E5131" s="1">
        <f>IFERROR(__xludf.DUMMYFUNCTION("""COMPUTED_VALUE"""),1297.81)</f>
        <v>1297.81</v>
      </c>
      <c r="F5131" s="1">
        <f>IFERROR(__xludf.DUMMYFUNCTION("""COMPUTED_VALUE"""),2.49408E8)</f>
        <v>249408000</v>
      </c>
    </row>
    <row r="5132">
      <c r="A5132" s="2">
        <f>IFERROR(__xludf.DUMMYFUNCTION("""COMPUTED_VALUE"""),38811.666666666664)</f>
        <v>38811.66667</v>
      </c>
      <c r="B5132" s="1">
        <f>IFERROR(__xludf.DUMMYFUNCTION("""COMPUTED_VALUE"""),1297.81)</f>
        <v>1297.81</v>
      </c>
      <c r="C5132" s="1">
        <f>IFERROR(__xludf.DUMMYFUNCTION("""COMPUTED_VALUE"""),1307.55)</f>
        <v>1307.55</v>
      </c>
      <c r="D5132" s="1">
        <f>IFERROR(__xludf.DUMMYFUNCTION("""COMPUTED_VALUE"""),1294.71)</f>
        <v>1294.71</v>
      </c>
      <c r="E5132" s="1">
        <f>IFERROR(__xludf.DUMMYFUNCTION("""COMPUTED_VALUE"""),1305.93)</f>
        <v>1305.93</v>
      </c>
      <c r="F5132" s="1">
        <f>IFERROR(__xludf.DUMMYFUNCTION("""COMPUTED_VALUE"""),2.14766E8)</f>
        <v>214766000</v>
      </c>
    </row>
    <row r="5133">
      <c r="A5133" s="2">
        <f>IFERROR(__xludf.DUMMYFUNCTION("""COMPUTED_VALUE"""),38812.666666666664)</f>
        <v>38812.66667</v>
      </c>
      <c r="B5133" s="1">
        <f>IFERROR(__xludf.DUMMYFUNCTION("""COMPUTED_VALUE"""),1305.93)</f>
        <v>1305.93</v>
      </c>
      <c r="C5133" s="1">
        <f>IFERROR(__xludf.DUMMYFUNCTION("""COMPUTED_VALUE"""),1312.81)</f>
        <v>1312.81</v>
      </c>
      <c r="D5133" s="1">
        <f>IFERROR(__xludf.DUMMYFUNCTION("""COMPUTED_VALUE"""),1304.82)</f>
        <v>1304.82</v>
      </c>
      <c r="E5133" s="1">
        <f>IFERROR(__xludf.DUMMYFUNCTION("""COMPUTED_VALUE"""),1311.56)</f>
        <v>1311.56</v>
      </c>
      <c r="F5133" s="1">
        <f>IFERROR(__xludf.DUMMYFUNCTION("""COMPUTED_VALUE"""),2.42002E8)</f>
        <v>242002000</v>
      </c>
    </row>
    <row r="5134">
      <c r="A5134" s="2">
        <f>IFERROR(__xludf.DUMMYFUNCTION("""COMPUTED_VALUE"""),38813.666666666664)</f>
        <v>38813.66667</v>
      </c>
      <c r="B5134" s="1">
        <f>IFERROR(__xludf.DUMMYFUNCTION("""COMPUTED_VALUE"""),1311.56)</f>
        <v>1311.56</v>
      </c>
      <c r="C5134" s="1">
        <f>IFERROR(__xludf.DUMMYFUNCTION("""COMPUTED_VALUE"""),1311.99)</f>
        <v>1311.99</v>
      </c>
      <c r="D5134" s="1">
        <f>IFERROR(__xludf.DUMMYFUNCTION("""COMPUTED_VALUE"""),1302.44)</f>
        <v>1302.44</v>
      </c>
      <c r="E5134" s="1">
        <f>IFERROR(__xludf.DUMMYFUNCTION("""COMPUTED_VALUE"""),1309.04)</f>
        <v>1309.04</v>
      </c>
      <c r="F5134" s="1">
        <f>IFERROR(__xludf.DUMMYFUNCTION("""COMPUTED_VALUE"""),2.28168E8)</f>
        <v>228168000</v>
      </c>
    </row>
    <row r="5135">
      <c r="A5135" s="2">
        <f>IFERROR(__xludf.DUMMYFUNCTION("""COMPUTED_VALUE"""),38814.666666666664)</f>
        <v>38814.66667</v>
      </c>
      <c r="B5135" s="1">
        <f>IFERROR(__xludf.DUMMYFUNCTION("""COMPUTED_VALUE"""),1309.04)</f>
        <v>1309.04</v>
      </c>
      <c r="C5135" s="1">
        <f>IFERROR(__xludf.DUMMYFUNCTION("""COMPUTED_VALUE"""),1313.86)</f>
        <v>1313.86</v>
      </c>
      <c r="D5135" s="1">
        <f>IFERROR(__xludf.DUMMYFUNCTION("""COMPUTED_VALUE"""),1294.18)</f>
        <v>1294.18</v>
      </c>
      <c r="E5135" s="1">
        <f>IFERROR(__xludf.DUMMYFUNCTION("""COMPUTED_VALUE"""),1295.5)</f>
        <v>1295.5</v>
      </c>
      <c r="F5135" s="1">
        <f>IFERROR(__xludf.DUMMYFUNCTION("""COMPUTED_VALUE"""),2.08247008E8)</f>
        <v>208247008</v>
      </c>
    </row>
    <row r="5136">
      <c r="A5136" s="2">
        <f>IFERROR(__xludf.DUMMYFUNCTION("""COMPUTED_VALUE"""),38817.666666666664)</f>
        <v>38817.66667</v>
      </c>
      <c r="B5136" s="1">
        <f>IFERROR(__xludf.DUMMYFUNCTION("""COMPUTED_VALUE"""),1295.51)</f>
        <v>1295.51</v>
      </c>
      <c r="C5136" s="1">
        <f>IFERROR(__xludf.DUMMYFUNCTION("""COMPUTED_VALUE"""),1300.74)</f>
        <v>1300.74</v>
      </c>
      <c r="D5136" s="1">
        <f>IFERROR(__xludf.DUMMYFUNCTION("""COMPUTED_VALUE"""),1293.33)</f>
        <v>1293.33</v>
      </c>
      <c r="E5136" s="1">
        <f>IFERROR(__xludf.DUMMYFUNCTION("""COMPUTED_VALUE"""),1296.62)</f>
        <v>1296.62</v>
      </c>
      <c r="F5136" s="1">
        <f>IFERROR(__xludf.DUMMYFUNCTION("""COMPUTED_VALUE"""),1.89832E8)</f>
        <v>189832000</v>
      </c>
    </row>
    <row r="5137">
      <c r="A5137" s="2">
        <f>IFERROR(__xludf.DUMMYFUNCTION("""COMPUTED_VALUE"""),38818.666666666664)</f>
        <v>38818.66667</v>
      </c>
      <c r="B5137" s="1">
        <f>IFERROR(__xludf.DUMMYFUNCTION("""COMPUTED_VALUE"""),1296.6)</f>
        <v>1296.6</v>
      </c>
      <c r="C5137" s="1">
        <f>IFERROR(__xludf.DUMMYFUNCTION("""COMPUTED_VALUE"""),1300.69)</f>
        <v>1300.69</v>
      </c>
      <c r="D5137" s="1">
        <f>IFERROR(__xludf.DUMMYFUNCTION("""COMPUTED_VALUE"""),1282.96)</f>
        <v>1282.96</v>
      </c>
      <c r="E5137" s="1">
        <f>IFERROR(__xludf.DUMMYFUNCTION("""COMPUTED_VALUE"""),1286.57)</f>
        <v>1286.57</v>
      </c>
      <c r="F5137" s="1">
        <f>IFERROR(__xludf.DUMMYFUNCTION("""COMPUTED_VALUE"""),2.23288E8)</f>
        <v>223288000</v>
      </c>
    </row>
    <row r="5138">
      <c r="A5138" s="2">
        <f>IFERROR(__xludf.DUMMYFUNCTION("""COMPUTED_VALUE"""),38819.666666666664)</f>
        <v>38819.66667</v>
      </c>
      <c r="B5138" s="1">
        <f>IFERROR(__xludf.DUMMYFUNCTION("""COMPUTED_VALUE"""),1286.57)</f>
        <v>1286.57</v>
      </c>
      <c r="C5138" s="1">
        <f>IFERROR(__xludf.DUMMYFUNCTION("""COMPUTED_VALUE"""),1290.93)</f>
        <v>1290.93</v>
      </c>
      <c r="D5138" s="1">
        <f>IFERROR(__xludf.DUMMYFUNCTION("""COMPUTED_VALUE"""),1286.45)</f>
        <v>1286.45</v>
      </c>
      <c r="E5138" s="1">
        <f>IFERROR(__xludf.DUMMYFUNCTION("""COMPUTED_VALUE"""),1288.12)</f>
        <v>1288.12</v>
      </c>
      <c r="F5138" s="1">
        <f>IFERROR(__xludf.DUMMYFUNCTION("""COMPUTED_VALUE"""),1.9381E8)</f>
        <v>193810000</v>
      </c>
    </row>
    <row r="5139">
      <c r="A5139" s="2">
        <f>IFERROR(__xludf.DUMMYFUNCTION("""COMPUTED_VALUE"""),38820.666666666664)</f>
        <v>38820.66667</v>
      </c>
      <c r="B5139" s="1">
        <f>IFERROR(__xludf.DUMMYFUNCTION("""COMPUTED_VALUE"""),1288.12)</f>
        <v>1288.12</v>
      </c>
      <c r="C5139" s="1">
        <f>IFERROR(__xludf.DUMMYFUNCTION("""COMPUTED_VALUE"""),1292.09)</f>
        <v>1292.09</v>
      </c>
      <c r="D5139" s="1">
        <f>IFERROR(__xludf.DUMMYFUNCTION("""COMPUTED_VALUE"""),1283.42)</f>
        <v>1283.42</v>
      </c>
      <c r="E5139" s="1">
        <f>IFERROR(__xludf.DUMMYFUNCTION("""COMPUTED_VALUE"""),1289.12)</f>
        <v>1289.12</v>
      </c>
      <c r="F5139" s="1">
        <f>IFERROR(__xludf.DUMMYFUNCTION("""COMPUTED_VALUE"""),1.89194E8)</f>
        <v>189194000</v>
      </c>
    </row>
    <row r="5140">
      <c r="A5140" s="2">
        <f>IFERROR(__xludf.DUMMYFUNCTION("""COMPUTED_VALUE"""),38821.666666666664)</f>
        <v>38821.66667</v>
      </c>
      <c r="B5140" s="1">
        <f>IFERROR(__xludf.DUMMYFUNCTION("""COMPUTED_VALUE"""),1271.17)</f>
        <v>1271.17</v>
      </c>
      <c r="C5140" s="1">
        <f>IFERROR(__xludf.DUMMYFUNCTION("""COMPUTED_VALUE"""),1271.35)</f>
        <v>1271.35</v>
      </c>
      <c r="D5140" s="1">
        <f>IFERROR(__xludf.DUMMYFUNCTION("""COMPUTED_VALUE"""),1270.4)</f>
        <v>1270.4</v>
      </c>
      <c r="E5140" s="1">
        <f>IFERROR(__xludf.DUMMYFUNCTION("""COMPUTED_VALUE"""),1270.52)</f>
        <v>1270.52</v>
      </c>
      <c r="F5140" s="1">
        <f>IFERROR(__xludf.DUMMYFUNCTION("""COMPUTED_VALUE"""),0.0)</f>
        <v>0</v>
      </c>
    </row>
    <row r="5141">
      <c r="A5141" s="2">
        <f>IFERROR(__xludf.DUMMYFUNCTION("""COMPUTED_VALUE"""),38824.666666666664)</f>
        <v>38824.66667</v>
      </c>
      <c r="B5141" s="1">
        <f>IFERROR(__xludf.DUMMYFUNCTION("""COMPUTED_VALUE"""),1289.12)</f>
        <v>1289.12</v>
      </c>
      <c r="C5141" s="1">
        <f>IFERROR(__xludf.DUMMYFUNCTION("""COMPUTED_VALUE"""),1292.45)</f>
        <v>1292.45</v>
      </c>
      <c r="D5141" s="1">
        <f>IFERROR(__xludf.DUMMYFUNCTION("""COMPUTED_VALUE"""),1280.74)</f>
        <v>1280.74</v>
      </c>
      <c r="E5141" s="1">
        <f>IFERROR(__xludf.DUMMYFUNCTION("""COMPUTED_VALUE"""),1285.33)</f>
        <v>1285.33</v>
      </c>
      <c r="F5141" s="1">
        <f>IFERROR(__xludf.DUMMYFUNCTION("""COMPUTED_VALUE"""),1.79464992E8)</f>
        <v>179464992</v>
      </c>
    </row>
    <row r="5142">
      <c r="A5142" s="2">
        <f>IFERROR(__xludf.DUMMYFUNCTION("""COMPUTED_VALUE"""),38825.666666666664)</f>
        <v>38825.66667</v>
      </c>
      <c r="B5142" s="1">
        <f>IFERROR(__xludf.DUMMYFUNCTION("""COMPUTED_VALUE"""),1285.33)</f>
        <v>1285.33</v>
      </c>
      <c r="C5142" s="1">
        <f>IFERROR(__xludf.DUMMYFUNCTION("""COMPUTED_VALUE"""),1309.02)</f>
        <v>1309.02</v>
      </c>
      <c r="D5142" s="1">
        <f>IFERROR(__xludf.DUMMYFUNCTION("""COMPUTED_VALUE"""),1285.33)</f>
        <v>1285.33</v>
      </c>
      <c r="E5142" s="1">
        <f>IFERROR(__xludf.DUMMYFUNCTION("""COMPUTED_VALUE"""),1307.65)</f>
        <v>1307.65</v>
      </c>
      <c r="F5142" s="1">
        <f>IFERROR(__xludf.DUMMYFUNCTION("""COMPUTED_VALUE"""),2.59544E8)</f>
        <v>259544000</v>
      </c>
    </row>
    <row r="5143">
      <c r="A5143" s="2">
        <f>IFERROR(__xludf.DUMMYFUNCTION("""COMPUTED_VALUE"""),38826.666666666664)</f>
        <v>38826.66667</v>
      </c>
      <c r="B5143" s="1">
        <f>IFERROR(__xludf.DUMMYFUNCTION("""COMPUTED_VALUE"""),1307.65)</f>
        <v>1307.65</v>
      </c>
      <c r="C5143" s="1">
        <f>IFERROR(__xludf.DUMMYFUNCTION("""COMPUTED_VALUE"""),1310.39)</f>
        <v>1310.39</v>
      </c>
      <c r="D5143" s="1">
        <f>IFERROR(__xludf.DUMMYFUNCTION("""COMPUTED_VALUE"""),1302.79)</f>
        <v>1302.79</v>
      </c>
      <c r="E5143" s="1">
        <f>IFERROR(__xludf.DUMMYFUNCTION("""COMPUTED_VALUE"""),1309.93)</f>
        <v>1309.93</v>
      </c>
      <c r="F5143" s="1">
        <f>IFERROR(__xludf.DUMMYFUNCTION("""COMPUTED_VALUE"""),2.44731008E8)</f>
        <v>244731008</v>
      </c>
    </row>
    <row r="5144">
      <c r="A5144" s="2">
        <f>IFERROR(__xludf.DUMMYFUNCTION("""COMPUTED_VALUE"""),38827.666666666664)</f>
        <v>38827.66667</v>
      </c>
      <c r="B5144" s="1">
        <f>IFERROR(__xludf.DUMMYFUNCTION("""COMPUTED_VALUE"""),1309.93)</f>
        <v>1309.93</v>
      </c>
      <c r="C5144" s="1">
        <f>IFERROR(__xludf.DUMMYFUNCTION("""COMPUTED_VALUE"""),1318.16)</f>
        <v>1318.16</v>
      </c>
      <c r="D5144" s="1">
        <f>IFERROR(__xludf.DUMMYFUNCTION("""COMPUTED_VALUE"""),1306.38)</f>
        <v>1306.38</v>
      </c>
      <c r="E5144" s="1">
        <f>IFERROR(__xludf.DUMMYFUNCTION("""COMPUTED_VALUE"""),1311.46)</f>
        <v>1311.46</v>
      </c>
      <c r="F5144" s="1">
        <f>IFERROR(__xludf.DUMMYFUNCTION("""COMPUTED_VALUE"""),2.51292E8)</f>
        <v>251292000</v>
      </c>
    </row>
    <row r="5145">
      <c r="A5145" s="2">
        <f>IFERROR(__xludf.DUMMYFUNCTION("""COMPUTED_VALUE"""),38828.666666666664)</f>
        <v>38828.66667</v>
      </c>
      <c r="B5145" s="1">
        <f>IFERROR(__xludf.DUMMYFUNCTION("""COMPUTED_VALUE"""),1311.46)</f>
        <v>1311.46</v>
      </c>
      <c r="C5145" s="1">
        <f>IFERROR(__xludf.DUMMYFUNCTION("""COMPUTED_VALUE"""),1317.67)</f>
        <v>1317.67</v>
      </c>
      <c r="D5145" s="1">
        <f>IFERROR(__xludf.DUMMYFUNCTION("""COMPUTED_VALUE"""),1306.59)</f>
        <v>1306.59</v>
      </c>
      <c r="E5145" s="1">
        <f>IFERROR(__xludf.DUMMYFUNCTION("""COMPUTED_VALUE"""),1311.28)</f>
        <v>1311.28</v>
      </c>
      <c r="F5145" s="1">
        <f>IFERROR(__xludf.DUMMYFUNCTION("""COMPUTED_VALUE"""),2.39263008E8)</f>
        <v>239263008</v>
      </c>
    </row>
    <row r="5146">
      <c r="A5146" s="2">
        <f>IFERROR(__xludf.DUMMYFUNCTION("""COMPUTED_VALUE"""),38831.666666666664)</f>
        <v>38831.66667</v>
      </c>
      <c r="B5146" s="1">
        <f>IFERROR(__xludf.DUMMYFUNCTION("""COMPUTED_VALUE"""),1311.28)</f>
        <v>1311.28</v>
      </c>
      <c r="C5146" s="1">
        <f>IFERROR(__xludf.DUMMYFUNCTION("""COMPUTED_VALUE"""),1311.28)</f>
        <v>1311.28</v>
      </c>
      <c r="D5146" s="1">
        <f>IFERROR(__xludf.DUMMYFUNCTION("""COMPUTED_VALUE"""),1303.79)</f>
        <v>1303.79</v>
      </c>
      <c r="E5146" s="1">
        <f>IFERROR(__xludf.DUMMYFUNCTION("""COMPUTED_VALUE"""),1308.11)</f>
        <v>1308.11</v>
      </c>
      <c r="F5146" s="1">
        <f>IFERROR(__xludf.DUMMYFUNCTION("""COMPUTED_VALUE"""),2.11732992E8)</f>
        <v>211732992</v>
      </c>
    </row>
    <row r="5147">
      <c r="A5147" s="2">
        <f>IFERROR(__xludf.DUMMYFUNCTION("""COMPUTED_VALUE"""),38832.666666666664)</f>
        <v>38832.66667</v>
      </c>
      <c r="B5147" s="1">
        <f>IFERROR(__xludf.DUMMYFUNCTION("""COMPUTED_VALUE"""),1308.11)</f>
        <v>1308.11</v>
      </c>
      <c r="C5147" s="1">
        <f>IFERROR(__xludf.DUMMYFUNCTION("""COMPUTED_VALUE"""),1310.79)</f>
        <v>1310.79</v>
      </c>
      <c r="D5147" s="1">
        <f>IFERROR(__xludf.DUMMYFUNCTION("""COMPUTED_VALUE"""),1299.17)</f>
        <v>1299.17</v>
      </c>
      <c r="E5147" s="1">
        <f>IFERROR(__xludf.DUMMYFUNCTION("""COMPUTED_VALUE"""),1301.74)</f>
        <v>1301.74</v>
      </c>
      <c r="F5147" s="1">
        <f>IFERROR(__xludf.DUMMYFUNCTION("""COMPUTED_VALUE"""),2.36638E8)</f>
        <v>236638000</v>
      </c>
    </row>
    <row r="5148">
      <c r="A5148" s="2">
        <f>IFERROR(__xludf.DUMMYFUNCTION("""COMPUTED_VALUE"""),38833.666666666664)</f>
        <v>38833.66667</v>
      </c>
      <c r="B5148" s="1">
        <f>IFERROR(__xludf.DUMMYFUNCTION("""COMPUTED_VALUE"""),1301.74)</f>
        <v>1301.74</v>
      </c>
      <c r="C5148" s="1">
        <f>IFERROR(__xludf.DUMMYFUNCTION("""COMPUTED_VALUE"""),1310.97)</f>
        <v>1310.97</v>
      </c>
      <c r="D5148" s="1">
        <f>IFERROR(__xludf.DUMMYFUNCTION("""COMPUTED_VALUE"""),1301.74)</f>
        <v>1301.74</v>
      </c>
      <c r="E5148" s="1">
        <f>IFERROR(__xludf.DUMMYFUNCTION("""COMPUTED_VALUE"""),1305.41)</f>
        <v>1305.41</v>
      </c>
      <c r="F5148" s="1">
        <f>IFERROR(__xludf.DUMMYFUNCTION("""COMPUTED_VALUE"""),2.50268992E8)</f>
        <v>250268992</v>
      </c>
    </row>
    <row r="5149">
      <c r="A5149" s="2">
        <f>IFERROR(__xludf.DUMMYFUNCTION("""COMPUTED_VALUE"""),38834.666666666664)</f>
        <v>38834.66667</v>
      </c>
      <c r="B5149" s="1">
        <f>IFERROR(__xludf.DUMMYFUNCTION("""COMPUTED_VALUE"""),1305.41)</f>
        <v>1305.41</v>
      </c>
      <c r="C5149" s="1">
        <f>IFERROR(__xludf.DUMMYFUNCTION("""COMPUTED_VALUE"""),1315.0)</f>
        <v>1315</v>
      </c>
      <c r="D5149" s="1">
        <f>IFERROR(__xludf.DUMMYFUNCTION("""COMPUTED_VALUE"""),1295.57)</f>
        <v>1295.57</v>
      </c>
      <c r="E5149" s="1">
        <f>IFERROR(__xludf.DUMMYFUNCTION("""COMPUTED_VALUE"""),1309.72)</f>
        <v>1309.72</v>
      </c>
      <c r="F5149" s="1">
        <f>IFERROR(__xludf.DUMMYFUNCTION("""COMPUTED_VALUE"""),2.77200992E8)</f>
        <v>277200992</v>
      </c>
    </row>
    <row r="5150">
      <c r="A5150" s="2">
        <f>IFERROR(__xludf.DUMMYFUNCTION("""COMPUTED_VALUE"""),38835.666666666664)</f>
        <v>38835.66667</v>
      </c>
      <c r="B5150" s="1">
        <f>IFERROR(__xludf.DUMMYFUNCTION("""COMPUTED_VALUE"""),1309.72)</f>
        <v>1309.72</v>
      </c>
      <c r="C5150" s="1">
        <f>IFERROR(__xludf.DUMMYFUNCTION("""COMPUTED_VALUE"""),1315.85)</f>
        <v>1315.85</v>
      </c>
      <c r="D5150" s="1">
        <f>IFERROR(__xludf.DUMMYFUNCTION("""COMPUTED_VALUE"""),1306.38)</f>
        <v>1306.38</v>
      </c>
      <c r="E5150" s="1">
        <f>IFERROR(__xludf.DUMMYFUNCTION("""COMPUTED_VALUE"""),1310.61)</f>
        <v>1310.61</v>
      </c>
      <c r="F5150" s="1">
        <f>IFERROR(__xludf.DUMMYFUNCTION("""COMPUTED_VALUE"""),2.41992E8)</f>
        <v>241992000</v>
      </c>
    </row>
    <row r="5151">
      <c r="A5151" s="2">
        <f>IFERROR(__xludf.DUMMYFUNCTION("""COMPUTED_VALUE"""),38838.666666666664)</f>
        <v>38838.66667</v>
      </c>
      <c r="B5151" s="1">
        <f>IFERROR(__xludf.DUMMYFUNCTION("""COMPUTED_VALUE"""),1310.61)</f>
        <v>1310.61</v>
      </c>
      <c r="C5151" s="1">
        <f>IFERROR(__xludf.DUMMYFUNCTION("""COMPUTED_VALUE"""),1317.21)</f>
        <v>1317.21</v>
      </c>
      <c r="D5151" s="1">
        <f>IFERROR(__xludf.DUMMYFUNCTION("""COMPUTED_VALUE"""),1303.46)</f>
        <v>1303.46</v>
      </c>
      <c r="E5151" s="1">
        <f>IFERROR(__xludf.DUMMYFUNCTION("""COMPUTED_VALUE"""),1305.19)</f>
        <v>1305.19</v>
      </c>
      <c r="F5151" s="1">
        <f>IFERROR(__xludf.DUMMYFUNCTION("""COMPUTED_VALUE"""),2.43704E8)</f>
        <v>243704000</v>
      </c>
    </row>
    <row r="5152">
      <c r="A5152" s="2">
        <f>IFERROR(__xludf.DUMMYFUNCTION("""COMPUTED_VALUE"""),38839.666666666664)</f>
        <v>38839.66667</v>
      </c>
      <c r="B5152" s="1">
        <f>IFERROR(__xludf.DUMMYFUNCTION("""COMPUTED_VALUE"""),1305.19)</f>
        <v>1305.19</v>
      </c>
      <c r="C5152" s="1">
        <f>IFERROR(__xludf.DUMMYFUNCTION("""COMPUTED_VALUE"""),1313.66)</f>
        <v>1313.66</v>
      </c>
      <c r="D5152" s="1">
        <f>IFERROR(__xludf.DUMMYFUNCTION("""COMPUTED_VALUE"""),1305.19)</f>
        <v>1305.19</v>
      </c>
      <c r="E5152" s="1">
        <f>IFERROR(__xludf.DUMMYFUNCTION("""COMPUTED_VALUE"""),1313.21)</f>
        <v>1313.21</v>
      </c>
      <c r="F5152" s="1">
        <f>IFERROR(__xludf.DUMMYFUNCTION("""COMPUTED_VALUE"""),2.40347008E8)</f>
        <v>240347008</v>
      </c>
    </row>
    <row r="5153">
      <c r="A5153" s="2">
        <f>IFERROR(__xludf.DUMMYFUNCTION("""COMPUTED_VALUE"""),38840.666666666664)</f>
        <v>38840.66667</v>
      </c>
      <c r="B5153" s="1">
        <f>IFERROR(__xludf.DUMMYFUNCTION("""COMPUTED_VALUE"""),1313.21)</f>
        <v>1313.21</v>
      </c>
      <c r="C5153" s="1">
        <f>IFERROR(__xludf.DUMMYFUNCTION("""COMPUTED_VALUE"""),1313.34)</f>
        <v>1313.34</v>
      </c>
      <c r="D5153" s="1">
        <f>IFERROR(__xludf.DUMMYFUNCTION("""COMPUTED_VALUE"""),1303.92)</f>
        <v>1303.92</v>
      </c>
      <c r="E5153" s="1">
        <f>IFERROR(__xludf.DUMMYFUNCTION("""COMPUTED_VALUE"""),1307.85)</f>
        <v>1307.85</v>
      </c>
      <c r="F5153" s="1">
        <f>IFERROR(__xludf.DUMMYFUNCTION("""COMPUTED_VALUE"""),2.39523008E8)</f>
        <v>239523008</v>
      </c>
    </row>
    <row r="5154">
      <c r="A5154" s="2">
        <f>IFERROR(__xludf.DUMMYFUNCTION("""COMPUTED_VALUE"""),38841.666666666664)</f>
        <v>38841.66667</v>
      </c>
      <c r="B5154" s="1">
        <f>IFERROR(__xludf.DUMMYFUNCTION("""COMPUTED_VALUE"""),1307.85)</f>
        <v>1307.85</v>
      </c>
      <c r="C5154" s="1">
        <f>IFERROR(__xludf.DUMMYFUNCTION("""COMPUTED_VALUE"""),1315.14)</f>
        <v>1315.14</v>
      </c>
      <c r="D5154" s="1">
        <f>IFERROR(__xludf.DUMMYFUNCTION("""COMPUTED_VALUE"""),1307.85)</f>
        <v>1307.85</v>
      </c>
      <c r="E5154" s="1">
        <f>IFERROR(__xludf.DUMMYFUNCTION("""COMPUTED_VALUE"""),1312.25)</f>
        <v>1312.25</v>
      </c>
      <c r="F5154" s="1">
        <f>IFERROR(__xludf.DUMMYFUNCTION("""COMPUTED_VALUE"""),2.43144992E8)</f>
        <v>243144992</v>
      </c>
    </row>
    <row r="5155">
      <c r="A5155" s="2">
        <f>IFERROR(__xludf.DUMMYFUNCTION("""COMPUTED_VALUE"""),38842.666666666664)</f>
        <v>38842.66667</v>
      </c>
      <c r="B5155" s="1">
        <f>IFERROR(__xludf.DUMMYFUNCTION("""COMPUTED_VALUE"""),1312.25)</f>
        <v>1312.25</v>
      </c>
      <c r="C5155" s="1">
        <f>IFERROR(__xludf.DUMMYFUNCTION("""COMPUTED_VALUE"""),1326.53)</f>
        <v>1326.53</v>
      </c>
      <c r="D5155" s="1">
        <f>IFERROR(__xludf.DUMMYFUNCTION("""COMPUTED_VALUE"""),1312.25)</f>
        <v>1312.25</v>
      </c>
      <c r="E5155" s="1">
        <f>IFERROR(__xludf.DUMMYFUNCTION("""COMPUTED_VALUE"""),1325.76)</f>
        <v>1325.76</v>
      </c>
      <c r="F5155" s="1">
        <f>IFERROR(__xludf.DUMMYFUNCTION("""COMPUTED_VALUE"""),2.29476E8)</f>
        <v>229476000</v>
      </c>
    </row>
    <row r="5156">
      <c r="A5156" s="2">
        <f>IFERROR(__xludf.DUMMYFUNCTION("""COMPUTED_VALUE"""),38845.666666666664)</f>
        <v>38845.66667</v>
      </c>
      <c r="B5156" s="1">
        <f>IFERROR(__xludf.DUMMYFUNCTION("""COMPUTED_VALUE"""),1325.76)</f>
        <v>1325.76</v>
      </c>
      <c r="C5156" s="1">
        <f>IFERROR(__xludf.DUMMYFUNCTION("""COMPUTED_VALUE"""),1326.7)</f>
        <v>1326.7</v>
      </c>
      <c r="D5156" s="1">
        <f>IFERROR(__xludf.DUMMYFUNCTION("""COMPUTED_VALUE"""),1322.87)</f>
        <v>1322.87</v>
      </c>
      <c r="E5156" s="1">
        <f>IFERROR(__xludf.DUMMYFUNCTION("""COMPUTED_VALUE"""),1324.66)</f>
        <v>1324.66</v>
      </c>
      <c r="F5156" s="1">
        <f>IFERROR(__xludf.DUMMYFUNCTION("""COMPUTED_VALUE"""),2.1513E8)</f>
        <v>215130000</v>
      </c>
    </row>
    <row r="5157">
      <c r="A5157" s="2">
        <f>IFERROR(__xludf.DUMMYFUNCTION("""COMPUTED_VALUE"""),38846.666666666664)</f>
        <v>38846.66667</v>
      </c>
      <c r="B5157" s="1">
        <f>IFERROR(__xludf.DUMMYFUNCTION("""COMPUTED_VALUE"""),1324.66)</f>
        <v>1324.66</v>
      </c>
      <c r="C5157" s="1">
        <f>IFERROR(__xludf.DUMMYFUNCTION("""COMPUTED_VALUE"""),1326.6)</f>
        <v>1326.6</v>
      </c>
      <c r="D5157" s="1">
        <f>IFERROR(__xludf.DUMMYFUNCTION("""COMPUTED_VALUE"""),1322.48)</f>
        <v>1322.48</v>
      </c>
      <c r="E5157" s="1">
        <f>IFERROR(__xludf.DUMMYFUNCTION("""COMPUTED_VALUE"""),1325.14)</f>
        <v>1325.14</v>
      </c>
      <c r="F5157" s="1">
        <f>IFERROR(__xludf.DUMMYFUNCTION("""COMPUTED_VALUE"""),2.15728992E8)</f>
        <v>215728992</v>
      </c>
    </row>
    <row r="5158">
      <c r="A5158" s="2">
        <f>IFERROR(__xludf.DUMMYFUNCTION("""COMPUTED_VALUE"""),38847.666666666664)</f>
        <v>38847.66667</v>
      </c>
      <c r="B5158" s="1">
        <f>IFERROR(__xludf.DUMMYFUNCTION("""COMPUTED_VALUE"""),1324.57)</f>
        <v>1324.57</v>
      </c>
      <c r="C5158" s="1">
        <f>IFERROR(__xludf.DUMMYFUNCTION("""COMPUTED_VALUE"""),1325.51)</f>
        <v>1325.51</v>
      </c>
      <c r="D5158" s="1">
        <f>IFERROR(__xludf.DUMMYFUNCTION("""COMPUTED_VALUE"""),1317.44)</f>
        <v>1317.44</v>
      </c>
      <c r="E5158" s="1">
        <f>IFERROR(__xludf.DUMMYFUNCTION("""COMPUTED_VALUE"""),1322.85)</f>
        <v>1322.85</v>
      </c>
      <c r="F5158" s="1">
        <f>IFERROR(__xludf.DUMMYFUNCTION("""COMPUTED_VALUE"""),2.26855008E8)</f>
        <v>226855008</v>
      </c>
    </row>
    <row r="5159">
      <c r="A5159" s="2">
        <f>IFERROR(__xludf.DUMMYFUNCTION("""COMPUTED_VALUE"""),38848.666666666664)</f>
        <v>38848.66667</v>
      </c>
      <c r="B5159" s="1">
        <f>IFERROR(__xludf.DUMMYFUNCTION("""COMPUTED_VALUE"""),1322.63)</f>
        <v>1322.63</v>
      </c>
      <c r="C5159" s="1">
        <f>IFERROR(__xludf.DUMMYFUNCTION("""COMPUTED_VALUE"""),1322.63)</f>
        <v>1322.63</v>
      </c>
      <c r="D5159" s="1">
        <f>IFERROR(__xludf.DUMMYFUNCTION("""COMPUTED_VALUE"""),1303.45)</f>
        <v>1303.45</v>
      </c>
      <c r="E5159" s="1">
        <f>IFERROR(__xludf.DUMMYFUNCTION("""COMPUTED_VALUE"""),1305.92)</f>
        <v>1305.92</v>
      </c>
      <c r="F5159" s="1">
        <f>IFERROR(__xludf.DUMMYFUNCTION("""COMPUTED_VALUE"""),2.53152E8)</f>
        <v>253152000</v>
      </c>
    </row>
    <row r="5160">
      <c r="A5160" s="2">
        <f>IFERROR(__xludf.DUMMYFUNCTION("""COMPUTED_VALUE"""),38849.666666666664)</f>
        <v>38849.66667</v>
      </c>
      <c r="B5160" s="1">
        <f>IFERROR(__xludf.DUMMYFUNCTION("""COMPUTED_VALUE"""),1305.88)</f>
        <v>1305.88</v>
      </c>
      <c r="C5160" s="1">
        <f>IFERROR(__xludf.DUMMYFUNCTION("""COMPUTED_VALUE"""),1305.88)</f>
        <v>1305.88</v>
      </c>
      <c r="D5160" s="1">
        <f>IFERROR(__xludf.DUMMYFUNCTION("""COMPUTED_VALUE"""),1290.38)</f>
        <v>1290.38</v>
      </c>
      <c r="E5160" s="1">
        <f>IFERROR(__xludf.DUMMYFUNCTION("""COMPUTED_VALUE"""),1291.24)</f>
        <v>1291.24</v>
      </c>
      <c r="F5160" s="1">
        <f>IFERROR(__xludf.DUMMYFUNCTION("""COMPUTED_VALUE"""),2.56796992E8)</f>
        <v>256796992</v>
      </c>
    </row>
    <row r="5161">
      <c r="A5161" s="2">
        <f>IFERROR(__xludf.DUMMYFUNCTION("""COMPUTED_VALUE"""),38852.666666666664)</f>
        <v>38852.66667</v>
      </c>
      <c r="B5161" s="1">
        <f>IFERROR(__xludf.DUMMYFUNCTION("""COMPUTED_VALUE"""),1291.19)</f>
        <v>1291.19</v>
      </c>
      <c r="C5161" s="1">
        <f>IFERROR(__xludf.DUMMYFUNCTION("""COMPUTED_VALUE"""),1294.81)</f>
        <v>1294.81</v>
      </c>
      <c r="D5161" s="1">
        <f>IFERROR(__xludf.DUMMYFUNCTION("""COMPUTED_VALUE"""),1284.51)</f>
        <v>1284.51</v>
      </c>
      <c r="E5161" s="1">
        <f>IFERROR(__xludf.DUMMYFUNCTION("""COMPUTED_VALUE"""),1294.5)</f>
        <v>1294.5</v>
      </c>
      <c r="F5161" s="1">
        <f>IFERROR(__xludf.DUMMYFUNCTION("""COMPUTED_VALUE"""),2.50566E8)</f>
        <v>250566000</v>
      </c>
    </row>
    <row r="5162">
      <c r="A5162" s="2">
        <f>IFERROR(__xludf.DUMMYFUNCTION("""COMPUTED_VALUE"""),38853.666666666664)</f>
        <v>38853.66667</v>
      </c>
      <c r="B5162" s="1">
        <f>IFERROR(__xludf.DUMMYFUNCTION("""COMPUTED_VALUE"""),1294.5)</f>
        <v>1294.5</v>
      </c>
      <c r="C5162" s="1">
        <f>IFERROR(__xludf.DUMMYFUNCTION("""COMPUTED_VALUE"""),1297.88)</f>
        <v>1297.88</v>
      </c>
      <c r="D5162" s="1">
        <f>IFERROR(__xludf.DUMMYFUNCTION("""COMPUTED_VALUE"""),1288.51)</f>
        <v>1288.51</v>
      </c>
      <c r="E5162" s="1">
        <f>IFERROR(__xludf.DUMMYFUNCTION("""COMPUTED_VALUE"""),1292.08)</f>
        <v>1292.08</v>
      </c>
      <c r="F5162" s="1">
        <f>IFERROR(__xludf.DUMMYFUNCTION("""COMPUTED_VALUE"""),2.38620992E8)</f>
        <v>238620992</v>
      </c>
    </row>
    <row r="5163">
      <c r="A5163" s="2">
        <f>IFERROR(__xludf.DUMMYFUNCTION("""COMPUTED_VALUE"""),38854.666666666664)</f>
        <v>38854.66667</v>
      </c>
      <c r="B5163" s="1">
        <f>IFERROR(__xludf.DUMMYFUNCTION("""COMPUTED_VALUE"""),1291.73)</f>
        <v>1291.73</v>
      </c>
      <c r="C5163" s="1">
        <f>IFERROR(__xludf.DUMMYFUNCTION("""COMPUTED_VALUE"""),1291.73)</f>
        <v>1291.73</v>
      </c>
      <c r="D5163" s="1">
        <f>IFERROR(__xludf.DUMMYFUNCTION("""COMPUTED_VALUE"""),1267.31)</f>
        <v>1267.31</v>
      </c>
      <c r="E5163" s="1">
        <f>IFERROR(__xludf.DUMMYFUNCTION("""COMPUTED_VALUE"""),1270.32)</f>
        <v>1270.32</v>
      </c>
      <c r="F5163" s="1">
        <f>IFERROR(__xludf.DUMMYFUNCTION("""COMPUTED_VALUE"""),2.8302E8)</f>
        <v>283020000</v>
      </c>
    </row>
    <row r="5164">
      <c r="A5164" s="2">
        <f>IFERROR(__xludf.DUMMYFUNCTION("""COMPUTED_VALUE"""),38855.666666666664)</f>
        <v>38855.66667</v>
      </c>
      <c r="B5164" s="1">
        <f>IFERROR(__xludf.DUMMYFUNCTION("""COMPUTED_VALUE"""),1270.25)</f>
        <v>1270.25</v>
      </c>
      <c r="C5164" s="1">
        <f>IFERROR(__xludf.DUMMYFUNCTION("""COMPUTED_VALUE"""),1274.89)</f>
        <v>1274.89</v>
      </c>
      <c r="D5164" s="1">
        <f>IFERROR(__xludf.DUMMYFUNCTION("""COMPUTED_VALUE"""),1261.75)</f>
        <v>1261.75</v>
      </c>
      <c r="E5164" s="1">
        <f>IFERROR(__xludf.DUMMYFUNCTION("""COMPUTED_VALUE"""),1261.81)</f>
        <v>1261.81</v>
      </c>
      <c r="F5164" s="1">
        <f>IFERROR(__xludf.DUMMYFUNCTION("""COMPUTED_VALUE"""),2.53748992E8)</f>
        <v>253748992</v>
      </c>
    </row>
    <row r="5165">
      <c r="A5165" s="2">
        <f>IFERROR(__xludf.DUMMYFUNCTION("""COMPUTED_VALUE"""),38856.666666666664)</f>
        <v>38856.66667</v>
      </c>
      <c r="B5165" s="1">
        <f>IFERROR(__xludf.DUMMYFUNCTION("""COMPUTED_VALUE"""),1261.81)</f>
        <v>1261.81</v>
      </c>
      <c r="C5165" s="1">
        <f>IFERROR(__xludf.DUMMYFUNCTION("""COMPUTED_VALUE"""),1272.15)</f>
        <v>1272.15</v>
      </c>
      <c r="D5165" s="1">
        <f>IFERROR(__xludf.DUMMYFUNCTION("""COMPUTED_VALUE"""),1256.28)</f>
        <v>1256.28</v>
      </c>
      <c r="E5165" s="1">
        <f>IFERROR(__xludf.DUMMYFUNCTION("""COMPUTED_VALUE"""),1267.03)</f>
        <v>1267.03</v>
      </c>
      <c r="F5165" s="1">
        <f>IFERROR(__xludf.DUMMYFUNCTION("""COMPUTED_VALUE"""),2.98230016E8)</f>
        <v>298230016</v>
      </c>
    </row>
    <row r="5166">
      <c r="A5166" s="2">
        <f>IFERROR(__xludf.DUMMYFUNCTION("""COMPUTED_VALUE"""),38859.666666666664)</f>
        <v>38859.66667</v>
      </c>
      <c r="B5166" s="1">
        <f>IFERROR(__xludf.DUMMYFUNCTION("""COMPUTED_VALUE"""),1267.03)</f>
        <v>1267.03</v>
      </c>
      <c r="C5166" s="1">
        <f>IFERROR(__xludf.DUMMYFUNCTION("""COMPUTED_VALUE"""),1268.77)</f>
        <v>1268.77</v>
      </c>
      <c r="D5166" s="1">
        <f>IFERROR(__xludf.DUMMYFUNCTION("""COMPUTED_VALUE"""),1253.06)</f>
        <v>1253.06</v>
      </c>
      <c r="E5166" s="1">
        <f>IFERROR(__xludf.DUMMYFUNCTION("""COMPUTED_VALUE"""),1262.07)</f>
        <v>1262.07</v>
      </c>
      <c r="F5166" s="1">
        <f>IFERROR(__xludf.DUMMYFUNCTION("""COMPUTED_VALUE"""),2.77300992E8)</f>
        <v>277300992</v>
      </c>
    </row>
    <row r="5167">
      <c r="A5167" s="2">
        <f>IFERROR(__xludf.DUMMYFUNCTION("""COMPUTED_VALUE"""),38860.666666666664)</f>
        <v>38860.66667</v>
      </c>
      <c r="B5167" s="1">
        <f>IFERROR(__xludf.DUMMYFUNCTION("""COMPUTED_VALUE"""),1262.06)</f>
        <v>1262.06</v>
      </c>
      <c r="C5167" s="1">
        <f>IFERROR(__xludf.DUMMYFUNCTION("""COMPUTED_VALUE"""),1273.67)</f>
        <v>1273.67</v>
      </c>
      <c r="D5167" s="1">
        <f>IFERROR(__xludf.DUMMYFUNCTION("""COMPUTED_VALUE"""),1256.2)</f>
        <v>1256.2</v>
      </c>
      <c r="E5167" s="1">
        <f>IFERROR(__xludf.DUMMYFUNCTION("""COMPUTED_VALUE"""),1256.58)</f>
        <v>1256.58</v>
      </c>
      <c r="F5167" s="1">
        <f>IFERROR(__xludf.DUMMYFUNCTION("""COMPUTED_VALUE"""),2.60524992E8)</f>
        <v>260524992</v>
      </c>
    </row>
    <row r="5168">
      <c r="A5168" s="2">
        <f>IFERROR(__xludf.DUMMYFUNCTION("""COMPUTED_VALUE"""),38861.666666666664)</f>
        <v>38861.66667</v>
      </c>
      <c r="B5168" s="1">
        <f>IFERROR(__xludf.DUMMYFUNCTION("""COMPUTED_VALUE"""),1256.56)</f>
        <v>1256.56</v>
      </c>
      <c r="C5168" s="1">
        <f>IFERROR(__xludf.DUMMYFUNCTION("""COMPUTED_VALUE"""),1264.53)</f>
        <v>1264.53</v>
      </c>
      <c r="D5168" s="1">
        <f>IFERROR(__xludf.DUMMYFUNCTION("""COMPUTED_VALUE"""),1245.34)</f>
        <v>1245.34</v>
      </c>
      <c r="E5168" s="1">
        <f>IFERROR(__xludf.DUMMYFUNCTION("""COMPUTED_VALUE"""),1258.57)</f>
        <v>1258.57</v>
      </c>
      <c r="F5168" s="1">
        <f>IFERROR(__xludf.DUMMYFUNCTION("""COMPUTED_VALUE"""),2.99903008E8)</f>
        <v>299903008</v>
      </c>
    </row>
    <row r="5169">
      <c r="A5169" s="2">
        <f>IFERROR(__xludf.DUMMYFUNCTION("""COMPUTED_VALUE"""),38862.666666666664)</f>
        <v>38862.66667</v>
      </c>
      <c r="B5169" s="1">
        <f>IFERROR(__xludf.DUMMYFUNCTION("""COMPUTED_VALUE"""),1258.41)</f>
        <v>1258.41</v>
      </c>
      <c r="C5169" s="1">
        <f>IFERROR(__xludf.DUMMYFUNCTION("""COMPUTED_VALUE"""),1273.26)</f>
        <v>1273.26</v>
      </c>
      <c r="D5169" s="1">
        <f>IFERROR(__xludf.DUMMYFUNCTION("""COMPUTED_VALUE"""),1258.41)</f>
        <v>1258.41</v>
      </c>
      <c r="E5169" s="1">
        <f>IFERROR(__xludf.DUMMYFUNCTION("""COMPUTED_VALUE"""),1272.88)</f>
        <v>1272.88</v>
      </c>
      <c r="F5169" s="1">
        <f>IFERROR(__xludf.DUMMYFUNCTION("""COMPUTED_VALUE"""),2.37272992E8)</f>
        <v>237272992</v>
      </c>
    </row>
    <row r="5170">
      <c r="A5170" s="2">
        <f>IFERROR(__xludf.DUMMYFUNCTION("""COMPUTED_VALUE"""),38863.666666666664)</f>
        <v>38863.66667</v>
      </c>
      <c r="B5170" s="1">
        <f>IFERROR(__xludf.DUMMYFUNCTION("""COMPUTED_VALUE"""),1272.71)</f>
        <v>1272.71</v>
      </c>
      <c r="C5170" s="1">
        <f>IFERROR(__xludf.DUMMYFUNCTION("""COMPUTED_VALUE"""),1280.54)</f>
        <v>1280.54</v>
      </c>
      <c r="D5170" s="1">
        <f>IFERROR(__xludf.DUMMYFUNCTION("""COMPUTED_VALUE"""),1272.5)</f>
        <v>1272.5</v>
      </c>
      <c r="E5170" s="1">
        <f>IFERROR(__xludf.DUMMYFUNCTION("""COMPUTED_VALUE"""),1280.16)</f>
        <v>1280.16</v>
      </c>
      <c r="F5170" s="1">
        <f>IFERROR(__xludf.DUMMYFUNCTION("""COMPUTED_VALUE"""),1.81402E8)</f>
        <v>181402000</v>
      </c>
    </row>
    <row r="5171">
      <c r="A5171" s="2">
        <f>IFERROR(__xludf.DUMMYFUNCTION("""COMPUTED_VALUE"""),38867.666666666664)</f>
        <v>38867.66667</v>
      </c>
      <c r="B5171" s="1">
        <f>IFERROR(__xludf.DUMMYFUNCTION("""COMPUTED_VALUE"""),1280.04)</f>
        <v>1280.04</v>
      </c>
      <c r="C5171" s="1">
        <f>IFERROR(__xludf.DUMMYFUNCTION("""COMPUTED_VALUE"""),1280.04)</f>
        <v>1280.04</v>
      </c>
      <c r="D5171" s="1">
        <f>IFERROR(__xludf.DUMMYFUNCTION("""COMPUTED_VALUE"""),1259.84)</f>
        <v>1259.84</v>
      </c>
      <c r="E5171" s="1">
        <f>IFERROR(__xludf.DUMMYFUNCTION("""COMPUTED_VALUE"""),1259.84)</f>
        <v>1259.84</v>
      </c>
      <c r="F5171" s="1">
        <f>IFERROR(__xludf.DUMMYFUNCTION("""COMPUTED_VALUE"""),2.17619008E8)</f>
        <v>217619008</v>
      </c>
    </row>
    <row r="5172">
      <c r="A5172" s="2">
        <f>IFERROR(__xludf.DUMMYFUNCTION("""COMPUTED_VALUE"""),38868.666666666664)</f>
        <v>38868.66667</v>
      </c>
      <c r="B5172" s="1">
        <f>IFERROR(__xludf.DUMMYFUNCTION("""COMPUTED_VALUE"""),1259.38)</f>
        <v>1259.38</v>
      </c>
      <c r="C5172" s="1">
        <f>IFERROR(__xludf.DUMMYFUNCTION("""COMPUTED_VALUE"""),1270.09)</f>
        <v>1270.09</v>
      </c>
      <c r="D5172" s="1">
        <f>IFERROR(__xludf.DUMMYFUNCTION("""COMPUTED_VALUE"""),1259.38)</f>
        <v>1259.38</v>
      </c>
      <c r="E5172" s="1">
        <f>IFERROR(__xludf.DUMMYFUNCTION("""COMPUTED_VALUE"""),1270.09)</f>
        <v>1270.09</v>
      </c>
      <c r="F5172" s="1">
        <f>IFERROR(__xludf.DUMMYFUNCTION("""COMPUTED_VALUE"""),2.69216E8)</f>
        <v>269216000</v>
      </c>
    </row>
    <row r="5173">
      <c r="A5173" s="2">
        <f>IFERROR(__xludf.DUMMYFUNCTION("""COMPUTED_VALUE"""),38869.666666666664)</f>
        <v>38869.66667</v>
      </c>
      <c r="B5173" s="1">
        <f>IFERROR(__xludf.DUMMYFUNCTION("""COMPUTED_VALUE"""),1270.05)</f>
        <v>1270.05</v>
      </c>
      <c r="C5173" s="1">
        <f>IFERROR(__xludf.DUMMYFUNCTION("""COMPUTED_VALUE"""),1285.71)</f>
        <v>1285.71</v>
      </c>
      <c r="D5173" s="1">
        <f>IFERROR(__xludf.DUMMYFUNCTION("""COMPUTED_VALUE"""),1269.19)</f>
        <v>1269.19</v>
      </c>
      <c r="E5173" s="1">
        <f>IFERROR(__xludf.DUMMYFUNCTION("""COMPUTED_VALUE"""),1285.71)</f>
        <v>1285.71</v>
      </c>
      <c r="F5173" s="1">
        <f>IFERROR(__xludf.DUMMYFUNCTION("""COMPUTED_VALUE"""),2.36016E8)</f>
        <v>236016000</v>
      </c>
    </row>
    <row r="5174">
      <c r="A5174" s="2">
        <f>IFERROR(__xludf.DUMMYFUNCTION("""COMPUTED_VALUE"""),38870.666666666664)</f>
        <v>38870.66667</v>
      </c>
      <c r="B5174" s="1">
        <f>IFERROR(__xludf.DUMMYFUNCTION("""COMPUTED_VALUE"""),1285.71)</f>
        <v>1285.71</v>
      </c>
      <c r="C5174" s="1">
        <f>IFERROR(__xludf.DUMMYFUNCTION("""COMPUTED_VALUE"""),1290.68)</f>
        <v>1290.68</v>
      </c>
      <c r="D5174" s="1">
        <f>IFERROR(__xludf.DUMMYFUNCTION("""COMPUTED_VALUE"""),1280.22)</f>
        <v>1280.22</v>
      </c>
      <c r="E5174" s="1">
        <f>IFERROR(__xludf.DUMMYFUNCTION("""COMPUTED_VALUE"""),1288.22)</f>
        <v>1288.22</v>
      </c>
      <c r="F5174" s="1">
        <f>IFERROR(__xludf.DUMMYFUNCTION("""COMPUTED_VALUE"""),2.29554E8)</f>
        <v>229554000</v>
      </c>
    </row>
    <row r="5175">
      <c r="A5175" s="2">
        <f>IFERROR(__xludf.DUMMYFUNCTION("""COMPUTED_VALUE"""),38873.666666666664)</f>
        <v>38873.66667</v>
      </c>
      <c r="B5175" s="1">
        <f>IFERROR(__xludf.DUMMYFUNCTION("""COMPUTED_VALUE"""),1288.16)</f>
        <v>1288.16</v>
      </c>
      <c r="C5175" s="1">
        <f>IFERROR(__xludf.DUMMYFUNCTION("""COMPUTED_VALUE"""),1288.16)</f>
        <v>1288.16</v>
      </c>
      <c r="D5175" s="1">
        <f>IFERROR(__xludf.DUMMYFUNCTION("""COMPUTED_VALUE"""),1264.92)</f>
        <v>1264.92</v>
      </c>
      <c r="E5175" s="1">
        <f>IFERROR(__xludf.DUMMYFUNCTION("""COMPUTED_VALUE"""),1265.29)</f>
        <v>1265.29</v>
      </c>
      <c r="F5175" s="1">
        <f>IFERROR(__xludf.DUMMYFUNCTION("""COMPUTED_VALUE"""),2.31347008E8)</f>
        <v>231347008</v>
      </c>
    </row>
    <row r="5176">
      <c r="A5176" s="2">
        <f>IFERROR(__xludf.DUMMYFUNCTION("""COMPUTED_VALUE"""),38874.666666666664)</f>
        <v>38874.66667</v>
      </c>
      <c r="B5176" s="1">
        <f>IFERROR(__xludf.DUMMYFUNCTION("""COMPUTED_VALUE"""),1265.23)</f>
        <v>1265.23</v>
      </c>
      <c r="C5176" s="1">
        <f>IFERROR(__xludf.DUMMYFUNCTION("""COMPUTED_VALUE"""),1269.88)</f>
        <v>1269.88</v>
      </c>
      <c r="D5176" s="1">
        <f>IFERROR(__xludf.DUMMYFUNCTION("""COMPUTED_VALUE"""),1254.66)</f>
        <v>1254.66</v>
      </c>
      <c r="E5176" s="1">
        <f>IFERROR(__xludf.DUMMYFUNCTION("""COMPUTED_VALUE"""),1263.85)</f>
        <v>1263.85</v>
      </c>
      <c r="F5176" s="1">
        <f>IFERROR(__xludf.DUMMYFUNCTION("""COMPUTED_VALUE"""),2.69764992E8)</f>
        <v>269764992</v>
      </c>
    </row>
    <row r="5177">
      <c r="A5177" s="2">
        <f>IFERROR(__xludf.DUMMYFUNCTION("""COMPUTED_VALUE"""),38875.666666666664)</f>
        <v>38875.66667</v>
      </c>
      <c r="B5177" s="1">
        <f>IFERROR(__xludf.DUMMYFUNCTION("""COMPUTED_VALUE"""),1263.61)</f>
        <v>1263.61</v>
      </c>
      <c r="C5177" s="1">
        <f>IFERROR(__xludf.DUMMYFUNCTION("""COMPUTED_VALUE"""),1272.47)</f>
        <v>1272.47</v>
      </c>
      <c r="D5177" s="1">
        <f>IFERROR(__xludf.DUMMYFUNCTION("""COMPUTED_VALUE"""),1255.77)</f>
        <v>1255.77</v>
      </c>
      <c r="E5177" s="1">
        <f>IFERROR(__xludf.DUMMYFUNCTION("""COMPUTED_VALUE"""),1256.15)</f>
        <v>1256.15</v>
      </c>
      <c r="F5177" s="1">
        <f>IFERROR(__xludf.DUMMYFUNCTION("""COMPUTED_VALUE"""),2.64416992E8)</f>
        <v>264416992</v>
      </c>
    </row>
    <row r="5178">
      <c r="A5178" s="2">
        <f>IFERROR(__xludf.DUMMYFUNCTION("""COMPUTED_VALUE"""),38876.666666666664)</f>
        <v>38876.66667</v>
      </c>
      <c r="B5178" s="1">
        <f>IFERROR(__xludf.DUMMYFUNCTION("""COMPUTED_VALUE"""),1256.08)</f>
        <v>1256.08</v>
      </c>
      <c r="C5178" s="1">
        <f>IFERROR(__xludf.DUMMYFUNCTION("""COMPUTED_VALUE"""),1259.85)</f>
        <v>1259.85</v>
      </c>
      <c r="D5178" s="1">
        <f>IFERROR(__xludf.DUMMYFUNCTION("""COMPUTED_VALUE"""),1235.18)</f>
        <v>1235.18</v>
      </c>
      <c r="E5178" s="1">
        <f>IFERROR(__xludf.DUMMYFUNCTION("""COMPUTED_VALUE"""),1257.93)</f>
        <v>1257.93</v>
      </c>
      <c r="F5178" s="1">
        <f>IFERROR(__xludf.DUMMYFUNCTION("""COMPUTED_VALUE"""),3.54379008E8)</f>
        <v>354379008</v>
      </c>
    </row>
    <row r="5179">
      <c r="A5179" s="2">
        <f>IFERROR(__xludf.DUMMYFUNCTION("""COMPUTED_VALUE"""),38877.666666666664)</f>
        <v>38877.66667</v>
      </c>
      <c r="B5179" s="1">
        <f>IFERROR(__xludf.DUMMYFUNCTION("""COMPUTED_VALUE"""),1257.93)</f>
        <v>1257.93</v>
      </c>
      <c r="C5179" s="1">
        <f>IFERROR(__xludf.DUMMYFUNCTION("""COMPUTED_VALUE"""),1262.58)</f>
        <v>1262.58</v>
      </c>
      <c r="D5179" s="1">
        <f>IFERROR(__xludf.DUMMYFUNCTION("""COMPUTED_VALUE"""),1250.03)</f>
        <v>1250.03</v>
      </c>
      <c r="E5179" s="1">
        <f>IFERROR(__xludf.DUMMYFUNCTION("""COMPUTED_VALUE"""),1252.3)</f>
        <v>1252.3</v>
      </c>
      <c r="F5179" s="1">
        <f>IFERROR(__xludf.DUMMYFUNCTION("""COMPUTED_VALUE"""),2.214E8)</f>
        <v>221400000</v>
      </c>
    </row>
    <row r="5180">
      <c r="A5180" s="2">
        <f>IFERROR(__xludf.DUMMYFUNCTION("""COMPUTED_VALUE"""),38880.666666666664)</f>
        <v>38880.66667</v>
      </c>
      <c r="B5180" s="1">
        <f>IFERROR(__xludf.DUMMYFUNCTION("""COMPUTED_VALUE"""),1252.27)</f>
        <v>1252.27</v>
      </c>
      <c r="C5180" s="1">
        <f>IFERROR(__xludf.DUMMYFUNCTION("""COMPUTED_VALUE"""),1254.81)</f>
        <v>1254.81</v>
      </c>
      <c r="D5180" s="1">
        <f>IFERROR(__xludf.DUMMYFUNCTION("""COMPUTED_VALUE"""),1236.2)</f>
        <v>1236.2</v>
      </c>
      <c r="E5180" s="1">
        <f>IFERROR(__xludf.DUMMYFUNCTION("""COMPUTED_VALUE"""),1236.4)</f>
        <v>1236.4</v>
      </c>
      <c r="F5180" s="1">
        <f>IFERROR(__xludf.DUMMYFUNCTION("""COMPUTED_VALUE"""),2.24700992E8)</f>
        <v>224700992</v>
      </c>
    </row>
    <row r="5181">
      <c r="A5181" s="2">
        <f>IFERROR(__xludf.DUMMYFUNCTION("""COMPUTED_VALUE"""),38881.666666666664)</f>
        <v>38881.66667</v>
      </c>
      <c r="B5181" s="1">
        <f>IFERROR(__xludf.DUMMYFUNCTION("""COMPUTED_VALUE"""),1236.08)</f>
        <v>1236.08</v>
      </c>
      <c r="C5181" s="1">
        <f>IFERROR(__xludf.DUMMYFUNCTION("""COMPUTED_VALUE"""),1243.37)</f>
        <v>1243.37</v>
      </c>
      <c r="D5181" s="1">
        <f>IFERROR(__xludf.DUMMYFUNCTION("""COMPUTED_VALUE"""),1222.52)</f>
        <v>1222.52</v>
      </c>
      <c r="E5181" s="1">
        <f>IFERROR(__xludf.DUMMYFUNCTION("""COMPUTED_VALUE"""),1223.69)</f>
        <v>1223.69</v>
      </c>
      <c r="F5181" s="1">
        <f>IFERROR(__xludf.DUMMYFUNCTION("""COMPUTED_VALUE"""),3.21576992E8)</f>
        <v>321576992</v>
      </c>
    </row>
    <row r="5182">
      <c r="A5182" s="2">
        <f>IFERROR(__xludf.DUMMYFUNCTION("""COMPUTED_VALUE"""),38882.666666666664)</f>
        <v>38882.66667</v>
      </c>
      <c r="B5182" s="1">
        <f>IFERROR(__xludf.DUMMYFUNCTION("""COMPUTED_VALUE"""),1223.66)</f>
        <v>1223.66</v>
      </c>
      <c r="C5182" s="1">
        <f>IFERROR(__xludf.DUMMYFUNCTION("""COMPUTED_VALUE"""),1231.46)</f>
        <v>1231.46</v>
      </c>
      <c r="D5182" s="1">
        <f>IFERROR(__xludf.DUMMYFUNCTION("""COMPUTED_VALUE"""),1219.29)</f>
        <v>1219.29</v>
      </c>
      <c r="E5182" s="1">
        <f>IFERROR(__xludf.DUMMYFUNCTION("""COMPUTED_VALUE"""),1230.04)</f>
        <v>1230.04</v>
      </c>
      <c r="F5182" s="1">
        <f>IFERROR(__xludf.DUMMYFUNCTION("""COMPUTED_VALUE"""),2.66799008E8)</f>
        <v>266799008</v>
      </c>
    </row>
    <row r="5183">
      <c r="A5183" s="2">
        <f>IFERROR(__xludf.DUMMYFUNCTION("""COMPUTED_VALUE"""),38883.666666666664)</f>
        <v>38883.66667</v>
      </c>
      <c r="B5183" s="1">
        <f>IFERROR(__xludf.DUMMYFUNCTION("""COMPUTED_VALUE"""),1230.01)</f>
        <v>1230.01</v>
      </c>
      <c r="C5183" s="1">
        <f>IFERROR(__xludf.DUMMYFUNCTION("""COMPUTED_VALUE"""),1258.62)</f>
        <v>1258.62</v>
      </c>
      <c r="D5183" s="1">
        <f>IFERROR(__xludf.DUMMYFUNCTION("""COMPUTED_VALUE"""),1230.01)</f>
        <v>1230.01</v>
      </c>
      <c r="E5183" s="1">
        <f>IFERROR(__xludf.DUMMYFUNCTION("""COMPUTED_VALUE"""),1256.16)</f>
        <v>1256.16</v>
      </c>
      <c r="F5183" s="1">
        <f>IFERROR(__xludf.DUMMYFUNCTION("""COMPUTED_VALUE"""),2.77548E8)</f>
        <v>277548000</v>
      </c>
    </row>
    <row r="5184">
      <c r="A5184" s="2">
        <f>IFERROR(__xludf.DUMMYFUNCTION("""COMPUTED_VALUE"""),38884.666666666664)</f>
        <v>38884.66667</v>
      </c>
      <c r="B5184" s="1">
        <f>IFERROR(__xludf.DUMMYFUNCTION("""COMPUTED_VALUE"""),1256.16)</f>
        <v>1256.16</v>
      </c>
      <c r="C5184" s="1">
        <f>IFERROR(__xludf.DUMMYFUNCTION("""COMPUTED_VALUE"""),1256.27)</f>
        <v>1256.27</v>
      </c>
      <c r="D5184" s="1">
        <f>IFERROR(__xludf.DUMMYFUNCTION("""COMPUTED_VALUE"""),1246.33)</f>
        <v>1246.33</v>
      </c>
      <c r="E5184" s="1">
        <f>IFERROR(__xludf.DUMMYFUNCTION("""COMPUTED_VALUE"""),1251.54)</f>
        <v>1251.54</v>
      </c>
      <c r="F5184" s="1">
        <f>IFERROR(__xludf.DUMMYFUNCTION("""COMPUTED_VALUE"""),2.78339008E8)</f>
        <v>278339008</v>
      </c>
    </row>
    <row r="5185">
      <c r="A5185" s="2">
        <f>IFERROR(__xludf.DUMMYFUNCTION("""COMPUTED_VALUE"""),38887.666666666664)</f>
        <v>38887.66667</v>
      </c>
      <c r="B5185" s="1">
        <f>IFERROR(__xludf.DUMMYFUNCTION("""COMPUTED_VALUE"""),1251.54)</f>
        <v>1251.54</v>
      </c>
      <c r="C5185" s="1">
        <f>IFERROR(__xludf.DUMMYFUNCTION("""COMPUTED_VALUE"""),1255.93)</f>
        <v>1255.93</v>
      </c>
      <c r="D5185" s="1">
        <f>IFERROR(__xludf.DUMMYFUNCTION("""COMPUTED_VALUE"""),1237.22)</f>
        <v>1237.22</v>
      </c>
      <c r="E5185" s="1">
        <f>IFERROR(__xludf.DUMMYFUNCTION("""COMPUTED_VALUE"""),1240.14)</f>
        <v>1240.14</v>
      </c>
      <c r="F5185" s="1">
        <f>IFERROR(__xludf.DUMMYFUNCTION("""COMPUTED_VALUE"""),2.5172E8)</f>
        <v>251720000</v>
      </c>
    </row>
    <row r="5186">
      <c r="A5186" s="2">
        <f>IFERROR(__xludf.DUMMYFUNCTION("""COMPUTED_VALUE"""),38888.666666666664)</f>
        <v>38888.66667</v>
      </c>
      <c r="B5186" s="1">
        <f>IFERROR(__xludf.DUMMYFUNCTION("""COMPUTED_VALUE"""),1240.12)</f>
        <v>1240.12</v>
      </c>
      <c r="C5186" s="1">
        <f>IFERROR(__xludf.DUMMYFUNCTION("""COMPUTED_VALUE"""),1249.01)</f>
        <v>1249.01</v>
      </c>
      <c r="D5186" s="1">
        <f>IFERROR(__xludf.DUMMYFUNCTION("""COMPUTED_VALUE"""),1238.87)</f>
        <v>1238.87</v>
      </c>
      <c r="E5186" s="1">
        <f>IFERROR(__xludf.DUMMYFUNCTION("""COMPUTED_VALUE"""),1240.12)</f>
        <v>1240.12</v>
      </c>
      <c r="F5186" s="1">
        <f>IFERROR(__xludf.DUMMYFUNCTION("""COMPUTED_VALUE"""),2.23295008E8)</f>
        <v>223295008</v>
      </c>
    </row>
    <row r="5187">
      <c r="A5187" s="2">
        <f>IFERROR(__xludf.DUMMYFUNCTION("""COMPUTED_VALUE"""),38889.666666666664)</f>
        <v>38889.66667</v>
      </c>
      <c r="B5187" s="1">
        <f>IFERROR(__xludf.DUMMYFUNCTION("""COMPUTED_VALUE"""),1240.09)</f>
        <v>1240.09</v>
      </c>
      <c r="C5187" s="1">
        <f>IFERROR(__xludf.DUMMYFUNCTION("""COMPUTED_VALUE"""),1257.96)</f>
        <v>1257.96</v>
      </c>
      <c r="D5187" s="1">
        <f>IFERROR(__xludf.DUMMYFUNCTION("""COMPUTED_VALUE"""),1240.09)</f>
        <v>1240.09</v>
      </c>
      <c r="E5187" s="1">
        <f>IFERROR(__xludf.DUMMYFUNCTION("""COMPUTED_VALUE"""),1252.2)</f>
        <v>1252.2</v>
      </c>
      <c r="F5187" s="1">
        <f>IFERROR(__xludf.DUMMYFUNCTION("""COMPUTED_VALUE"""),2.36123008E8)</f>
        <v>236123008</v>
      </c>
    </row>
    <row r="5188">
      <c r="A5188" s="2">
        <f>IFERROR(__xludf.DUMMYFUNCTION("""COMPUTED_VALUE"""),38890.666666666664)</f>
        <v>38890.66667</v>
      </c>
      <c r="B5188" s="1">
        <f>IFERROR(__xludf.DUMMYFUNCTION("""COMPUTED_VALUE"""),1251.92)</f>
        <v>1251.92</v>
      </c>
      <c r="C5188" s="1">
        <f>IFERROR(__xludf.DUMMYFUNCTION("""COMPUTED_VALUE"""),1251.92)</f>
        <v>1251.92</v>
      </c>
      <c r="D5188" s="1">
        <f>IFERROR(__xludf.DUMMYFUNCTION("""COMPUTED_VALUE"""),1241.63)</f>
        <v>1241.63</v>
      </c>
      <c r="E5188" s="1">
        <f>IFERROR(__xludf.DUMMYFUNCTION("""COMPUTED_VALUE"""),1245.6)</f>
        <v>1245.6</v>
      </c>
      <c r="F5188" s="1">
        <f>IFERROR(__xludf.DUMMYFUNCTION("""COMPUTED_VALUE"""),2.14818E8)</f>
        <v>214818000</v>
      </c>
    </row>
    <row r="5189">
      <c r="A5189" s="2">
        <f>IFERROR(__xludf.DUMMYFUNCTION("""COMPUTED_VALUE"""),38891.666666666664)</f>
        <v>38891.66667</v>
      </c>
      <c r="B5189" s="1">
        <f>IFERROR(__xludf.DUMMYFUNCTION("""COMPUTED_VALUE"""),1245.59)</f>
        <v>1245.59</v>
      </c>
      <c r="C5189" s="1">
        <f>IFERROR(__xludf.DUMMYFUNCTION("""COMPUTED_VALUE"""),1252.85)</f>
        <v>1252.85</v>
      </c>
      <c r="D5189" s="1">
        <f>IFERROR(__xludf.DUMMYFUNCTION("""COMPUTED_VALUE"""),1241.43)</f>
        <v>1241.43</v>
      </c>
      <c r="E5189" s="1">
        <f>IFERROR(__xludf.DUMMYFUNCTION("""COMPUTED_VALUE"""),1244.5)</f>
        <v>1244.5</v>
      </c>
      <c r="F5189" s="1">
        <f>IFERROR(__xludf.DUMMYFUNCTION("""COMPUTED_VALUE"""),2.01727008E8)</f>
        <v>201727008</v>
      </c>
    </row>
    <row r="5190">
      <c r="A5190" s="2">
        <f>IFERROR(__xludf.DUMMYFUNCTION("""COMPUTED_VALUE"""),38894.666666666664)</f>
        <v>38894.66667</v>
      </c>
      <c r="B5190" s="1">
        <f>IFERROR(__xludf.DUMMYFUNCTION("""COMPUTED_VALUE"""),1244.5)</f>
        <v>1244.5</v>
      </c>
      <c r="C5190" s="1">
        <f>IFERROR(__xludf.DUMMYFUNCTION("""COMPUTED_VALUE"""),1250.92)</f>
        <v>1250.92</v>
      </c>
      <c r="D5190" s="1">
        <f>IFERROR(__xludf.DUMMYFUNCTION("""COMPUTED_VALUE"""),1243.68)</f>
        <v>1243.68</v>
      </c>
      <c r="E5190" s="1">
        <f>IFERROR(__xludf.DUMMYFUNCTION("""COMPUTED_VALUE"""),1250.56)</f>
        <v>1250.56</v>
      </c>
      <c r="F5190" s="1">
        <f>IFERROR(__xludf.DUMMYFUNCTION("""COMPUTED_VALUE"""),1.87858E8)</f>
        <v>187858000</v>
      </c>
    </row>
    <row r="5191">
      <c r="A5191" s="2">
        <f>IFERROR(__xludf.DUMMYFUNCTION("""COMPUTED_VALUE"""),38895.666666666664)</f>
        <v>38895.66667</v>
      </c>
      <c r="B5191" s="1">
        <f>IFERROR(__xludf.DUMMYFUNCTION("""COMPUTED_VALUE"""),1250.55)</f>
        <v>1250.55</v>
      </c>
      <c r="C5191" s="1">
        <f>IFERROR(__xludf.DUMMYFUNCTION("""COMPUTED_VALUE"""),1253.37)</f>
        <v>1253.37</v>
      </c>
      <c r="D5191" s="1">
        <f>IFERROR(__xludf.DUMMYFUNCTION("""COMPUTED_VALUE"""),1238.94)</f>
        <v>1238.94</v>
      </c>
      <c r="E5191" s="1">
        <f>IFERROR(__xludf.DUMMYFUNCTION("""COMPUTED_VALUE"""),1239.2)</f>
        <v>1239.2</v>
      </c>
      <c r="F5191" s="1">
        <f>IFERROR(__xludf.DUMMYFUNCTION("""COMPUTED_VALUE"""),2.20312992E8)</f>
        <v>220312992</v>
      </c>
    </row>
    <row r="5192">
      <c r="A5192" s="2">
        <f>IFERROR(__xludf.DUMMYFUNCTION("""COMPUTED_VALUE"""),38896.666666666664)</f>
        <v>38896.66667</v>
      </c>
      <c r="B5192" s="1">
        <f>IFERROR(__xludf.DUMMYFUNCTION("""COMPUTED_VALUE"""),1238.99)</f>
        <v>1238.99</v>
      </c>
      <c r="C5192" s="1">
        <f>IFERROR(__xludf.DUMMYFUNCTION("""COMPUTED_VALUE"""),1247.06)</f>
        <v>1247.06</v>
      </c>
      <c r="D5192" s="1">
        <f>IFERROR(__xludf.DUMMYFUNCTION("""COMPUTED_VALUE"""),1237.59)</f>
        <v>1237.59</v>
      </c>
      <c r="E5192" s="1">
        <f>IFERROR(__xludf.DUMMYFUNCTION("""COMPUTED_VALUE"""),1246.0)</f>
        <v>1246</v>
      </c>
      <c r="F5192" s="1">
        <f>IFERROR(__xludf.DUMMYFUNCTION("""COMPUTED_VALUE"""),2.08548992E8)</f>
        <v>208548992</v>
      </c>
    </row>
    <row r="5193">
      <c r="A5193" s="2">
        <f>IFERROR(__xludf.DUMMYFUNCTION("""COMPUTED_VALUE"""),38897.666666666664)</f>
        <v>38897.66667</v>
      </c>
      <c r="B5193" s="1">
        <f>IFERROR(__xludf.DUMMYFUNCTION("""COMPUTED_VALUE"""),1245.94)</f>
        <v>1245.94</v>
      </c>
      <c r="C5193" s="1">
        <f>IFERROR(__xludf.DUMMYFUNCTION("""COMPUTED_VALUE"""),1272.88)</f>
        <v>1272.88</v>
      </c>
      <c r="D5193" s="1">
        <f>IFERROR(__xludf.DUMMYFUNCTION("""COMPUTED_VALUE"""),1245.94)</f>
        <v>1245.94</v>
      </c>
      <c r="E5193" s="1">
        <f>IFERROR(__xludf.DUMMYFUNCTION("""COMPUTED_VALUE"""),1272.87)</f>
        <v>1272.87</v>
      </c>
      <c r="F5193" s="1">
        <f>IFERROR(__xludf.DUMMYFUNCTION("""COMPUTED_VALUE"""),2.62124992E8)</f>
        <v>262124992</v>
      </c>
    </row>
    <row r="5194">
      <c r="A5194" s="2">
        <f>IFERROR(__xludf.DUMMYFUNCTION("""COMPUTED_VALUE"""),38898.666666666664)</f>
        <v>38898.66667</v>
      </c>
      <c r="B5194" s="1">
        <f>IFERROR(__xludf.DUMMYFUNCTION("""COMPUTED_VALUE"""),1272.86)</f>
        <v>1272.86</v>
      </c>
      <c r="C5194" s="1">
        <f>IFERROR(__xludf.DUMMYFUNCTION("""COMPUTED_VALUE"""),1276.3)</f>
        <v>1276.3</v>
      </c>
      <c r="D5194" s="1">
        <f>IFERROR(__xludf.DUMMYFUNCTION("""COMPUTED_VALUE"""),1270.2)</f>
        <v>1270.2</v>
      </c>
      <c r="E5194" s="1">
        <f>IFERROR(__xludf.DUMMYFUNCTION("""COMPUTED_VALUE"""),1270.2)</f>
        <v>1270.2</v>
      </c>
      <c r="F5194" s="1">
        <f>IFERROR(__xludf.DUMMYFUNCTION("""COMPUTED_VALUE"""),3.04956E8)</f>
        <v>304956000</v>
      </c>
    </row>
    <row r="5195">
      <c r="A5195" s="2">
        <f>IFERROR(__xludf.DUMMYFUNCTION("""COMPUTED_VALUE"""),38901.666666666664)</f>
        <v>38901.66667</v>
      </c>
      <c r="B5195" s="1">
        <f>IFERROR(__xludf.DUMMYFUNCTION("""COMPUTED_VALUE"""),1270.06)</f>
        <v>1270.06</v>
      </c>
      <c r="C5195" s="1">
        <f>IFERROR(__xludf.DUMMYFUNCTION("""COMPUTED_VALUE"""),1280.38)</f>
        <v>1280.38</v>
      </c>
      <c r="D5195" s="1">
        <f>IFERROR(__xludf.DUMMYFUNCTION("""COMPUTED_VALUE"""),1270.06)</f>
        <v>1270.06</v>
      </c>
      <c r="E5195" s="1">
        <f>IFERROR(__xludf.DUMMYFUNCTION("""COMPUTED_VALUE"""),1280.19)</f>
        <v>1280.19</v>
      </c>
      <c r="F5195" s="1">
        <f>IFERROR(__xludf.DUMMYFUNCTION("""COMPUTED_VALUE"""),1.11447E8)</f>
        <v>111447000</v>
      </c>
    </row>
    <row r="5196">
      <c r="A5196" s="2">
        <f>IFERROR(__xludf.DUMMYFUNCTION("""COMPUTED_VALUE"""),38903.666666666664)</f>
        <v>38903.66667</v>
      </c>
      <c r="B5196" s="1">
        <f>IFERROR(__xludf.DUMMYFUNCTION("""COMPUTED_VALUE"""),1280.05)</f>
        <v>1280.05</v>
      </c>
      <c r="C5196" s="1">
        <f>IFERROR(__xludf.DUMMYFUNCTION("""COMPUTED_VALUE"""),1280.05)</f>
        <v>1280.05</v>
      </c>
      <c r="D5196" s="1">
        <f>IFERROR(__xludf.DUMMYFUNCTION("""COMPUTED_VALUE"""),1265.91)</f>
        <v>1265.91</v>
      </c>
      <c r="E5196" s="1">
        <f>IFERROR(__xludf.DUMMYFUNCTION("""COMPUTED_VALUE"""),1270.91)</f>
        <v>1270.91</v>
      </c>
      <c r="F5196" s="1">
        <f>IFERROR(__xludf.DUMMYFUNCTION("""COMPUTED_VALUE"""),2.16507008E8)</f>
        <v>216507008</v>
      </c>
    </row>
    <row r="5197">
      <c r="A5197" s="2">
        <f>IFERROR(__xludf.DUMMYFUNCTION("""COMPUTED_VALUE"""),38904.666666666664)</f>
        <v>38904.66667</v>
      </c>
      <c r="B5197" s="1">
        <f>IFERROR(__xludf.DUMMYFUNCTION("""COMPUTED_VALUE"""),1270.58)</f>
        <v>1270.58</v>
      </c>
      <c r="C5197" s="1">
        <f>IFERROR(__xludf.DUMMYFUNCTION("""COMPUTED_VALUE"""),1278.32)</f>
        <v>1278.32</v>
      </c>
      <c r="D5197" s="1">
        <f>IFERROR(__xludf.DUMMYFUNCTION("""COMPUTED_VALUE"""),1270.58)</f>
        <v>1270.58</v>
      </c>
      <c r="E5197" s="1">
        <f>IFERROR(__xludf.DUMMYFUNCTION("""COMPUTED_VALUE"""),1274.08)</f>
        <v>1274.08</v>
      </c>
      <c r="F5197" s="1">
        <f>IFERROR(__xludf.DUMMYFUNCTION("""COMPUTED_VALUE"""),2.00916E8)</f>
        <v>200916000</v>
      </c>
    </row>
    <row r="5198">
      <c r="A5198" s="2">
        <f>IFERROR(__xludf.DUMMYFUNCTION("""COMPUTED_VALUE"""),38905.666666666664)</f>
        <v>38905.66667</v>
      </c>
      <c r="B5198" s="1">
        <f>IFERROR(__xludf.DUMMYFUNCTION("""COMPUTED_VALUE"""),1274.08)</f>
        <v>1274.08</v>
      </c>
      <c r="C5198" s="1">
        <f>IFERROR(__xludf.DUMMYFUNCTION("""COMPUTED_VALUE"""),1275.38)</f>
        <v>1275.38</v>
      </c>
      <c r="D5198" s="1">
        <f>IFERROR(__xludf.DUMMYFUNCTION("""COMPUTED_VALUE"""),1263.13)</f>
        <v>1263.13</v>
      </c>
      <c r="E5198" s="1">
        <f>IFERROR(__xludf.DUMMYFUNCTION("""COMPUTED_VALUE"""),1265.48)</f>
        <v>1265.48</v>
      </c>
      <c r="F5198" s="1">
        <f>IFERROR(__xludf.DUMMYFUNCTION("""COMPUTED_VALUE"""),1.98815008E8)</f>
        <v>198815008</v>
      </c>
    </row>
    <row r="5199">
      <c r="A5199" s="2">
        <f>IFERROR(__xludf.DUMMYFUNCTION("""COMPUTED_VALUE"""),38908.666666666664)</f>
        <v>38908.66667</v>
      </c>
      <c r="B5199" s="1">
        <f>IFERROR(__xludf.DUMMYFUNCTION("""COMPUTED_VALUE"""),1265.46)</f>
        <v>1265.46</v>
      </c>
      <c r="C5199" s="1">
        <f>IFERROR(__xludf.DUMMYFUNCTION("""COMPUTED_VALUE"""),1274.06)</f>
        <v>1274.06</v>
      </c>
      <c r="D5199" s="1">
        <f>IFERROR(__xludf.DUMMYFUNCTION("""COMPUTED_VALUE"""),1264.46)</f>
        <v>1264.46</v>
      </c>
      <c r="E5199" s="1">
        <f>IFERROR(__xludf.DUMMYFUNCTION("""COMPUTED_VALUE"""),1267.34)</f>
        <v>1267.34</v>
      </c>
      <c r="F5199" s="1">
        <f>IFERROR(__xludf.DUMMYFUNCTION("""COMPUTED_VALUE"""),1.85459008E8)</f>
        <v>185459008</v>
      </c>
    </row>
    <row r="5200">
      <c r="A5200" s="2">
        <f>IFERROR(__xludf.DUMMYFUNCTION("""COMPUTED_VALUE"""),38909.666666666664)</f>
        <v>38909.66667</v>
      </c>
      <c r="B5200" s="1">
        <f>IFERROR(__xludf.DUMMYFUNCTION("""COMPUTED_VALUE"""),1267.26)</f>
        <v>1267.26</v>
      </c>
      <c r="C5200" s="1">
        <f>IFERROR(__xludf.DUMMYFUNCTION("""COMPUTED_VALUE"""),1273.64)</f>
        <v>1273.64</v>
      </c>
      <c r="D5200" s="1">
        <f>IFERROR(__xludf.DUMMYFUNCTION("""COMPUTED_VALUE"""),1259.65)</f>
        <v>1259.65</v>
      </c>
      <c r="E5200" s="1">
        <f>IFERROR(__xludf.DUMMYFUNCTION("""COMPUTED_VALUE"""),1272.52)</f>
        <v>1272.52</v>
      </c>
      <c r="F5200" s="1">
        <f>IFERROR(__xludf.DUMMYFUNCTION("""COMPUTED_VALUE"""),2.31084992E8)</f>
        <v>231084992</v>
      </c>
    </row>
    <row r="5201">
      <c r="A5201" s="2">
        <f>IFERROR(__xludf.DUMMYFUNCTION("""COMPUTED_VALUE"""),38910.666666666664)</f>
        <v>38910.66667</v>
      </c>
      <c r="B5201" s="1">
        <f>IFERROR(__xludf.DUMMYFUNCTION("""COMPUTED_VALUE"""),1272.39)</f>
        <v>1272.39</v>
      </c>
      <c r="C5201" s="1">
        <f>IFERROR(__xludf.DUMMYFUNCTION("""COMPUTED_VALUE"""),1273.31)</f>
        <v>1273.31</v>
      </c>
      <c r="D5201" s="1">
        <f>IFERROR(__xludf.DUMMYFUNCTION("""COMPUTED_VALUE"""),1257.29)</f>
        <v>1257.29</v>
      </c>
      <c r="E5201" s="1">
        <f>IFERROR(__xludf.DUMMYFUNCTION("""COMPUTED_VALUE"""),1258.6)</f>
        <v>1258.6</v>
      </c>
      <c r="F5201" s="1">
        <f>IFERROR(__xludf.DUMMYFUNCTION("""COMPUTED_VALUE"""),2.25044992E8)</f>
        <v>225044992</v>
      </c>
    </row>
    <row r="5202">
      <c r="A5202" s="2">
        <f>IFERROR(__xludf.DUMMYFUNCTION("""COMPUTED_VALUE"""),38911.666666666664)</f>
        <v>38911.66667</v>
      </c>
      <c r="B5202" s="1">
        <f>IFERROR(__xludf.DUMMYFUNCTION("""COMPUTED_VALUE"""),1258.58)</f>
        <v>1258.58</v>
      </c>
      <c r="C5202" s="1">
        <f>IFERROR(__xludf.DUMMYFUNCTION("""COMPUTED_VALUE"""),1258.58)</f>
        <v>1258.58</v>
      </c>
      <c r="D5202" s="1">
        <f>IFERROR(__xludf.DUMMYFUNCTION("""COMPUTED_VALUE"""),1241.43)</f>
        <v>1241.43</v>
      </c>
      <c r="E5202" s="1">
        <f>IFERROR(__xludf.DUMMYFUNCTION("""COMPUTED_VALUE"""),1242.29)</f>
        <v>1242.29</v>
      </c>
      <c r="F5202" s="1">
        <f>IFERROR(__xludf.DUMMYFUNCTION("""COMPUTED_VALUE"""),2.54576E8)</f>
        <v>254576000</v>
      </c>
    </row>
    <row r="5203">
      <c r="A5203" s="2">
        <f>IFERROR(__xludf.DUMMYFUNCTION("""COMPUTED_VALUE"""),38912.666666666664)</f>
        <v>38912.66667</v>
      </c>
      <c r="B5203" s="1">
        <f>IFERROR(__xludf.DUMMYFUNCTION("""COMPUTED_VALUE"""),1242.29)</f>
        <v>1242.29</v>
      </c>
      <c r="C5203" s="1">
        <f>IFERROR(__xludf.DUMMYFUNCTION("""COMPUTED_VALUE"""),1242.7)</f>
        <v>1242.7</v>
      </c>
      <c r="D5203" s="1">
        <f>IFERROR(__xludf.DUMMYFUNCTION("""COMPUTED_VALUE"""),1228.45)</f>
        <v>1228.45</v>
      </c>
      <c r="E5203" s="1">
        <f>IFERROR(__xludf.DUMMYFUNCTION("""COMPUTED_VALUE"""),1236.2)</f>
        <v>1236.2</v>
      </c>
      <c r="F5203" s="1">
        <f>IFERROR(__xludf.DUMMYFUNCTION("""COMPUTED_VALUE"""),2.46712E8)</f>
        <v>246712000</v>
      </c>
    </row>
    <row r="5204">
      <c r="A5204" s="2">
        <f>IFERROR(__xludf.DUMMYFUNCTION("""COMPUTED_VALUE"""),38915.666666666664)</f>
        <v>38915.66667</v>
      </c>
      <c r="B5204" s="1">
        <f>IFERROR(__xludf.DUMMYFUNCTION("""COMPUTED_VALUE"""),1236.2)</f>
        <v>1236.2</v>
      </c>
      <c r="C5204" s="1">
        <f>IFERROR(__xludf.DUMMYFUNCTION("""COMPUTED_VALUE"""),1240.07)</f>
        <v>1240.07</v>
      </c>
      <c r="D5204" s="1">
        <f>IFERROR(__xludf.DUMMYFUNCTION("""COMPUTED_VALUE"""),1231.49)</f>
        <v>1231.49</v>
      </c>
      <c r="E5204" s="1">
        <f>IFERROR(__xludf.DUMMYFUNCTION("""COMPUTED_VALUE"""),1234.49)</f>
        <v>1234.49</v>
      </c>
      <c r="F5204" s="1">
        <f>IFERROR(__xludf.DUMMYFUNCTION("""COMPUTED_VALUE"""),2.14640992E8)</f>
        <v>214640992</v>
      </c>
    </row>
    <row r="5205">
      <c r="A5205" s="2">
        <f>IFERROR(__xludf.DUMMYFUNCTION("""COMPUTED_VALUE"""),38916.666666666664)</f>
        <v>38916.66667</v>
      </c>
      <c r="B5205" s="1">
        <f>IFERROR(__xludf.DUMMYFUNCTION("""COMPUTED_VALUE"""),1234.48)</f>
        <v>1234.48</v>
      </c>
      <c r="C5205" s="1">
        <f>IFERROR(__xludf.DUMMYFUNCTION("""COMPUTED_VALUE"""),1239.86)</f>
        <v>1239.86</v>
      </c>
      <c r="D5205" s="1">
        <f>IFERROR(__xludf.DUMMYFUNCTION("""COMPUTED_VALUE"""),1224.65)</f>
        <v>1224.65</v>
      </c>
      <c r="E5205" s="1">
        <f>IFERROR(__xludf.DUMMYFUNCTION("""COMPUTED_VALUE"""),1236.86)</f>
        <v>1236.86</v>
      </c>
      <c r="F5205" s="1">
        <f>IFERROR(__xludf.DUMMYFUNCTION("""COMPUTED_VALUE"""),2.48175008E8)</f>
        <v>248175008</v>
      </c>
    </row>
    <row r="5206">
      <c r="A5206" s="2">
        <f>IFERROR(__xludf.DUMMYFUNCTION("""COMPUTED_VALUE"""),38917.666666666664)</f>
        <v>38917.66667</v>
      </c>
      <c r="B5206" s="1">
        <f>IFERROR(__xludf.DUMMYFUNCTION("""COMPUTED_VALUE"""),1236.74)</f>
        <v>1236.74</v>
      </c>
      <c r="C5206" s="1">
        <f>IFERROR(__xludf.DUMMYFUNCTION("""COMPUTED_VALUE"""),1261.81)</f>
        <v>1261.81</v>
      </c>
      <c r="D5206" s="1">
        <f>IFERROR(__xludf.DUMMYFUNCTION("""COMPUTED_VALUE"""),1236.74)</f>
        <v>1236.74</v>
      </c>
      <c r="E5206" s="1">
        <f>IFERROR(__xludf.DUMMYFUNCTION("""COMPUTED_VALUE"""),1259.81)</f>
        <v>1259.81</v>
      </c>
      <c r="F5206" s="1">
        <f>IFERROR(__xludf.DUMMYFUNCTION("""COMPUTED_VALUE"""),2.70198016E8)</f>
        <v>270198016</v>
      </c>
    </row>
    <row r="5207">
      <c r="A5207" s="2">
        <f>IFERROR(__xludf.DUMMYFUNCTION("""COMPUTED_VALUE"""),38918.666666666664)</f>
        <v>38918.66667</v>
      </c>
      <c r="B5207" s="1">
        <f>IFERROR(__xludf.DUMMYFUNCTION("""COMPUTED_VALUE"""),1259.81)</f>
        <v>1259.81</v>
      </c>
      <c r="C5207" s="1">
        <f>IFERROR(__xludf.DUMMYFUNCTION("""COMPUTED_VALUE"""),1262.44)</f>
        <v>1262.44</v>
      </c>
      <c r="D5207" s="1">
        <f>IFERROR(__xludf.DUMMYFUNCTION("""COMPUTED_VALUE"""),1249.13)</f>
        <v>1249.13</v>
      </c>
      <c r="E5207" s="1">
        <f>IFERROR(__xludf.DUMMYFUNCTION("""COMPUTED_VALUE"""),1249.13)</f>
        <v>1249.13</v>
      </c>
      <c r="F5207" s="1">
        <f>IFERROR(__xludf.DUMMYFUNCTION("""COMPUTED_VALUE"""),2.34558E8)</f>
        <v>234558000</v>
      </c>
    </row>
    <row r="5208">
      <c r="A5208" s="2">
        <f>IFERROR(__xludf.DUMMYFUNCTION("""COMPUTED_VALUE"""),38919.666666666664)</f>
        <v>38919.66667</v>
      </c>
      <c r="B5208" s="1">
        <f>IFERROR(__xludf.DUMMYFUNCTION("""COMPUTED_VALUE"""),1249.12)</f>
        <v>1249.12</v>
      </c>
      <c r="C5208" s="1">
        <f>IFERROR(__xludf.DUMMYFUNCTION("""COMPUTED_VALUE"""),1250.96)</f>
        <v>1250.96</v>
      </c>
      <c r="D5208" s="1">
        <f>IFERROR(__xludf.DUMMYFUNCTION("""COMPUTED_VALUE"""),1238.92)</f>
        <v>1238.92</v>
      </c>
      <c r="E5208" s="1">
        <f>IFERROR(__xludf.DUMMYFUNCTION("""COMPUTED_VALUE"""),1240.29)</f>
        <v>1240.29</v>
      </c>
      <c r="F5208" s="1">
        <f>IFERROR(__xludf.DUMMYFUNCTION("""COMPUTED_VALUE"""),2.70408992E8)</f>
        <v>270408992</v>
      </c>
    </row>
    <row r="5209">
      <c r="A5209" s="2">
        <f>IFERROR(__xludf.DUMMYFUNCTION("""COMPUTED_VALUE"""),38922.666666666664)</f>
        <v>38922.66667</v>
      </c>
      <c r="B5209" s="1">
        <f>IFERROR(__xludf.DUMMYFUNCTION("""COMPUTED_VALUE"""),1240.25)</f>
        <v>1240.25</v>
      </c>
      <c r="C5209" s="1">
        <f>IFERROR(__xludf.DUMMYFUNCTION("""COMPUTED_VALUE"""),1262.49)</f>
        <v>1262.49</v>
      </c>
      <c r="D5209" s="1">
        <f>IFERROR(__xludf.DUMMYFUNCTION("""COMPUTED_VALUE"""),1240.25)</f>
        <v>1240.25</v>
      </c>
      <c r="E5209" s="1">
        <f>IFERROR(__xludf.DUMMYFUNCTION("""COMPUTED_VALUE"""),1260.91)</f>
        <v>1260.91</v>
      </c>
      <c r="F5209" s="1">
        <f>IFERROR(__xludf.DUMMYFUNCTION("""COMPUTED_VALUE"""),2.31272E8)</f>
        <v>231272000</v>
      </c>
    </row>
    <row r="5210">
      <c r="A5210" s="2">
        <f>IFERROR(__xludf.DUMMYFUNCTION("""COMPUTED_VALUE"""),38923.666666666664)</f>
        <v>38923.66667</v>
      </c>
      <c r="B5210" s="1">
        <f>IFERROR(__xludf.DUMMYFUNCTION("""COMPUTED_VALUE"""),1260.91)</f>
        <v>1260.91</v>
      </c>
      <c r="C5210" s="1">
        <f>IFERROR(__xludf.DUMMYFUNCTION("""COMPUTED_VALUE"""),1272.39)</f>
        <v>1272.39</v>
      </c>
      <c r="D5210" s="1">
        <f>IFERROR(__xludf.DUMMYFUNCTION("""COMPUTED_VALUE"""),1257.19)</f>
        <v>1257.19</v>
      </c>
      <c r="E5210" s="1">
        <f>IFERROR(__xludf.DUMMYFUNCTION("""COMPUTED_VALUE"""),1268.88)</f>
        <v>1268.88</v>
      </c>
      <c r="F5210" s="1">
        <f>IFERROR(__xludf.DUMMYFUNCTION("""COMPUTED_VALUE"""),2.56392992E8)</f>
        <v>256392992</v>
      </c>
    </row>
    <row r="5211">
      <c r="A5211" s="2">
        <f>IFERROR(__xludf.DUMMYFUNCTION("""COMPUTED_VALUE"""),38924.666666666664)</f>
        <v>38924.66667</v>
      </c>
      <c r="B5211" s="1">
        <f>IFERROR(__xludf.DUMMYFUNCTION("""COMPUTED_VALUE"""),1268.87)</f>
        <v>1268.87</v>
      </c>
      <c r="C5211" s="1">
        <f>IFERROR(__xludf.DUMMYFUNCTION("""COMPUTED_VALUE"""),1273.89)</f>
        <v>1273.89</v>
      </c>
      <c r="D5211" s="1">
        <f>IFERROR(__xludf.DUMMYFUNCTION("""COMPUTED_VALUE"""),1261.94)</f>
        <v>1261.94</v>
      </c>
      <c r="E5211" s="1">
        <f>IFERROR(__xludf.DUMMYFUNCTION("""COMPUTED_VALUE"""),1268.4)</f>
        <v>1268.4</v>
      </c>
      <c r="F5211" s="1">
        <f>IFERROR(__xludf.DUMMYFUNCTION("""COMPUTED_VALUE"""),2.66771008E8)</f>
        <v>266771008</v>
      </c>
    </row>
    <row r="5212">
      <c r="A5212" s="2">
        <f>IFERROR(__xludf.DUMMYFUNCTION("""COMPUTED_VALUE"""),38925.666666666664)</f>
        <v>38925.66667</v>
      </c>
      <c r="B5212" s="1">
        <f>IFERROR(__xludf.DUMMYFUNCTION("""COMPUTED_VALUE"""),1268.2)</f>
        <v>1268.2</v>
      </c>
      <c r="C5212" s="1">
        <f>IFERROR(__xludf.DUMMYFUNCTION("""COMPUTED_VALUE"""),1275.85)</f>
        <v>1275.85</v>
      </c>
      <c r="D5212" s="1">
        <f>IFERROR(__xludf.DUMMYFUNCTION("""COMPUTED_VALUE"""),1261.93)</f>
        <v>1261.93</v>
      </c>
      <c r="E5212" s="1">
        <f>IFERROR(__xludf.DUMMYFUNCTION("""COMPUTED_VALUE"""),1263.2)</f>
        <v>1263.2</v>
      </c>
      <c r="F5212" s="1">
        <f>IFERROR(__xludf.DUMMYFUNCTION("""COMPUTED_VALUE"""),2.77671008E8)</f>
        <v>277671008</v>
      </c>
    </row>
    <row r="5213">
      <c r="A5213" s="2">
        <f>IFERROR(__xludf.DUMMYFUNCTION("""COMPUTED_VALUE"""),38926.666666666664)</f>
        <v>38926.66667</v>
      </c>
      <c r="B5213" s="1">
        <f>IFERROR(__xludf.DUMMYFUNCTION("""COMPUTED_VALUE"""),1263.15)</f>
        <v>1263.15</v>
      </c>
      <c r="C5213" s="1">
        <f>IFERROR(__xludf.DUMMYFUNCTION("""COMPUTED_VALUE"""),1280.42)</f>
        <v>1280.42</v>
      </c>
      <c r="D5213" s="1">
        <f>IFERROR(__xludf.DUMMYFUNCTION("""COMPUTED_VALUE"""),1263.15)</f>
        <v>1263.15</v>
      </c>
      <c r="E5213" s="1">
        <f>IFERROR(__xludf.DUMMYFUNCTION("""COMPUTED_VALUE"""),1278.55)</f>
        <v>1278.55</v>
      </c>
      <c r="F5213" s="1">
        <f>IFERROR(__xludf.DUMMYFUNCTION("""COMPUTED_VALUE"""),2.48042E8)</f>
        <v>248042000</v>
      </c>
    </row>
    <row r="5214">
      <c r="A5214" s="2">
        <f>IFERROR(__xludf.DUMMYFUNCTION("""COMPUTED_VALUE"""),38929.666666666664)</f>
        <v>38929.66667</v>
      </c>
      <c r="B5214" s="1">
        <f>IFERROR(__xludf.DUMMYFUNCTION("""COMPUTED_VALUE"""),1278.53)</f>
        <v>1278.53</v>
      </c>
      <c r="C5214" s="1">
        <f>IFERROR(__xludf.DUMMYFUNCTION("""COMPUTED_VALUE"""),1278.63)</f>
        <v>1278.63</v>
      </c>
      <c r="D5214" s="1">
        <f>IFERROR(__xludf.DUMMYFUNCTION("""COMPUTED_VALUE"""),1274.31)</f>
        <v>1274.31</v>
      </c>
      <c r="E5214" s="1">
        <f>IFERROR(__xludf.DUMMYFUNCTION("""COMPUTED_VALUE"""),1276.66)</f>
        <v>1276.66</v>
      </c>
      <c r="F5214" s="1">
        <f>IFERROR(__xludf.DUMMYFUNCTION("""COMPUTED_VALUE"""),2.4613E8)</f>
        <v>246130000</v>
      </c>
    </row>
    <row r="5215">
      <c r="A5215" s="2">
        <f>IFERROR(__xludf.DUMMYFUNCTION("""COMPUTED_VALUE"""),38930.666666666664)</f>
        <v>38930.66667</v>
      </c>
      <c r="B5215" s="1">
        <f>IFERROR(__xludf.DUMMYFUNCTION("""COMPUTED_VALUE"""),1276.66)</f>
        <v>1276.66</v>
      </c>
      <c r="C5215" s="1">
        <f>IFERROR(__xludf.DUMMYFUNCTION("""COMPUTED_VALUE"""),1276.66)</f>
        <v>1276.66</v>
      </c>
      <c r="D5215" s="1">
        <f>IFERROR(__xludf.DUMMYFUNCTION("""COMPUTED_VALUE"""),1265.84)</f>
        <v>1265.84</v>
      </c>
      <c r="E5215" s="1">
        <f>IFERROR(__xludf.DUMMYFUNCTION("""COMPUTED_VALUE"""),1270.92)</f>
        <v>1270.92</v>
      </c>
      <c r="F5215" s="1">
        <f>IFERROR(__xludf.DUMMYFUNCTION("""COMPUTED_VALUE"""),2.52768992E8)</f>
        <v>252768992</v>
      </c>
    </row>
    <row r="5216">
      <c r="A5216" s="2">
        <f>IFERROR(__xludf.DUMMYFUNCTION("""COMPUTED_VALUE"""),38931.666666666664)</f>
        <v>38931.66667</v>
      </c>
      <c r="B5216" s="1">
        <f>IFERROR(__xludf.DUMMYFUNCTION("""COMPUTED_VALUE"""),1270.73)</f>
        <v>1270.73</v>
      </c>
      <c r="C5216" s="1">
        <f>IFERROR(__xludf.DUMMYFUNCTION("""COMPUTED_VALUE"""),1283.42)</f>
        <v>1283.42</v>
      </c>
      <c r="D5216" s="1">
        <f>IFERROR(__xludf.DUMMYFUNCTION("""COMPUTED_VALUE"""),1270.73)</f>
        <v>1270.73</v>
      </c>
      <c r="E5216" s="1">
        <f>IFERROR(__xludf.DUMMYFUNCTION("""COMPUTED_VALUE"""),1278.55)</f>
        <v>1278.55</v>
      </c>
      <c r="F5216" s="1">
        <f>IFERROR(__xludf.DUMMYFUNCTION("""COMPUTED_VALUE"""),2.61075008E8)</f>
        <v>261075008</v>
      </c>
    </row>
    <row r="5217">
      <c r="A5217" s="2">
        <f>IFERROR(__xludf.DUMMYFUNCTION("""COMPUTED_VALUE"""),38932.666666666664)</f>
        <v>38932.66667</v>
      </c>
      <c r="B5217" s="1">
        <f>IFERROR(__xludf.DUMMYFUNCTION("""COMPUTED_VALUE"""),1278.22)</f>
        <v>1278.22</v>
      </c>
      <c r="C5217" s="1">
        <f>IFERROR(__xludf.DUMMYFUNCTION("""COMPUTED_VALUE"""),1283.96)</f>
        <v>1283.96</v>
      </c>
      <c r="D5217" s="1">
        <f>IFERROR(__xludf.DUMMYFUNCTION("""COMPUTED_VALUE"""),1271.25)</f>
        <v>1271.25</v>
      </c>
      <c r="E5217" s="1">
        <f>IFERROR(__xludf.DUMMYFUNCTION("""COMPUTED_VALUE"""),1280.27)</f>
        <v>1280.27</v>
      </c>
      <c r="F5217" s="1">
        <f>IFERROR(__xludf.DUMMYFUNCTION("""COMPUTED_VALUE"""),2.72844E8)</f>
        <v>272844000</v>
      </c>
    </row>
    <row r="5218">
      <c r="A5218" s="2">
        <f>IFERROR(__xludf.DUMMYFUNCTION("""COMPUTED_VALUE"""),38933.666666666664)</f>
        <v>38933.66667</v>
      </c>
      <c r="B5218" s="1">
        <f>IFERROR(__xludf.DUMMYFUNCTION("""COMPUTED_VALUE"""),1280.26)</f>
        <v>1280.26</v>
      </c>
      <c r="C5218" s="1">
        <f>IFERROR(__xludf.DUMMYFUNCTION("""COMPUTED_VALUE"""),1292.92)</f>
        <v>1292.92</v>
      </c>
      <c r="D5218" s="1">
        <f>IFERROR(__xludf.DUMMYFUNCTION("""COMPUTED_VALUE"""),1273.82)</f>
        <v>1273.82</v>
      </c>
      <c r="E5218" s="1">
        <f>IFERROR(__xludf.DUMMYFUNCTION("""COMPUTED_VALUE"""),1279.36)</f>
        <v>1279.36</v>
      </c>
      <c r="F5218" s="1">
        <f>IFERROR(__xludf.DUMMYFUNCTION("""COMPUTED_VALUE"""),2.53096992E8)</f>
        <v>253096992</v>
      </c>
    </row>
    <row r="5219">
      <c r="A5219" s="2">
        <f>IFERROR(__xludf.DUMMYFUNCTION("""COMPUTED_VALUE"""),38936.666666666664)</f>
        <v>38936.66667</v>
      </c>
      <c r="B5219" s="1">
        <f>IFERROR(__xludf.DUMMYFUNCTION("""COMPUTED_VALUE"""),1279.31)</f>
        <v>1279.31</v>
      </c>
      <c r="C5219" s="1">
        <f>IFERROR(__xludf.DUMMYFUNCTION("""COMPUTED_VALUE"""),1279.31)</f>
        <v>1279.31</v>
      </c>
      <c r="D5219" s="1">
        <f>IFERROR(__xludf.DUMMYFUNCTION("""COMPUTED_VALUE"""),1273.0)</f>
        <v>1273</v>
      </c>
      <c r="E5219" s="1">
        <f>IFERROR(__xludf.DUMMYFUNCTION("""COMPUTED_VALUE"""),1275.77)</f>
        <v>1275.77</v>
      </c>
      <c r="F5219" s="1">
        <f>IFERROR(__xludf.DUMMYFUNCTION("""COMPUTED_VALUE"""),2.04566E8)</f>
        <v>204566000</v>
      </c>
    </row>
    <row r="5220">
      <c r="A5220" s="2">
        <f>IFERROR(__xludf.DUMMYFUNCTION("""COMPUTED_VALUE"""),38937.666666666664)</f>
        <v>38937.66667</v>
      </c>
      <c r="B5220" s="1">
        <f>IFERROR(__xludf.DUMMYFUNCTION("""COMPUTED_VALUE"""),1275.67)</f>
        <v>1275.67</v>
      </c>
      <c r="C5220" s="1">
        <f>IFERROR(__xludf.DUMMYFUNCTION("""COMPUTED_VALUE"""),1282.05)</f>
        <v>1282.05</v>
      </c>
      <c r="D5220" s="1">
        <f>IFERROR(__xludf.DUMMYFUNCTION("""COMPUTED_VALUE"""),1268.37)</f>
        <v>1268.37</v>
      </c>
      <c r="E5220" s="1">
        <f>IFERROR(__xludf.DUMMYFUNCTION("""COMPUTED_VALUE"""),1271.48)</f>
        <v>1271.48</v>
      </c>
      <c r="F5220" s="1">
        <f>IFERROR(__xludf.DUMMYFUNCTION("""COMPUTED_VALUE"""),2.45784E8)</f>
        <v>245784000</v>
      </c>
    </row>
    <row r="5221">
      <c r="A5221" s="2">
        <f>IFERROR(__xludf.DUMMYFUNCTION("""COMPUTED_VALUE"""),38938.666666666664)</f>
        <v>38938.66667</v>
      </c>
      <c r="B5221" s="1">
        <f>IFERROR(__xludf.DUMMYFUNCTION("""COMPUTED_VALUE"""),1271.13)</f>
        <v>1271.13</v>
      </c>
      <c r="C5221" s="1">
        <f>IFERROR(__xludf.DUMMYFUNCTION("""COMPUTED_VALUE"""),1283.74)</f>
        <v>1283.74</v>
      </c>
      <c r="D5221" s="1">
        <f>IFERROR(__xludf.DUMMYFUNCTION("""COMPUTED_VALUE"""),1264.73)</f>
        <v>1264.73</v>
      </c>
      <c r="E5221" s="1">
        <f>IFERROR(__xludf.DUMMYFUNCTION("""COMPUTED_VALUE"""),1265.95)</f>
        <v>1265.95</v>
      </c>
      <c r="F5221" s="1">
        <f>IFERROR(__xludf.DUMMYFUNCTION("""COMPUTED_VALUE"""),2.55518E8)</f>
        <v>255518000</v>
      </c>
    </row>
    <row r="5222">
      <c r="A5222" s="2">
        <f>IFERROR(__xludf.DUMMYFUNCTION("""COMPUTED_VALUE"""),38939.666666666664)</f>
        <v>38939.66667</v>
      </c>
      <c r="B5222" s="1">
        <f>IFERROR(__xludf.DUMMYFUNCTION("""COMPUTED_VALUE"""),1265.72)</f>
        <v>1265.72</v>
      </c>
      <c r="C5222" s="1">
        <f>IFERROR(__xludf.DUMMYFUNCTION("""COMPUTED_VALUE"""),1272.55)</f>
        <v>1272.55</v>
      </c>
      <c r="D5222" s="1">
        <f>IFERROR(__xludf.DUMMYFUNCTION("""COMPUTED_VALUE"""),1261.3)</f>
        <v>1261.3</v>
      </c>
      <c r="E5222" s="1">
        <f>IFERROR(__xludf.DUMMYFUNCTION("""COMPUTED_VALUE"""),1271.81)</f>
        <v>1271.81</v>
      </c>
      <c r="F5222" s="1">
        <f>IFERROR(__xludf.DUMMYFUNCTION("""COMPUTED_VALUE"""),2.40219008E8)</f>
        <v>240219008</v>
      </c>
    </row>
    <row r="5223">
      <c r="A5223" s="2">
        <f>IFERROR(__xludf.DUMMYFUNCTION("""COMPUTED_VALUE"""),38940.666666666664)</f>
        <v>38940.66667</v>
      </c>
      <c r="B5223" s="1">
        <f>IFERROR(__xludf.DUMMYFUNCTION("""COMPUTED_VALUE"""),1271.64)</f>
        <v>1271.64</v>
      </c>
      <c r="C5223" s="1">
        <f>IFERROR(__xludf.DUMMYFUNCTION("""COMPUTED_VALUE"""),1271.64)</f>
        <v>1271.64</v>
      </c>
      <c r="D5223" s="1">
        <f>IFERROR(__xludf.DUMMYFUNCTION("""COMPUTED_VALUE"""),1262.08)</f>
        <v>1262.08</v>
      </c>
      <c r="E5223" s="1">
        <f>IFERROR(__xludf.DUMMYFUNCTION("""COMPUTED_VALUE"""),1266.74)</f>
        <v>1266.74</v>
      </c>
      <c r="F5223" s="1">
        <f>IFERROR(__xludf.DUMMYFUNCTION("""COMPUTED_VALUE"""),2.00454E8)</f>
        <v>200454000</v>
      </c>
    </row>
    <row r="5224">
      <c r="A5224" s="2">
        <f>IFERROR(__xludf.DUMMYFUNCTION("""COMPUTED_VALUE"""),38943.666666666664)</f>
        <v>38943.66667</v>
      </c>
      <c r="B5224" s="1">
        <f>IFERROR(__xludf.DUMMYFUNCTION("""COMPUTED_VALUE"""),1266.67)</f>
        <v>1266.67</v>
      </c>
      <c r="C5224" s="1">
        <f>IFERROR(__xludf.DUMMYFUNCTION("""COMPUTED_VALUE"""),1278.9)</f>
        <v>1278.9</v>
      </c>
      <c r="D5224" s="1">
        <f>IFERROR(__xludf.DUMMYFUNCTION("""COMPUTED_VALUE"""),1266.67)</f>
        <v>1266.67</v>
      </c>
      <c r="E5224" s="1">
        <f>IFERROR(__xludf.DUMMYFUNCTION("""COMPUTED_VALUE"""),1268.21)</f>
        <v>1268.21</v>
      </c>
      <c r="F5224" s="1">
        <f>IFERROR(__xludf.DUMMYFUNCTION("""COMPUTED_VALUE"""),2.11802E8)</f>
        <v>211802000</v>
      </c>
    </row>
    <row r="5225">
      <c r="A5225" s="2">
        <f>IFERROR(__xludf.DUMMYFUNCTION("""COMPUTED_VALUE"""),38944.666666666664)</f>
        <v>38944.66667</v>
      </c>
      <c r="B5225" s="1">
        <f>IFERROR(__xludf.DUMMYFUNCTION("""COMPUTED_VALUE"""),1268.19)</f>
        <v>1268.19</v>
      </c>
      <c r="C5225" s="1">
        <f>IFERROR(__xludf.DUMMYFUNCTION("""COMPUTED_VALUE"""),1286.23)</f>
        <v>1286.23</v>
      </c>
      <c r="D5225" s="1">
        <f>IFERROR(__xludf.DUMMYFUNCTION("""COMPUTED_VALUE"""),1268.19)</f>
        <v>1268.19</v>
      </c>
      <c r="E5225" s="1">
        <f>IFERROR(__xludf.DUMMYFUNCTION("""COMPUTED_VALUE"""),1285.58)</f>
        <v>1285.58</v>
      </c>
      <c r="F5225" s="1">
        <f>IFERROR(__xludf.DUMMYFUNCTION("""COMPUTED_VALUE"""),2.3341E8)</f>
        <v>233410000</v>
      </c>
    </row>
    <row r="5226">
      <c r="A5226" s="2">
        <f>IFERROR(__xludf.DUMMYFUNCTION("""COMPUTED_VALUE"""),38945.666666666664)</f>
        <v>38945.66667</v>
      </c>
      <c r="B5226" s="1">
        <f>IFERROR(__xludf.DUMMYFUNCTION("""COMPUTED_VALUE"""),1285.27)</f>
        <v>1285.27</v>
      </c>
      <c r="C5226" s="1">
        <f>IFERROR(__xludf.DUMMYFUNCTION("""COMPUTED_VALUE"""),1296.21)</f>
        <v>1296.21</v>
      </c>
      <c r="D5226" s="1">
        <f>IFERROR(__xludf.DUMMYFUNCTION("""COMPUTED_VALUE"""),1285.27)</f>
        <v>1285.27</v>
      </c>
      <c r="E5226" s="1">
        <f>IFERROR(__xludf.DUMMYFUNCTION("""COMPUTED_VALUE"""),1295.43)</f>
        <v>1295.43</v>
      </c>
      <c r="F5226" s="1">
        <f>IFERROR(__xludf.DUMMYFUNCTION("""COMPUTED_VALUE"""),2.55456992E8)</f>
        <v>255456992</v>
      </c>
    </row>
    <row r="5227">
      <c r="A5227" s="2">
        <f>IFERROR(__xludf.DUMMYFUNCTION("""COMPUTED_VALUE"""),38946.666666666664)</f>
        <v>38946.66667</v>
      </c>
      <c r="B5227" s="1">
        <f>IFERROR(__xludf.DUMMYFUNCTION("""COMPUTED_VALUE"""),1295.37)</f>
        <v>1295.37</v>
      </c>
      <c r="C5227" s="1">
        <f>IFERROR(__xludf.DUMMYFUNCTION("""COMPUTED_VALUE"""),1300.78)</f>
        <v>1300.78</v>
      </c>
      <c r="D5227" s="1">
        <f>IFERROR(__xludf.DUMMYFUNCTION("""COMPUTED_VALUE"""),1292.71)</f>
        <v>1292.71</v>
      </c>
      <c r="E5227" s="1">
        <f>IFERROR(__xludf.DUMMYFUNCTION("""COMPUTED_VALUE"""),1297.48)</f>
        <v>1297.48</v>
      </c>
      <c r="F5227" s="1">
        <f>IFERROR(__xludf.DUMMYFUNCTION("""COMPUTED_VALUE"""),2.45834E8)</f>
        <v>245834000</v>
      </c>
    </row>
    <row r="5228">
      <c r="A5228" s="2">
        <f>IFERROR(__xludf.DUMMYFUNCTION("""COMPUTED_VALUE"""),38947.666666666664)</f>
        <v>38947.66667</v>
      </c>
      <c r="B5228" s="1">
        <f>IFERROR(__xludf.DUMMYFUNCTION("""COMPUTED_VALUE"""),1297.48)</f>
        <v>1297.48</v>
      </c>
      <c r="C5228" s="1">
        <f>IFERROR(__xludf.DUMMYFUNCTION("""COMPUTED_VALUE"""),1302.3)</f>
        <v>1302.3</v>
      </c>
      <c r="D5228" s="1">
        <f>IFERROR(__xludf.DUMMYFUNCTION("""COMPUTED_VALUE"""),1293.57)</f>
        <v>1293.57</v>
      </c>
      <c r="E5228" s="1">
        <f>IFERROR(__xludf.DUMMYFUNCTION("""COMPUTED_VALUE"""),1302.3)</f>
        <v>1302.3</v>
      </c>
      <c r="F5228" s="1">
        <f>IFERROR(__xludf.DUMMYFUNCTION("""COMPUTED_VALUE"""),2.03391008E8)</f>
        <v>203391008</v>
      </c>
    </row>
    <row r="5229">
      <c r="A5229" s="2">
        <f>IFERROR(__xludf.DUMMYFUNCTION("""COMPUTED_VALUE"""),38950.666666666664)</f>
        <v>38950.66667</v>
      </c>
      <c r="B5229" s="1">
        <f>IFERROR(__xludf.DUMMYFUNCTION("""COMPUTED_VALUE"""),1302.3)</f>
        <v>1302.3</v>
      </c>
      <c r="C5229" s="1">
        <f>IFERROR(__xludf.DUMMYFUNCTION("""COMPUTED_VALUE"""),1302.3)</f>
        <v>1302.3</v>
      </c>
      <c r="D5229" s="1">
        <f>IFERROR(__xludf.DUMMYFUNCTION("""COMPUTED_VALUE"""),1295.51)</f>
        <v>1295.51</v>
      </c>
      <c r="E5229" s="1">
        <f>IFERROR(__xludf.DUMMYFUNCTION("""COMPUTED_VALUE"""),1297.52)</f>
        <v>1297.52</v>
      </c>
      <c r="F5229" s="1">
        <f>IFERROR(__xludf.DUMMYFUNCTION("""COMPUTED_VALUE"""),1.75924E8)</f>
        <v>175924000</v>
      </c>
    </row>
    <row r="5230">
      <c r="A5230" s="2">
        <f>IFERROR(__xludf.DUMMYFUNCTION("""COMPUTED_VALUE"""),38951.666666666664)</f>
        <v>38951.66667</v>
      </c>
      <c r="B5230" s="1">
        <f>IFERROR(__xludf.DUMMYFUNCTION("""COMPUTED_VALUE"""),1297.52)</f>
        <v>1297.52</v>
      </c>
      <c r="C5230" s="1">
        <f>IFERROR(__xludf.DUMMYFUNCTION("""COMPUTED_VALUE"""),1302.49)</f>
        <v>1302.49</v>
      </c>
      <c r="D5230" s="1">
        <f>IFERROR(__xludf.DUMMYFUNCTION("""COMPUTED_VALUE"""),1294.44)</f>
        <v>1294.44</v>
      </c>
      <c r="E5230" s="1">
        <f>IFERROR(__xludf.DUMMYFUNCTION("""COMPUTED_VALUE"""),1298.82)</f>
        <v>1298.82</v>
      </c>
      <c r="F5230" s="1">
        <f>IFERROR(__xludf.DUMMYFUNCTION("""COMPUTED_VALUE"""),1.90874E8)</f>
        <v>190874000</v>
      </c>
    </row>
    <row r="5231">
      <c r="A5231" s="2">
        <f>IFERROR(__xludf.DUMMYFUNCTION("""COMPUTED_VALUE"""),38952.666666666664)</f>
        <v>38952.66667</v>
      </c>
      <c r="B5231" s="1">
        <f>IFERROR(__xludf.DUMMYFUNCTION("""COMPUTED_VALUE"""),1298.73)</f>
        <v>1298.73</v>
      </c>
      <c r="C5231" s="1">
        <f>IFERROR(__xludf.DUMMYFUNCTION("""COMPUTED_VALUE"""),1301.5)</f>
        <v>1301.5</v>
      </c>
      <c r="D5231" s="1">
        <f>IFERROR(__xludf.DUMMYFUNCTION("""COMPUTED_VALUE"""),1289.49)</f>
        <v>1289.49</v>
      </c>
      <c r="E5231" s="1">
        <f>IFERROR(__xludf.DUMMYFUNCTION("""COMPUTED_VALUE"""),1292.99)</f>
        <v>1292.99</v>
      </c>
      <c r="F5231" s="1">
        <f>IFERROR(__xludf.DUMMYFUNCTION("""COMPUTED_VALUE"""),1.89367008E8)</f>
        <v>189367008</v>
      </c>
    </row>
    <row r="5232">
      <c r="A5232" s="2">
        <f>IFERROR(__xludf.DUMMYFUNCTION("""COMPUTED_VALUE"""),38953.666666666664)</f>
        <v>38953.66667</v>
      </c>
      <c r="B5232" s="1">
        <f>IFERROR(__xludf.DUMMYFUNCTION("""COMPUTED_VALUE"""),1292.97)</f>
        <v>1292.97</v>
      </c>
      <c r="C5232" s="1">
        <f>IFERROR(__xludf.DUMMYFUNCTION("""COMPUTED_VALUE"""),1297.23)</f>
        <v>1297.23</v>
      </c>
      <c r="D5232" s="1">
        <f>IFERROR(__xludf.DUMMYFUNCTION("""COMPUTED_VALUE"""),1291.4)</f>
        <v>1291.4</v>
      </c>
      <c r="E5232" s="1">
        <f>IFERROR(__xludf.DUMMYFUNCTION("""COMPUTED_VALUE"""),1296.06)</f>
        <v>1296.06</v>
      </c>
      <c r="F5232" s="1">
        <f>IFERROR(__xludf.DUMMYFUNCTION("""COMPUTED_VALUE"""),1.93032E8)</f>
        <v>193032000</v>
      </c>
    </row>
    <row r="5233">
      <c r="A5233" s="2">
        <f>IFERROR(__xludf.DUMMYFUNCTION("""COMPUTED_VALUE"""),38954.666666666664)</f>
        <v>38954.66667</v>
      </c>
      <c r="B5233" s="1">
        <f>IFERROR(__xludf.DUMMYFUNCTION("""COMPUTED_VALUE"""),1295.92)</f>
        <v>1295.92</v>
      </c>
      <c r="C5233" s="1">
        <f>IFERROR(__xludf.DUMMYFUNCTION("""COMPUTED_VALUE"""),1298.88)</f>
        <v>1298.88</v>
      </c>
      <c r="D5233" s="1">
        <f>IFERROR(__xludf.DUMMYFUNCTION("""COMPUTED_VALUE"""),1292.39)</f>
        <v>1292.39</v>
      </c>
      <c r="E5233" s="1">
        <f>IFERROR(__xludf.DUMMYFUNCTION("""COMPUTED_VALUE"""),1295.09)</f>
        <v>1295.09</v>
      </c>
      <c r="F5233" s="1">
        <f>IFERROR(__xludf.DUMMYFUNCTION("""COMPUTED_VALUE"""),1.66758E8)</f>
        <v>166758000</v>
      </c>
    </row>
    <row r="5234">
      <c r="A5234" s="2">
        <f>IFERROR(__xludf.DUMMYFUNCTION("""COMPUTED_VALUE"""),38957.666666666664)</f>
        <v>38957.66667</v>
      </c>
      <c r="B5234" s="1">
        <f>IFERROR(__xludf.DUMMYFUNCTION("""COMPUTED_VALUE"""),1295.09)</f>
        <v>1295.09</v>
      </c>
      <c r="C5234" s="1">
        <f>IFERROR(__xludf.DUMMYFUNCTION("""COMPUTED_VALUE"""),1305.02)</f>
        <v>1305.02</v>
      </c>
      <c r="D5234" s="1">
        <f>IFERROR(__xludf.DUMMYFUNCTION("""COMPUTED_VALUE"""),1293.97)</f>
        <v>1293.97</v>
      </c>
      <c r="E5234" s="1">
        <f>IFERROR(__xludf.DUMMYFUNCTION("""COMPUTED_VALUE"""),1301.78)</f>
        <v>1301.78</v>
      </c>
      <c r="F5234" s="1">
        <f>IFERROR(__xludf.DUMMYFUNCTION("""COMPUTED_VALUE"""),1.83492E8)</f>
        <v>183492000</v>
      </c>
    </row>
    <row r="5235">
      <c r="A5235" s="2">
        <f>IFERROR(__xludf.DUMMYFUNCTION("""COMPUTED_VALUE"""),38958.666666666664)</f>
        <v>38958.66667</v>
      </c>
      <c r="B5235" s="1">
        <f>IFERROR(__xludf.DUMMYFUNCTION("""COMPUTED_VALUE"""),1301.57)</f>
        <v>1301.57</v>
      </c>
      <c r="C5235" s="1">
        <f>IFERROR(__xludf.DUMMYFUNCTION("""COMPUTED_VALUE"""),1305.02)</f>
        <v>1305.02</v>
      </c>
      <c r="D5235" s="1">
        <f>IFERROR(__xludf.DUMMYFUNCTION("""COMPUTED_VALUE"""),1295.29)</f>
        <v>1295.29</v>
      </c>
      <c r="E5235" s="1">
        <f>IFERROR(__xludf.DUMMYFUNCTION("""COMPUTED_VALUE"""),1304.28)</f>
        <v>1304.28</v>
      </c>
      <c r="F5235" s="1">
        <f>IFERROR(__xludf.DUMMYFUNCTION("""COMPUTED_VALUE"""),2.09372E8)</f>
        <v>209372000</v>
      </c>
    </row>
    <row r="5236">
      <c r="A5236" s="2">
        <f>IFERROR(__xludf.DUMMYFUNCTION("""COMPUTED_VALUE"""),38959.666666666664)</f>
        <v>38959.66667</v>
      </c>
      <c r="B5236" s="1">
        <f>IFERROR(__xludf.DUMMYFUNCTION("""COMPUTED_VALUE"""),1303.7)</f>
        <v>1303.7</v>
      </c>
      <c r="C5236" s="1">
        <f>IFERROR(__xludf.DUMMYFUNCTION("""COMPUTED_VALUE"""),1306.74)</f>
        <v>1306.74</v>
      </c>
      <c r="D5236" s="1">
        <f>IFERROR(__xludf.DUMMYFUNCTION("""COMPUTED_VALUE"""),1302.15)</f>
        <v>1302.15</v>
      </c>
      <c r="E5236" s="1">
        <f>IFERROR(__xludf.DUMMYFUNCTION("""COMPUTED_VALUE"""),1304.27)</f>
        <v>1304.27</v>
      </c>
      <c r="F5236" s="1">
        <f>IFERROR(__xludf.DUMMYFUNCTION("""COMPUTED_VALUE"""),2.06068992E8)</f>
        <v>206068992</v>
      </c>
    </row>
    <row r="5237">
      <c r="A5237" s="2">
        <f>IFERROR(__xludf.DUMMYFUNCTION("""COMPUTED_VALUE"""),38960.666666666664)</f>
        <v>38960.66667</v>
      </c>
      <c r="B5237" s="1">
        <f>IFERROR(__xludf.DUMMYFUNCTION("""COMPUTED_VALUE"""),1304.25)</f>
        <v>1304.25</v>
      </c>
      <c r="C5237" s="1">
        <f>IFERROR(__xludf.DUMMYFUNCTION("""COMPUTED_VALUE"""),1306.11)</f>
        <v>1306.11</v>
      </c>
      <c r="D5237" s="1">
        <f>IFERROR(__xludf.DUMMYFUNCTION("""COMPUTED_VALUE"""),1302.51)</f>
        <v>1302.51</v>
      </c>
      <c r="E5237" s="1">
        <f>IFERROR(__xludf.DUMMYFUNCTION("""COMPUTED_VALUE"""),1303.82)</f>
        <v>1303.82</v>
      </c>
      <c r="F5237" s="1">
        <f>IFERROR(__xludf.DUMMYFUNCTION("""COMPUTED_VALUE"""),1.97454E8)</f>
        <v>197454000</v>
      </c>
    </row>
    <row r="5238">
      <c r="A5238" s="2">
        <f>IFERROR(__xludf.DUMMYFUNCTION("""COMPUTED_VALUE"""),38961.666666666664)</f>
        <v>38961.66667</v>
      </c>
      <c r="B5238" s="1">
        <f>IFERROR(__xludf.DUMMYFUNCTION("""COMPUTED_VALUE"""),1303.8)</f>
        <v>1303.8</v>
      </c>
      <c r="C5238" s="1">
        <f>IFERROR(__xludf.DUMMYFUNCTION("""COMPUTED_VALUE"""),1312.03)</f>
        <v>1312.03</v>
      </c>
      <c r="D5238" s="1">
        <f>IFERROR(__xludf.DUMMYFUNCTION("""COMPUTED_VALUE"""),1303.8)</f>
        <v>1303.8</v>
      </c>
      <c r="E5238" s="1">
        <f>IFERROR(__xludf.DUMMYFUNCTION("""COMPUTED_VALUE"""),1311.01)</f>
        <v>1311.01</v>
      </c>
      <c r="F5238" s="1">
        <f>IFERROR(__xludf.DUMMYFUNCTION("""COMPUTED_VALUE"""),1.80052E8)</f>
        <v>180052000</v>
      </c>
    </row>
    <row r="5239">
      <c r="A5239" s="2">
        <f>IFERROR(__xludf.DUMMYFUNCTION("""COMPUTED_VALUE"""),38965.666666666664)</f>
        <v>38965.66667</v>
      </c>
      <c r="B5239" s="1">
        <f>IFERROR(__xludf.DUMMYFUNCTION("""COMPUTED_VALUE"""),1310.94)</f>
        <v>1310.94</v>
      </c>
      <c r="C5239" s="1">
        <f>IFERROR(__xludf.DUMMYFUNCTION("""COMPUTED_VALUE"""),1314.67)</f>
        <v>1314.67</v>
      </c>
      <c r="D5239" s="1">
        <f>IFERROR(__xludf.DUMMYFUNCTION("""COMPUTED_VALUE"""),1308.82)</f>
        <v>1308.82</v>
      </c>
      <c r="E5239" s="1">
        <f>IFERROR(__xludf.DUMMYFUNCTION("""COMPUTED_VALUE"""),1313.25)</f>
        <v>1313.25</v>
      </c>
      <c r="F5239" s="1">
        <f>IFERROR(__xludf.DUMMYFUNCTION("""COMPUTED_VALUE"""),2.11448E8)</f>
        <v>211448000</v>
      </c>
    </row>
    <row r="5240">
      <c r="A5240" s="2">
        <f>IFERROR(__xludf.DUMMYFUNCTION("""COMPUTED_VALUE"""),38966.666666666664)</f>
        <v>38966.66667</v>
      </c>
      <c r="B5240" s="1">
        <f>IFERROR(__xludf.DUMMYFUNCTION("""COMPUTED_VALUE"""),1313.04)</f>
        <v>1313.04</v>
      </c>
      <c r="C5240" s="1">
        <f>IFERROR(__xludf.DUMMYFUNCTION("""COMPUTED_VALUE"""),1313.04)</f>
        <v>1313.04</v>
      </c>
      <c r="D5240" s="1">
        <f>IFERROR(__xludf.DUMMYFUNCTION("""COMPUTED_VALUE"""),1299.28)</f>
        <v>1299.28</v>
      </c>
      <c r="E5240" s="1">
        <f>IFERROR(__xludf.DUMMYFUNCTION("""COMPUTED_VALUE"""),1300.26)</f>
        <v>1300.26</v>
      </c>
      <c r="F5240" s="1">
        <f>IFERROR(__xludf.DUMMYFUNCTION("""COMPUTED_VALUE"""),2.32987008E8)</f>
        <v>232987008</v>
      </c>
    </row>
    <row r="5241">
      <c r="A5241" s="2">
        <f>IFERROR(__xludf.DUMMYFUNCTION("""COMPUTED_VALUE"""),38967.666666666664)</f>
        <v>38967.66667</v>
      </c>
      <c r="B5241" s="1">
        <f>IFERROR(__xludf.DUMMYFUNCTION("""COMPUTED_VALUE"""),1300.21)</f>
        <v>1300.21</v>
      </c>
      <c r="C5241" s="1">
        <f>IFERROR(__xludf.DUMMYFUNCTION("""COMPUTED_VALUE"""),1301.25)</f>
        <v>1301.25</v>
      </c>
      <c r="D5241" s="1">
        <f>IFERROR(__xludf.DUMMYFUNCTION("""COMPUTED_VALUE"""),1292.13)</f>
        <v>1292.13</v>
      </c>
      <c r="E5241" s="1">
        <f>IFERROR(__xludf.DUMMYFUNCTION("""COMPUTED_VALUE"""),1294.02)</f>
        <v>1294.02</v>
      </c>
      <c r="F5241" s="1">
        <f>IFERROR(__xludf.DUMMYFUNCTION("""COMPUTED_VALUE"""),2.32584992E8)</f>
        <v>232584992</v>
      </c>
    </row>
    <row r="5242">
      <c r="A5242" s="2">
        <f>IFERROR(__xludf.DUMMYFUNCTION("""COMPUTED_VALUE"""),38968.666666666664)</f>
        <v>38968.66667</v>
      </c>
      <c r="B5242" s="1">
        <f>IFERROR(__xludf.DUMMYFUNCTION("""COMPUTED_VALUE"""),1294.02)</f>
        <v>1294.02</v>
      </c>
      <c r="C5242" s="1">
        <f>IFERROR(__xludf.DUMMYFUNCTION("""COMPUTED_VALUE"""),1300.14)</f>
        <v>1300.14</v>
      </c>
      <c r="D5242" s="1">
        <f>IFERROR(__xludf.DUMMYFUNCTION("""COMPUTED_VALUE"""),1294.02)</f>
        <v>1294.02</v>
      </c>
      <c r="E5242" s="1">
        <f>IFERROR(__xludf.DUMMYFUNCTION("""COMPUTED_VALUE"""),1298.92)</f>
        <v>1298.92</v>
      </c>
      <c r="F5242" s="1">
        <f>IFERROR(__xludf.DUMMYFUNCTION("""COMPUTED_VALUE"""),2.13288992E8)</f>
        <v>213288992</v>
      </c>
    </row>
    <row r="5243">
      <c r="A5243" s="2">
        <f>IFERROR(__xludf.DUMMYFUNCTION("""COMPUTED_VALUE"""),38971.666666666664)</f>
        <v>38971.66667</v>
      </c>
      <c r="B5243" s="1">
        <f>IFERROR(__xludf.DUMMYFUNCTION("""COMPUTED_VALUE"""),1298.86)</f>
        <v>1298.86</v>
      </c>
      <c r="C5243" s="1">
        <f>IFERROR(__xludf.DUMMYFUNCTION("""COMPUTED_VALUE"""),1302.36)</f>
        <v>1302.36</v>
      </c>
      <c r="D5243" s="1">
        <f>IFERROR(__xludf.DUMMYFUNCTION("""COMPUTED_VALUE"""),1290.93)</f>
        <v>1290.93</v>
      </c>
      <c r="E5243" s="1">
        <f>IFERROR(__xludf.DUMMYFUNCTION("""COMPUTED_VALUE"""),1299.54)</f>
        <v>1299.54</v>
      </c>
      <c r="F5243" s="1">
        <f>IFERROR(__xludf.DUMMYFUNCTION("""COMPUTED_VALUE"""),2.50643008E8)</f>
        <v>250643008</v>
      </c>
    </row>
    <row r="5244">
      <c r="A5244" s="2">
        <f>IFERROR(__xludf.DUMMYFUNCTION("""COMPUTED_VALUE"""),38972.666666666664)</f>
        <v>38972.66667</v>
      </c>
      <c r="B5244" s="1">
        <f>IFERROR(__xludf.DUMMYFUNCTION("""COMPUTED_VALUE"""),1299.53)</f>
        <v>1299.53</v>
      </c>
      <c r="C5244" s="1">
        <f>IFERROR(__xludf.DUMMYFUNCTION("""COMPUTED_VALUE"""),1314.28)</f>
        <v>1314.28</v>
      </c>
      <c r="D5244" s="1">
        <f>IFERROR(__xludf.DUMMYFUNCTION("""COMPUTED_VALUE"""),1299.53)</f>
        <v>1299.53</v>
      </c>
      <c r="E5244" s="1">
        <f>IFERROR(__xludf.DUMMYFUNCTION("""COMPUTED_VALUE"""),1313.11)</f>
        <v>1313.11</v>
      </c>
      <c r="F5244" s="1">
        <f>IFERROR(__xludf.DUMMYFUNCTION("""COMPUTED_VALUE"""),2.79158016E8)</f>
        <v>279158016</v>
      </c>
    </row>
    <row r="5245">
      <c r="A5245" s="2">
        <f>IFERROR(__xludf.DUMMYFUNCTION("""COMPUTED_VALUE"""),38973.666666666664)</f>
        <v>38973.66667</v>
      </c>
      <c r="B5245" s="1">
        <f>IFERROR(__xludf.DUMMYFUNCTION("""COMPUTED_VALUE"""),1312.74)</f>
        <v>1312.74</v>
      </c>
      <c r="C5245" s="1">
        <f>IFERROR(__xludf.DUMMYFUNCTION("""COMPUTED_VALUE"""),1319.92)</f>
        <v>1319.92</v>
      </c>
      <c r="D5245" s="1">
        <f>IFERROR(__xludf.DUMMYFUNCTION("""COMPUTED_VALUE"""),1311.12)</f>
        <v>1311.12</v>
      </c>
      <c r="E5245" s="1">
        <f>IFERROR(__xludf.DUMMYFUNCTION("""COMPUTED_VALUE"""),1318.07)</f>
        <v>1318.07</v>
      </c>
      <c r="F5245" s="1">
        <f>IFERROR(__xludf.DUMMYFUNCTION("""COMPUTED_VALUE"""),2.59722E8)</f>
        <v>259722000</v>
      </c>
    </row>
    <row r="5246">
      <c r="A5246" s="2">
        <f>IFERROR(__xludf.DUMMYFUNCTION("""COMPUTED_VALUE"""),38974.666666666664)</f>
        <v>38974.66667</v>
      </c>
      <c r="B5246" s="1">
        <f>IFERROR(__xludf.DUMMYFUNCTION("""COMPUTED_VALUE"""),1318.0)</f>
        <v>1318</v>
      </c>
      <c r="C5246" s="1">
        <f>IFERROR(__xludf.DUMMYFUNCTION("""COMPUTED_VALUE"""),1318.0)</f>
        <v>1318</v>
      </c>
      <c r="D5246" s="1">
        <f>IFERROR(__xludf.DUMMYFUNCTION("""COMPUTED_VALUE"""),1313.25)</f>
        <v>1313.25</v>
      </c>
      <c r="E5246" s="1">
        <f>IFERROR(__xludf.DUMMYFUNCTION("""COMPUTED_VALUE"""),1316.28)</f>
        <v>1316.28</v>
      </c>
      <c r="F5246" s="1">
        <f>IFERROR(__xludf.DUMMYFUNCTION("""COMPUTED_VALUE"""),2.35122E8)</f>
        <v>235122000</v>
      </c>
    </row>
    <row r="5247">
      <c r="A5247" s="2">
        <f>IFERROR(__xludf.DUMMYFUNCTION("""COMPUTED_VALUE"""),38975.666666666664)</f>
        <v>38975.66667</v>
      </c>
      <c r="B5247" s="1">
        <f>IFERROR(__xludf.DUMMYFUNCTION("""COMPUTED_VALUE"""),1316.28)</f>
        <v>1316.28</v>
      </c>
      <c r="C5247" s="1">
        <f>IFERROR(__xludf.DUMMYFUNCTION("""COMPUTED_VALUE"""),1324.65)</f>
        <v>1324.65</v>
      </c>
      <c r="D5247" s="1">
        <f>IFERROR(__xludf.DUMMYFUNCTION("""COMPUTED_VALUE"""),1316.28)</f>
        <v>1316.28</v>
      </c>
      <c r="E5247" s="1">
        <f>IFERROR(__xludf.DUMMYFUNCTION("""COMPUTED_VALUE"""),1319.87)</f>
        <v>1319.87</v>
      </c>
      <c r="F5247" s="1">
        <f>IFERROR(__xludf.DUMMYFUNCTION("""COMPUTED_VALUE"""),3.19803008E8)</f>
        <v>319803008</v>
      </c>
    </row>
    <row r="5248">
      <c r="A5248" s="2">
        <f>IFERROR(__xludf.DUMMYFUNCTION("""COMPUTED_VALUE"""),38978.666666666664)</f>
        <v>38978.66667</v>
      </c>
      <c r="B5248" s="1">
        <f>IFERROR(__xludf.DUMMYFUNCTION("""COMPUTED_VALUE"""),1319.85)</f>
        <v>1319.85</v>
      </c>
      <c r="C5248" s="1">
        <f>IFERROR(__xludf.DUMMYFUNCTION("""COMPUTED_VALUE"""),1324.87)</f>
        <v>1324.87</v>
      </c>
      <c r="D5248" s="1">
        <f>IFERROR(__xludf.DUMMYFUNCTION("""COMPUTED_VALUE"""),1318.16)</f>
        <v>1318.16</v>
      </c>
      <c r="E5248" s="1">
        <f>IFERROR(__xludf.DUMMYFUNCTION("""COMPUTED_VALUE"""),1321.18)</f>
        <v>1321.18</v>
      </c>
      <c r="F5248" s="1">
        <f>IFERROR(__xludf.DUMMYFUNCTION("""COMPUTED_VALUE"""),2.32508E8)</f>
        <v>232508000</v>
      </c>
    </row>
    <row r="5249">
      <c r="A5249" s="2">
        <f>IFERROR(__xludf.DUMMYFUNCTION("""COMPUTED_VALUE"""),38979.666666666664)</f>
        <v>38979.66667</v>
      </c>
      <c r="B5249" s="1">
        <f>IFERROR(__xludf.DUMMYFUNCTION("""COMPUTED_VALUE"""),1321.17)</f>
        <v>1321.17</v>
      </c>
      <c r="C5249" s="1">
        <f>IFERROR(__xludf.DUMMYFUNCTION("""COMPUTED_VALUE"""),1322.04)</f>
        <v>1322.04</v>
      </c>
      <c r="D5249" s="1">
        <f>IFERROR(__xludf.DUMMYFUNCTION("""COMPUTED_VALUE"""),1312.17)</f>
        <v>1312.17</v>
      </c>
      <c r="E5249" s="1">
        <f>IFERROR(__xludf.DUMMYFUNCTION("""COMPUTED_VALUE"""),1318.31)</f>
        <v>1318.31</v>
      </c>
      <c r="F5249" s="1">
        <f>IFERROR(__xludf.DUMMYFUNCTION("""COMPUTED_VALUE"""),2.39084992E8)</f>
        <v>239084992</v>
      </c>
    </row>
    <row r="5250">
      <c r="A5250" s="2">
        <f>IFERROR(__xludf.DUMMYFUNCTION("""COMPUTED_VALUE"""),38980.666666666664)</f>
        <v>38980.66667</v>
      </c>
      <c r="B5250" s="1">
        <f>IFERROR(__xludf.DUMMYFUNCTION("""COMPUTED_VALUE"""),1318.28)</f>
        <v>1318.28</v>
      </c>
      <c r="C5250" s="1">
        <f>IFERROR(__xludf.DUMMYFUNCTION("""COMPUTED_VALUE"""),1328.53)</f>
        <v>1328.53</v>
      </c>
      <c r="D5250" s="1">
        <f>IFERROR(__xludf.DUMMYFUNCTION("""COMPUTED_VALUE"""),1318.28)</f>
        <v>1318.28</v>
      </c>
      <c r="E5250" s="1">
        <f>IFERROR(__xludf.DUMMYFUNCTION("""COMPUTED_VALUE"""),1325.18)</f>
        <v>1325.18</v>
      </c>
      <c r="F5250" s="1">
        <f>IFERROR(__xludf.DUMMYFUNCTION("""COMPUTED_VALUE"""),2.54307008E8)</f>
        <v>254307008</v>
      </c>
    </row>
    <row r="5251">
      <c r="A5251" s="2">
        <f>IFERROR(__xludf.DUMMYFUNCTION("""COMPUTED_VALUE"""),38981.666666666664)</f>
        <v>38981.66667</v>
      </c>
      <c r="B5251" s="1">
        <f>IFERROR(__xludf.DUMMYFUNCTION("""COMPUTED_VALUE"""),1324.89)</f>
        <v>1324.89</v>
      </c>
      <c r="C5251" s="1">
        <f>IFERROR(__xludf.DUMMYFUNCTION("""COMPUTED_VALUE"""),1328.19)</f>
        <v>1328.19</v>
      </c>
      <c r="D5251" s="1">
        <f>IFERROR(__xludf.DUMMYFUNCTION("""COMPUTED_VALUE"""),1315.45)</f>
        <v>1315.45</v>
      </c>
      <c r="E5251" s="1">
        <f>IFERROR(__xludf.DUMMYFUNCTION("""COMPUTED_VALUE"""),1318.03)</f>
        <v>1318.03</v>
      </c>
      <c r="F5251" s="1">
        <f>IFERROR(__xludf.DUMMYFUNCTION("""COMPUTED_VALUE"""),2.62744E8)</f>
        <v>262744000</v>
      </c>
    </row>
    <row r="5252">
      <c r="A5252" s="2">
        <f>IFERROR(__xludf.DUMMYFUNCTION("""COMPUTED_VALUE"""),38982.666666666664)</f>
        <v>38982.66667</v>
      </c>
      <c r="B5252" s="1">
        <f>IFERROR(__xludf.DUMMYFUNCTION("""COMPUTED_VALUE"""),1318.03)</f>
        <v>1318.03</v>
      </c>
      <c r="C5252" s="1">
        <f>IFERROR(__xludf.DUMMYFUNCTION("""COMPUTED_VALUE"""),1318.03)</f>
        <v>1318.03</v>
      </c>
      <c r="D5252" s="1">
        <f>IFERROR(__xludf.DUMMYFUNCTION("""COMPUTED_VALUE"""),1310.94)</f>
        <v>1310.94</v>
      </c>
      <c r="E5252" s="1">
        <f>IFERROR(__xludf.DUMMYFUNCTION("""COMPUTED_VALUE"""),1314.78)</f>
        <v>1314.78</v>
      </c>
      <c r="F5252" s="1">
        <f>IFERROR(__xludf.DUMMYFUNCTION("""COMPUTED_VALUE"""),2.16288E8)</f>
        <v>216288000</v>
      </c>
    </row>
    <row r="5253">
      <c r="A5253" s="2">
        <f>IFERROR(__xludf.DUMMYFUNCTION("""COMPUTED_VALUE"""),38985.666666666664)</f>
        <v>38985.66667</v>
      </c>
      <c r="B5253" s="1">
        <f>IFERROR(__xludf.DUMMYFUNCTION("""COMPUTED_VALUE"""),1314.78)</f>
        <v>1314.78</v>
      </c>
      <c r="C5253" s="1">
        <f>IFERROR(__xludf.DUMMYFUNCTION("""COMPUTED_VALUE"""),1329.35)</f>
        <v>1329.35</v>
      </c>
      <c r="D5253" s="1">
        <f>IFERROR(__xludf.DUMMYFUNCTION("""COMPUTED_VALUE"""),1311.58)</f>
        <v>1311.58</v>
      </c>
      <c r="E5253" s="1">
        <f>IFERROR(__xludf.DUMMYFUNCTION("""COMPUTED_VALUE"""),1326.37)</f>
        <v>1326.37</v>
      </c>
      <c r="F5253" s="1">
        <f>IFERROR(__xludf.DUMMYFUNCTION("""COMPUTED_VALUE"""),2.71024E8)</f>
        <v>271024000</v>
      </c>
    </row>
    <row r="5254">
      <c r="A5254" s="2">
        <f>IFERROR(__xludf.DUMMYFUNCTION("""COMPUTED_VALUE"""),38986.666666666664)</f>
        <v>38986.66667</v>
      </c>
      <c r="B5254" s="1">
        <f>IFERROR(__xludf.DUMMYFUNCTION("""COMPUTED_VALUE"""),1326.35)</f>
        <v>1326.35</v>
      </c>
      <c r="C5254" s="1">
        <f>IFERROR(__xludf.DUMMYFUNCTION("""COMPUTED_VALUE"""),1336.6)</f>
        <v>1336.6</v>
      </c>
      <c r="D5254" s="1">
        <f>IFERROR(__xludf.DUMMYFUNCTION("""COMPUTED_VALUE"""),1325.3)</f>
        <v>1325.3</v>
      </c>
      <c r="E5254" s="1">
        <f>IFERROR(__xludf.DUMMYFUNCTION("""COMPUTED_VALUE"""),1336.34)</f>
        <v>1336.34</v>
      </c>
      <c r="F5254" s="1">
        <f>IFERROR(__xludf.DUMMYFUNCTION("""COMPUTED_VALUE"""),2.67335008E8)</f>
        <v>267335008</v>
      </c>
    </row>
    <row r="5255">
      <c r="A5255" s="2">
        <f>IFERROR(__xludf.DUMMYFUNCTION("""COMPUTED_VALUE"""),38987.666666666664)</f>
        <v>38987.66667</v>
      </c>
      <c r="B5255" s="1">
        <f>IFERROR(__xludf.DUMMYFUNCTION("""COMPUTED_VALUE"""),1336.12)</f>
        <v>1336.12</v>
      </c>
      <c r="C5255" s="1">
        <f>IFERROR(__xludf.DUMMYFUNCTION("""COMPUTED_VALUE"""),1340.08)</f>
        <v>1340.08</v>
      </c>
      <c r="D5255" s="1">
        <f>IFERROR(__xludf.DUMMYFUNCTION("""COMPUTED_VALUE"""),1333.54)</f>
        <v>1333.54</v>
      </c>
      <c r="E5255" s="1">
        <f>IFERROR(__xludf.DUMMYFUNCTION("""COMPUTED_VALUE"""),1336.59)</f>
        <v>1336.59</v>
      </c>
      <c r="F5255" s="1">
        <f>IFERROR(__xludf.DUMMYFUNCTION("""COMPUTED_VALUE"""),2.74919008E8)</f>
        <v>274919008</v>
      </c>
    </row>
    <row r="5256">
      <c r="A5256" s="2">
        <f>IFERROR(__xludf.DUMMYFUNCTION("""COMPUTED_VALUE"""),38988.666666666664)</f>
        <v>38988.66667</v>
      </c>
      <c r="B5256" s="1">
        <f>IFERROR(__xludf.DUMMYFUNCTION("""COMPUTED_VALUE"""),1336.56)</f>
        <v>1336.56</v>
      </c>
      <c r="C5256" s="1">
        <f>IFERROR(__xludf.DUMMYFUNCTION("""COMPUTED_VALUE"""),1340.28)</f>
        <v>1340.28</v>
      </c>
      <c r="D5256" s="1">
        <f>IFERROR(__xludf.DUMMYFUNCTION("""COMPUTED_VALUE"""),1333.75)</f>
        <v>1333.75</v>
      </c>
      <c r="E5256" s="1">
        <f>IFERROR(__xludf.DUMMYFUNCTION("""COMPUTED_VALUE"""),1339.15)</f>
        <v>1339.15</v>
      </c>
      <c r="F5256" s="1">
        <f>IFERROR(__xludf.DUMMYFUNCTION("""COMPUTED_VALUE"""),2.39782E8)</f>
        <v>239782000</v>
      </c>
    </row>
    <row r="5257">
      <c r="A5257" s="2">
        <f>IFERROR(__xludf.DUMMYFUNCTION("""COMPUTED_VALUE"""),38989.666666666664)</f>
        <v>38989.66667</v>
      </c>
      <c r="B5257" s="1">
        <f>IFERROR(__xludf.DUMMYFUNCTION("""COMPUTED_VALUE"""),1339.15)</f>
        <v>1339.15</v>
      </c>
      <c r="C5257" s="1">
        <f>IFERROR(__xludf.DUMMYFUNCTION("""COMPUTED_VALUE"""),1339.88)</f>
        <v>1339.88</v>
      </c>
      <c r="D5257" s="1">
        <f>IFERROR(__xludf.DUMMYFUNCTION("""COMPUTED_VALUE"""),1335.64)</f>
        <v>1335.64</v>
      </c>
      <c r="E5257" s="1">
        <f>IFERROR(__xludf.DUMMYFUNCTION("""COMPUTED_VALUE"""),1335.85)</f>
        <v>1335.85</v>
      </c>
      <c r="F5257" s="1">
        <f>IFERROR(__xludf.DUMMYFUNCTION("""COMPUTED_VALUE"""),2.27343008E8)</f>
        <v>227343008</v>
      </c>
    </row>
    <row r="5258">
      <c r="A5258" s="2">
        <f>IFERROR(__xludf.DUMMYFUNCTION("""COMPUTED_VALUE"""),38992.666666666664)</f>
        <v>38992.66667</v>
      </c>
      <c r="B5258" s="1">
        <f>IFERROR(__xludf.DUMMYFUNCTION("""COMPUTED_VALUE"""),1335.82)</f>
        <v>1335.82</v>
      </c>
      <c r="C5258" s="1">
        <f>IFERROR(__xludf.DUMMYFUNCTION("""COMPUTED_VALUE"""),1338.54)</f>
        <v>1338.54</v>
      </c>
      <c r="D5258" s="1">
        <f>IFERROR(__xludf.DUMMYFUNCTION("""COMPUTED_VALUE"""),1330.28)</f>
        <v>1330.28</v>
      </c>
      <c r="E5258" s="1">
        <f>IFERROR(__xludf.DUMMYFUNCTION("""COMPUTED_VALUE"""),1331.32)</f>
        <v>1331.32</v>
      </c>
      <c r="F5258" s="1">
        <f>IFERROR(__xludf.DUMMYFUNCTION("""COMPUTED_VALUE"""),2.15448E8)</f>
        <v>215448000</v>
      </c>
    </row>
    <row r="5259">
      <c r="A5259" s="2">
        <f>IFERROR(__xludf.DUMMYFUNCTION("""COMPUTED_VALUE"""),38993.666666666664)</f>
        <v>38993.66667</v>
      </c>
      <c r="B5259" s="1">
        <f>IFERROR(__xludf.DUMMYFUNCTION("""COMPUTED_VALUE"""),1331.32)</f>
        <v>1331.32</v>
      </c>
      <c r="C5259" s="1">
        <f>IFERROR(__xludf.DUMMYFUNCTION("""COMPUTED_VALUE"""),1338.31)</f>
        <v>1338.31</v>
      </c>
      <c r="D5259" s="1">
        <f>IFERROR(__xludf.DUMMYFUNCTION("""COMPUTED_VALUE"""),1327.1)</f>
        <v>1327.1</v>
      </c>
      <c r="E5259" s="1">
        <f>IFERROR(__xludf.DUMMYFUNCTION("""COMPUTED_VALUE"""),1334.11)</f>
        <v>1334.11</v>
      </c>
      <c r="F5259" s="1">
        <f>IFERROR(__xludf.DUMMYFUNCTION("""COMPUTED_VALUE"""),2.68268992E8)</f>
        <v>268268992</v>
      </c>
    </row>
    <row r="5260">
      <c r="A5260" s="2">
        <f>IFERROR(__xludf.DUMMYFUNCTION("""COMPUTED_VALUE"""),38994.666666666664)</f>
        <v>38994.66667</v>
      </c>
      <c r="B5260" s="1">
        <f>IFERROR(__xludf.DUMMYFUNCTION("""COMPUTED_VALUE"""),1333.81)</f>
        <v>1333.81</v>
      </c>
      <c r="C5260" s="1">
        <f>IFERROR(__xludf.DUMMYFUNCTION("""COMPUTED_VALUE"""),1350.22)</f>
        <v>1350.22</v>
      </c>
      <c r="D5260" s="1">
        <f>IFERROR(__xludf.DUMMYFUNCTION("""COMPUTED_VALUE"""),1331.48)</f>
        <v>1331.48</v>
      </c>
      <c r="E5260" s="1">
        <f>IFERROR(__xludf.DUMMYFUNCTION("""COMPUTED_VALUE"""),1350.22)</f>
        <v>1350.22</v>
      </c>
      <c r="F5260" s="1">
        <f>IFERROR(__xludf.DUMMYFUNCTION("""COMPUTED_VALUE"""),3.01988E8)</f>
        <v>301988000</v>
      </c>
    </row>
    <row r="5261">
      <c r="A5261" s="2">
        <f>IFERROR(__xludf.DUMMYFUNCTION("""COMPUTED_VALUE"""),38995.666666666664)</f>
        <v>38995.66667</v>
      </c>
      <c r="B5261" s="1">
        <f>IFERROR(__xludf.DUMMYFUNCTION("""COMPUTED_VALUE"""),1349.84)</f>
        <v>1349.84</v>
      </c>
      <c r="C5261" s="1">
        <f>IFERROR(__xludf.DUMMYFUNCTION("""COMPUTED_VALUE"""),1353.79)</f>
        <v>1353.79</v>
      </c>
      <c r="D5261" s="1">
        <f>IFERROR(__xludf.DUMMYFUNCTION("""COMPUTED_VALUE"""),1347.75)</f>
        <v>1347.75</v>
      </c>
      <c r="E5261" s="1">
        <f>IFERROR(__xludf.DUMMYFUNCTION("""COMPUTED_VALUE"""),1353.22)</f>
        <v>1353.22</v>
      </c>
      <c r="F5261" s="1">
        <f>IFERROR(__xludf.DUMMYFUNCTION("""COMPUTED_VALUE"""),2.81724E8)</f>
        <v>281724000</v>
      </c>
    </row>
    <row r="5262">
      <c r="A5262" s="2">
        <f>IFERROR(__xludf.DUMMYFUNCTION("""COMPUTED_VALUE"""),38996.666666666664)</f>
        <v>38996.66667</v>
      </c>
      <c r="B5262" s="1">
        <f>IFERROR(__xludf.DUMMYFUNCTION("""COMPUTED_VALUE"""),1353.22)</f>
        <v>1353.22</v>
      </c>
      <c r="C5262" s="1">
        <f>IFERROR(__xludf.DUMMYFUNCTION("""COMPUTED_VALUE"""),1353.22)</f>
        <v>1353.22</v>
      </c>
      <c r="D5262" s="1">
        <f>IFERROR(__xludf.DUMMYFUNCTION("""COMPUTED_VALUE"""),1344.21)</f>
        <v>1344.21</v>
      </c>
      <c r="E5262" s="1">
        <f>IFERROR(__xludf.DUMMYFUNCTION("""COMPUTED_VALUE"""),1349.58)</f>
        <v>1349.58</v>
      </c>
      <c r="F5262" s="1">
        <f>IFERROR(__xludf.DUMMYFUNCTION("""COMPUTED_VALUE"""),2.523E8)</f>
        <v>252300000</v>
      </c>
    </row>
    <row r="5263">
      <c r="A5263" s="2">
        <f>IFERROR(__xludf.DUMMYFUNCTION("""COMPUTED_VALUE"""),38999.666666666664)</f>
        <v>38999.66667</v>
      </c>
      <c r="B5263" s="1">
        <f>IFERROR(__xludf.DUMMYFUNCTION("""COMPUTED_VALUE"""),1349.58)</f>
        <v>1349.58</v>
      </c>
      <c r="C5263" s="1">
        <f>IFERROR(__xludf.DUMMYFUNCTION("""COMPUTED_VALUE"""),1352.69)</f>
        <v>1352.69</v>
      </c>
      <c r="D5263" s="1">
        <f>IFERROR(__xludf.DUMMYFUNCTION("""COMPUTED_VALUE"""),1346.55)</f>
        <v>1346.55</v>
      </c>
      <c r="E5263" s="1">
        <f>IFERROR(__xludf.DUMMYFUNCTION("""COMPUTED_VALUE"""),1350.66)</f>
        <v>1350.66</v>
      </c>
      <c r="F5263" s="1">
        <f>IFERROR(__xludf.DUMMYFUNCTION("""COMPUTED_VALUE"""),1.93516992E8)</f>
        <v>193516992</v>
      </c>
    </row>
    <row r="5264">
      <c r="A5264" s="2">
        <f>IFERROR(__xludf.DUMMYFUNCTION("""COMPUTED_VALUE"""),39000.666666666664)</f>
        <v>39000.66667</v>
      </c>
      <c r="B5264" s="1">
        <f>IFERROR(__xludf.DUMMYFUNCTION("""COMPUTED_VALUE"""),1350.62)</f>
        <v>1350.62</v>
      </c>
      <c r="C5264" s="1">
        <f>IFERROR(__xludf.DUMMYFUNCTION("""COMPUTED_VALUE"""),1354.23)</f>
        <v>1354.23</v>
      </c>
      <c r="D5264" s="1">
        <f>IFERROR(__xludf.DUMMYFUNCTION("""COMPUTED_VALUE"""),1348.6)</f>
        <v>1348.6</v>
      </c>
      <c r="E5264" s="1">
        <f>IFERROR(__xludf.DUMMYFUNCTION("""COMPUTED_VALUE"""),1353.42)</f>
        <v>1353.42</v>
      </c>
      <c r="F5264" s="1">
        <f>IFERROR(__xludf.DUMMYFUNCTION("""COMPUTED_VALUE"""),2.37614E8)</f>
        <v>237614000</v>
      </c>
    </row>
    <row r="5265">
      <c r="A5265" s="2">
        <f>IFERROR(__xludf.DUMMYFUNCTION("""COMPUTED_VALUE"""),39001.666666666664)</f>
        <v>39001.66667</v>
      </c>
      <c r="B5265" s="1">
        <f>IFERROR(__xludf.DUMMYFUNCTION("""COMPUTED_VALUE"""),1353.28)</f>
        <v>1353.28</v>
      </c>
      <c r="C5265" s="1">
        <f>IFERROR(__xludf.DUMMYFUNCTION("""COMPUTED_VALUE"""),1353.97)</f>
        <v>1353.97</v>
      </c>
      <c r="D5265" s="1">
        <f>IFERROR(__xludf.DUMMYFUNCTION("""COMPUTED_VALUE"""),1343.78)</f>
        <v>1343.78</v>
      </c>
      <c r="E5265" s="1">
        <f>IFERROR(__xludf.DUMMYFUNCTION("""COMPUTED_VALUE"""),1349.95)</f>
        <v>1349.95</v>
      </c>
      <c r="F5265" s="1">
        <f>IFERROR(__xludf.DUMMYFUNCTION("""COMPUTED_VALUE"""),2.521E8)</f>
        <v>252100000</v>
      </c>
    </row>
    <row r="5266">
      <c r="A5266" s="2">
        <f>IFERROR(__xludf.DUMMYFUNCTION("""COMPUTED_VALUE"""),39002.666666666664)</f>
        <v>39002.66667</v>
      </c>
      <c r="B5266" s="1">
        <f>IFERROR(__xludf.DUMMYFUNCTION("""COMPUTED_VALUE"""),1349.94)</f>
        <v>1349.94</v>
      </c>
      <c r="C5266" s="1">
        <f>IFERROR(__xludf.DUMMYFUNCTION("""COMPUTED_VALUE"""),1363.76)</f>
        <v>1363.76</v>
      </c>
      <c r="D5266" s="1">
        <f>IFERROR(__xludf.DUMMYFUNCTION("""COMPUTED_VALUE"""),1349.94)</f>
        <v>1349.94</v>
      </c>
      <c r="E5266" s="1">
        <f>IFERROR(__xludf.DUMMYFUNCTION("""COMPUTED_VALUE"""),1362.83)</f>
        <v>1362.83</v>
      </c>
      <c r="F5266" s="1">
        <f>IFERROR(__xludf.DUMMYFUNCTION("""COMPUTED_VALUE"""),2.51435008E8)</f>
        <v>251435008</v>
      </c>
    </row>
    <row r="5267">
      <c r="A5267" s="2">
        <f>IFERROR(__xludf.DUMMYFUNCTION("""COMPUTED_VALUE"""),39003.666666666664)</f>
        <v>39003.66667</v>
      </c>
      <c r="B5267" s="1">
        <f>IFERROR(__xludf.DUMMYFUNCTION("""COMPUTED_VALUE"""),1362.82)</f>
        <v>1362.82</v>
      </c>
      <c r="C5267" s="1">
        <f>IFERROR(__xludf.DUMMYFUNCTION("""COMPUTED_VALUE"""),1366.63)</f>
        <v>1366.63</v>
      </c>
      <c r="D5267" s="1">
        <f>IFERROR(__xludf.DUMMYFUNCTION("""COMPUTED_VALUE"""),1360.5)</f>
        <v>1360.5</v>
      </c>
      <c r="E5267" s="1">
        <f>IFERROR(__xludf.DUMMYFUNCTION("""COMPUTED_VALUE"""),1365.62)</f>
        <v>1365.62</v>
      </c>
      <c r="F5267" s="1">
        <f>IFERROR(__xludf.DUMMYFUNCTION("""COMPUTED_VALUE"""),2.48292E8)</f>
        <v>248292000</v>
      </c>
    </row>
    <row r="5268">
      <c r="A5268" s="2">
        <f>IFERROR(__xludf.DUMMYFUNCTION("""COMPUTED_VALUE"""),39006.666666666664)</f>
        <v>39006.66667</v>
      </c>
      <c r="B5268" s="1">
        <f>IFERROR(__xludf.DUMMYFUNCTION("""COMPUTED_VALUE"""),1365.61)</f>
        <v>1365.61</v>
      </c>
      <c r="C5268" s="1">
        <f>IFERROR(__xludf.DUMMYFUNCTION("""COMPUTED_VALUE"""),1370.2)</f>
        <v>1370.2</v>
      </c>
      <c r="D5268" s="1">
        <f>IFERROR(__xludf.DUMMYFUNCTION("""COMPUTED_VALUE"""),1364.48)</f>
        <v>1364.48</v>
      </c>
      <c r="E5268" s="1">
        <f>IFERROR(__xludf.DUMMYFUNCTION("""COMPUTED_VALUE"""),1369.05)</f>
        <v>1369.05</v>
      </c>
      <c r="F5268" s="1">
        <f>IFERROR(__xludf.DUMMYFUNCTION("""COMPUTED_VALUE"""),2.30592E8)</f>
        <v>230592000</v>
      </c>
    </row>
    <row r="5269">
      <c r="A5269" s="2">
        <f>IFERROR(__xludf.DUMMYFUNCTION("""COMPUTED_VALUE"""),39007.666666666664)</f>
        <v>39007.66667</v>
      </c>
      <c r="B5269" s="1">
        <f>IFERROR(__xludf.DUMMYFUNCTION("""COMPUTED_VALUE"""),1369.05)</f>
        <v>1369.05</v>
      </c>
      <c r="C5269" s="1">
        <f>IFERROR(__xludf.DUMMYFUNCTION("""COMPUTED_VALUE"""),1369.05)</f>
        <v>1369.05</v>
      </c>
      <c r="D5269" s="1">
        <f>IFERROR(__xludf.DUMMYFUNCTION("""COMPUTED_VALUE"""),1356.87)</f>
        <v>1356.87</v>
      </c>
      <c r="E5269" s="1">
        <f>IFERROR(__xludf.DUMMYFUNCTION("""COMPUTED_VALUE"""),1364.05)</f>
        <v>1364.05</v>
      </c>
      <c r="F5269" s="1">
        <f>IFERROR(__xludf.DUMMYFUNCTION("""COMPUTED_VALUE"""),2.51962E8)</f>
        <v>251962000</v>
      </c>
    </row>
    <row r="5270">
      <c r="A5270" s="2">
        <f>IFERROR(__xludf.DUMMYFUNCTION("""COMPUTED_VALUE"""),39008.666666666664)</f>
        <v>39008.66667</v>
      </c>
      <c r="B5270" s="1">
        <f>IFERROR(__xludf.DUMMYFUNCTION("""COMPUTED_VALUE"""),1363.93)</f>
        <v>1363.93</v>
      </c>
      <c r="C5270" s="1">
        <f>IFERROR(__xludf.DUMMYFUNCTION("""COMPUTED_VALUE"""),1372.87)</f>
        <v>1372.87</v>
      </c>
      <c r="D5270" s="1">
        <f>IFERROR(__xludf.DUMMYFUNCTION("""COMPUTED_VALUE"""),1360.95)</f>
        <v>1360.95</v>
      </c>
      <c r="E5270" s="1">
        <f>IFERROR(__xludf.DUMMYFUNCTION("""COMPUTED_VALUE"""),1365.96)</f>
        <v>1365.96</v>
      </c>
      <c r="F5270" s="1">
        <f>IFERROR(__xludf.DUMMYFUNCTION("""COMPUTED_VALUE"""),2.65884E8)</f>
        <v>265884000</v>
      </c>
    </row>
    <row r="5271">
      <c r="A5271" s="2">
        <f>IFERROR(__xludf.DUMMYFUNCTION("""COMPUTED_VALUE"""),39009.666666666664)</f>
        <v>39009.66667</v>
      </c>
      <c r="B5271" s="1">
        <f>IFERROR(__xludf.DUMMYFUNCTION("""COMPUTED_VALUE"""),1365.95)</f>
        <v>1365.95</v>
      </c>
      <c r="C5271" s="1">
        <f>IFERROR(__xludf.DUMMYFUNCTION("""COMPUTED_VALUE"""),1368.09)</f>
        <v>1368.09</v>
      </c>
      <c r="D5271" s="1">
        <f>IFERROR(__xludf.DUMMYFUNCTION("""COMPUTED_VALUE"""),1362.06)</f>
        <v>1362.06</v>
      </c>
      <c r="E5271" s="1">
        <f>IFERROR(__xludf.DUMMYFUNCTION("""COMPUTED_VALUE"""),1366.96)</f>
        <v>1366.96</v>
      </c>
      <c r="F5271" s="1">
        <f>IFERROR(__xludf.DUMMYFUNCTION("""COMPUTED_VALUE"""),2.61983008E8)</f>
        <v>261983008</v>
      </c>
    </row>
    <row r="5272">
      <c r="A5272" s="2">
        <f>IFERROR(__xludf.DUMMYFUNCTION("""COMPUTED_VALUE"""),39010.666666666664)</f>
        <v>39010.66667</v>
      </c>
      <c r="B5272" s="1">
        <f>IFERROR(__xludf.DUMMYFUNCTION("""COMPUTED_VALUE"""),1366.94)</f>
        <v>1366.94</v>
      </c>
      <c r="C5272" s="1">
        <f>IFERROR(__xludf.DUMMYFUNCTION("""COMPUTED_VALUE"""),1368.66)</f>
        <v>1368.66</v>
      </c>
      <c r="D5272" s="1">
        <f>IFERROR(__xludf.DUMMYFUNCTION("""COMPUTED_VALUE"""),1362.1)</f>
        <v>1362.1</v>
      </c>
      <c r="E5272" s="1">
        <f>IFERROR(__xludf.DUMMYFUNCTION("""COMPUTED_VALUE"""),1368.6)</f>
        <v>1368.6</v>
      </c>
      <c r="F5272" s="1">
        <f>IFERROR(__xludf.DUMMYFUNCTION("""COMPUTED_VALUE"""),2.52640992E8)</f>
        <v>252640992</v>
      </c>
    </row>
    <row r="5273">
      <c r="A5273" s="2">
        <f>IFERROR(__xludf.DUMMYFUNCTION("""COMPUTED_VALUE"""),39013.666666666664)</f>
        <v>39013.66667</v>
      </c>
      <c r="B5273" s="1">
        <f>IFERROR(__xludf.DUMMYFUNCTION("""COMPUTED_VALUE"""),1368.58)</f>
        <v>1368.58</v>
      </c>
      <c r="C5273" s="1">
        <f>IFERROR(__xludf.DUMMYFUNCTION("""COMPUTED_VALUE"""),1377.4)</f>
        <v>1377.4</v>
      </c>
      <c r="D5273" s="1">
        <f>IFERROR(__xludf.DUMMYFUNCTION("""COMPUTED_VALUE"""),1363.94)</f>
        <v>1363.94</v>
      </c>
      <c r="E5273" s="1">
        <f>IFERROR(__xludf.DUMMYFUNCTION("""COMPUTED_VALUE"""),1377.02)</f>
        <v>1377.02</v>
      </c>
      <c r="F5273" s="1">
        <f>IFERROR(__xludf.DUMMYFUNCTION("""COMPUTED_VALUE"""),2.48043008E8)</f>
        <v>248043008</v>
      </c>
    </row>
    <row r="5274">
      <c r="A5274" s="2">
        <f>IFERROR(__xludf.DUMMYFUNCTION("""COMPUTED_VALUE"""),39014.666666666664)</f>
        <v>39014.66667</v>
      </c>
      <c r="B5274" s="1">
        <f>IFERROR(__xludf.DUMMYFUNCTION("""COMPUTED_VALUE"""),1377.02)</f>
        <v>1377.02</v>
      </c>
      <c r="C5274" s="1">
        <f>IFERROR(__xludf.DUMMYFUNCTION("""COMPUTED_VALUE"""),1377.78)</f>
        <v>1377.78</v>
      </c>
      <c r="D5274" s="1">
        <f>IFERROR(__xludf.DUMMYFUNCTION("""COMPUTED_VALUE"""),1372.42)</f>
        <v>1372.42</v>
      </c>
      <c r="E5274" s="1">
        <f>IFERROR(__xludf.DUMMYFUNCTION("""COMPUTED_VALUE"""),1377.38)</f>
        <v>1377.38</v>
      </c>
      <c r="F5274" s="1">
        <f>IFERROR(__xludf.DUMMYFUNCTION("""COMPUTED_VALUE"""),2.87688992E8)</f>
        <v>287688992</v>
      </c>
    </row>
    <row r="5275">
      <c r="A5275" s="2">
        <f>IFERROR(__xludf.DUMMYFUNCTION("""COMPUTED_VALUE"""),39015.666666666664)</f>
        <v>39015.66667</v>
      </c>
      <c r="B5275" s="1">
        <f>IFERROR(__xludf.DUMMYFUNCTION("""COMPUTED_VALUE"""),1377.36)</f>
        <v>1377.36</v>
      </c>
      <c r="C5275" s="1">
        <f>IFERROR(__xludf.DUMMYFUNCTION("""COMPUTED_VALUE"""),1383.61)</f>
        <v>1383.61</v>
      </c>
      <c r="D5275" s="1">
        <f>IFERROR(__xludf.DUMMYFUNCTION("""COMPUTED_VALUE"""),1376.0)</f>
        <v>1376</v>
      </c>
      <c r="E5275" s="1">
        <f>IFERROR(__xludf.DUMMYFUNCTION("""COMPUTED_VALUE"""),1382.22)</f>
        <v>1382.22</v>
      </c>
      <c r="F5275" s="1">
        <f>IFERROR(__xludf.DUMMYFUNCTION("""COMPUTED_VALUE"""),2.95353984E8)</f>
        <v>295353984</v>
      </c>
    </row>
    <row r="5276">
      <c r="A5276" s="2">
        <f>IFERROR(__xludf.DUMMYFUNCTION("""COMPUTED_VALUE"""),39016.666666666664)</f>
        <v>39016.66667</v>
      </c>
      <c r="B5276" s="1">
        <f>IFERROR(__xludf.DUMMYFUNCTION("""COMPUTED_VALUE"""),1382.21)</f>
        <v>1382.21</v>
      </c>
      <c r="C5276" s="1">
        <f>IFERROR(__xludf.DUMMYFUNCTION("""COMPUTED_VALUE"""),1389.45)</f>
        <v>1389.45</v>
      </c>
      <c r="D5276" s="1">
        <f>IFERROR(__xludf.DUMMYFUNCTION("""COMPUTED_VALUE"""),1379.47)</f>
        <v>1379.47</v>
      </c>
      <c r="E5276" s="1">
        <f>IFERROR(__xludf.DUMMYFUNCTION("""COMPUTED_VALUE"""),1389.08)</f>
        <v>1389.08</v>
      </c>
      <c r="F5276" s="1">
        <f>IFERROR(__xludf.DUMMYFUNCTION("""COMPUTED_VALUE"""),2.79335008E8)</f>
        <v>279335008</v>
      </c>
    </row>
    <row r="5277">
      <c r="A5277" s="2">
        <f>IFERROR(__xludf.DUMMYFUNCTION("""COMPUTED_VALUE"""),39017.666666666664)</f>
        <v>39017.66667</v>
      </c>
      <c r="B5277" s="1">
        <f>IFERROR(__xludf.DUMMYFUNCTION("""COMPUTED_VALUE"""),1388.89)</f>
        <v>1388.89</v>
      </c>
      <c r="C5277" s="1">
        <f>IFERROR(__xludf.DUMMYFUNCTION("""COMPUTED_VALUE"""),1388.89)</f>
        <v>1388.89</v>
      </c>
      <c r="D5277" s="1">
        <f>IFERROR(__xludf.DUMMYFUNCTION("""COMPUTED_VALUE"""),1375.85)</f>
        <v>1375.85</v>
      </c>
      <c r="E5277" s="1">
        <f>IFERROR(__xludf.DUMMYFUNCTION("""COMPUTED_VALUE"""),1377.34)</f>
        <v>1377.34</v>
      </c>
      <c r="F5277" s="1">
        <f>IFERROR(__xludf.DUMMYFUNCTION("""COMPUTED_VALUE"""),2.45844992E8)</f>
        <v>245844992</v>
      </c>
    </row>
    <row r="5278">
      <c r="A5278" s="2">
        <f>IFERROR(__xludf.DUMMYFUNCTION("""COMPUTED_VALUE"""),39020.666666666664)</f>
        <v>39020.66667</v>
      </c>
      <c r="B5278" s="1">
        <f>IFERROR(__xludf.DUMMYFUNCTION("""COMPUTED_VALUE"""),1377.3)</f>
        <v>1377.3</v>
      </c>
      <c r="C5278" s="1">
        <f>IFERROR(__xludf.DUMMYFUNCTION("""COMPUTED_VALUE"""),1381.22)</f>
        <v>1381.22</v>
      </c>
      <c r="D5278" s="1">
        <f>IFERROR(__xludf.DUMMYFUNCTION("""COMPUTED_VALUE"""),1373.46)</f>
        <v>1373.46</v>
      </c>
      <c r="E5278" s="1">
        <f>IFERROR(__xludf.DUMMYFUNCTION("""COMPUTED_VALUE"""),1377.93)</f>
        <v>1377.93</v>
      </c>
      <c r="F5278" s="1">
        <f>IFERROR(__xludf.DUMMYFUNCTION("""COMPUTED_VALUE"""),2.77044E8)</f>
        <v>277044000</v>
      </c>
    </row>
    <row r="5279">
      <c r="A5279" s="2">
        <f>IFERROR(__xludf.DUMMYFUNCTION("""COMPUTED_VALUE"""),39021.666666666664)</f>
        <v>39021.66667</v>
      </c>
      <c r="B5279" s="1">
        <f>IFERROR(__xludf.DUMMYFUNCTION("""COMPUTED_VALUE"""),1377.93)</f>
        <v>1377.93</v>
      </c>
      <c r="C5279" s="1">
        <f>IFERROR(__xludf.DUMMYFUNCTION("""COMPUTED_VALUE"""),1381.21)</f>
        <v>1381.21</v>
      </c>
      <c r="D5279" s="1">
        <f>IFERROR(__xludf.DUMMYFUNCTION("""COMPUTED_VALUE"""),1372.19)</f>
        <v>1372.19</v>
      </c>
      <c r="E5279" s="1">
        <f>IFERROR(__xludf.DUMMYFUNCTION("""COMPUTED_VALUE"""),1377.94)</f>
        <v>1377.94</v>
      </c>
      <c r="F5279" s="1">
        <f>IFERROR(__xludf.DUMMYFUNCTION("""COMPUTED_VALUE"""),2.80303008E8)</f>
        <v>280303008</v>
      </c>
    </row>
    <row r="5280">
      <c r="A5280" s="2">
        <f>IFERROR(__xludf.DUMMYFUNCTION("""COMPUTED_VALUE"""),39022.666666666664)</f>
        <v>39022.66667</v>
      </c>
      <c r="B5280" s="1">
        <f>IFERROR(__xludf.DUMMYFUNCTION("""COMPUTED_VALUE"""),1377.76)</f>
        <v>1377.76</v>
      </c>
      <c r="C5280" s="1">
        <f>IFERROR(__xludf.DUMMYFUNCTION("""COMPUTED_VALUE"""),1381.95)</f>
        <v>1381.95</v>
      </c>
      <c r="D5280" s="1">
        <f>IFERROR(__xludf.DUMMYFUNCTION("""COMPUTED_VALUE"""),1366.26)</f>
        <v>1366.26</v>
      </c>
      <c r="E5280" s="1">
        <f>IFERROR(__xludf.DUMMYFUNCTION("""COMPUTED_VALUE"""),1367.81)</f>
        <v>1367.81</v>
      </c>
      <c r="F5280" s="1">
        <f>IFERROR(__xludf.DUMMYFUNCTION("""COMPUTED_VALUE"""),2.82116E8)</f>
        <v>282116000</v>
      </c>
    </row>
    <row r="5281">
      <c r="A5281" s="2">
        <f>IFERROR(__xludf.DUMMYFUNCTION("""COMPUTED_VALUE"""),39023.666666666664)</f>
        <v>39023.66667</v>
      </c>
      <c r="B5281" s="1">
        <f>IFERROR(__xludf.DUMMYFUNCTION("""COMPUTED_VALUE"""),1367.44)</f>
        <v>1367.44</v>
      </c>
      <c r="C5281" s="1">
        <f>IFERROR(__xludf.DUMMYFUNCTION("""COMPUTED_VALUE"""),1368.39)</f>
        <v>1368.39</v>
      </c>
      <c r="D5281" s="1">
        <f>IFERROR(__xludf.DUMMYFUNCTION("""COMPUTED_VALUE"""),1362.21)</f>
        <v>1362.21</v>
      </c>
      <c r="E5281" s="1">
        <f>IFERROR(__xludf.DUMMYFUNCTION("""COMPUTED_VALUE"""),1367.34)</f>
        <v>1367.34</v>
      </c>
      <c r="F5281" s="1">
        <f>IFERROR(__xludf.DUMMYFUNCTION("""COMPUTED_VALUE"""),2.64618E8)</f>
        <v>264618000</v>
      </c>
    </row>
    <row r="5282">
      <c r="A5282" s="2">
        <f>IFERROR(__xludf.DUMMYFUNCTION("""COMPUTED_VALUE"""),39024.666666666664)</f>
        <v>39024.66667</v>
      </c>
      <c r="B5282" s="1">
        <f>IFERROR(__xludf.DUMMYFUNCTION("""COMPUTED_VALUE"""),1367.31)</f>
        <v>1367.31</v>
      </c>
      <c r="C5282" s="1">
        <f>IFERROR(__xludf.DUMMYFUNCTION("""COMPUTED_VALUE"""),1371.68)</f>
        <v>1371.68</v>
      </c>
      <c r="D5282" s="1">
        <f>IFERROR(__xludf.DUMMYFUNCTION("""COMPUTED_VALUE"""),1360.98)</f>
        <v>1360.98</v>
      </c>
      <c r="E5282" s="1">
        <f>IFERROR(__xludf.DUMMYFUNCTION("""COMPUTED_VALUE"""),1364.3)</f>
        <v>1364.3</v>
      </c>
      <c r="F5282" s="1">
        <f>IFERROR(__xludf.DUMMYFUNCTION("""COMPUTED_VALUE"""),2.41972992E8)</f>
        <v>241972992</v>
      </c>
    </row>
    <row r="5283">
      <c r="A5283" s="2">
        <f>IFERROR(__xludf.DUMMYFUNCTION("""COMPUTED_VALUE"""),39027.666666666664)</f>
        <v>39027.66667</v>
      </c>
      <c r="B5283" s="1">
        <f>IFERROR(__xludf.DUMMYFUNCTION("""COMPUTED_VALUE"""),1364.27)</f>
        <v>1364.27</v>
      </c>
      <c r="C5283" s="1">
        <f>IFERROR(__xludf.DUMMYFUNCTION("""COMPUTED_VALUE"""),1381.4)</f>
        <v>1381.4</v>
      </c>
      <c r="D5283" s="1">
        <f>IFERROR(__xludf.DUMMYFUNCTION("""COMPUTED_VALUE"""),1364.27)</f>
        <v>1364.27</v>
      </c>
      <c r="E5283" s="1">
        <f>IFERROR(__xludf.DUMMYFUNCTION("""COMPUTED_VALUE"""),1379.78)</f>
        <v>1379.78</v>
      </c>
      <c r="F5283" s="1">
        <f>IFERROR(__xludf.DUMMYFUNCTION("""COMPUTED_VALUE"""),2.53355008E8)</f>
        <v>253355008</v>
      </c>
    </row>
    <row r="5284">
      <c r="A5284" s="2">
        <f>IFERROR(__xludf.DUMMYFUNCTION("""COMPUTED_VALUE"""),39028.666666666664)</f>
        <v>39028.66667</v>
      </c>
      <c r="B5284" s="1">
        <f>IFERROR(__xludf.DUMMYFUNCTION("""COMPUTED_VALUE"""),1379.75)</f>
        <v>1379.75</v>
      </c>
      <c r="C5284" s="1">
        <f>IFERROR(__xludf.DUMMYFUNCTION("""COMPUTED_VALUE"""),1388.19)</f>
        <v>1388.19</v>
      </c>
      <c r="D5284" s="1">
        <f>IFERROR(__xludf.DUMMYFUNCTION("""COMPUTED_VALUE"""),1379.19)</f>
        <v>1379.19</v>
      </c>
      <c r="E5284" s="1">
        <f>IFERROR(__xludf.DUMMYFUNCTION("""COMPUTED_VALUE"""),1382.84)</f>
        <v>1382.84</v>
      </c>
      <c r="F5284" s="1">
        <f>IFERROR(__xludf.DUMMYFUNCTION("""COMPUTED_VALUE"""),2.63639008E8)</f>
        <v>263639008</v>
      </c>
    </row>
    <row r="5285">
      <c r="A5285" s="2">
        <f>IFERROR(__xludf.DUMMYFUNCTION("""COMPUTED_VALUE"""),39029.666666666664)</f>
        <v>39029.66667</v>
      </c>
      <c r="B5285" s="1">
        <f>IFERROR(__xludf.DUMMYFUNCTION("""COMPUTED_VALUE"""),1382.5)</f>
        <v>1382.5</v>
      </c>
      <c r="C5285" s="1">
        <f>IFERROR(__xludf.DUMMYFUNCTION("""COMPUTED_VALUE"""),1388.61)</f>
        <v>1388.61</v>
      </c>
      <c r="D5285" s="1">
        <f>IFERROR(__xludf.DUMMYFUNCTION("""COMPUTED_VALUE"""),1376.29)</f>
        <v>1376.29</v>
      </c>
      <c r="E5285" s="1">
        <f>IFERROR(__xludf.DUMMYFUNCTION("""COMPUTED_VALUE"""),1385.72)</f>
        <v>1385.72</v>
      </c>
      <c r="F5285" s="1">
        <f>IFERROR(__xludf.DUMMYFUNCTION("""COMPUTED_VALUE"""),2.81481984E8)</f>
        <v>281481984</v>
      </c>
    </row>
    <row r="5286">
      <c r="A5286" s="2">
        <f>IFERROR(__xludf.DUMMYFUNCTION("""COMPUTED_VALUE"""),39030.666666666664)</f>
        <v>39030.66667</v>
      </c>
      <c r="B5286" s="1">
        <f>IFERROR(__xludf.DUMMYFUNCTION("""COMPUTED_VALUE"""),1385.43)</f>
        <v>1385.43</v>
      </c>
      <c r="C5286" s="1">
        <f>IFERROR(__xludf.DUMMYFUNCTION("""COMPUTED_VALUE"""),1388.92)</f>
        <v>1388.92</v>
      </c>
      <c r="D5286" s="1">
        <f>IFERROR(__xludf.DUMMYFUNCTION("""COMPUTED_VALUE"""),1377.31)</f>
        <v>1377.31</v>
      </c>
      <c r="E5286" s="1">
        <f>IFERROR(__xludf.DUMMYFUNCTION("""COMPUTED_VALUE"""),1378.33)</f>
        <v>1378.33</v>
      </c>
      <c r="F5286" s="1">
        <f>IFERROR(__xludf.DUMMYFUNCTION("""COMPUTED_VALUE"""),3.01204992E8)</f>
        <v>301204992</v>
      </c>
    </row>
    <row r="5287">
      <c r="A5287" s="2">
        <f>IFERROR(__xludf.DUMMYFUNCTION("""COMPUTED_VALUE"""),39031.666666666664)</f>
        <v>39031.66667</v>
      </c>
      <c r="B5287" s="1">
        <f>IFERROR(__xludf.DUMMYFUNCTION("""COMPUTED_VALUE"""),1378.33)</f>
        <v>1378.33</v>
      </c>
      <c r="C5287" s="1">
        <f>IFERROR(__xludf.DUMMYFUNCTION("""COMPUTED_VALUE"""),1381.04)</f>
        <v>1381.04</v>
      </c>
      <c r="D5287" s="1">
        <f>IFERROR(__xludf.DUMMYFUNCTION("""COMPUTED_VALUE"""),1375.6)</f>
        <v>1375.6</v>
      </c>
      <c r="E5287" s="1">
        <f>IFERROR(__xludf.DUMMYFUNCTION("""COMPUTED_VALUE"""),1380.9)</f>
        <v>1380.9</v>
      </c>
      <c r="F5287" s="1">
        <f>IFERROR(__xludf.DUMMYFUNCTION("""COMPUTED_VALUE"""),2.2902E8)</f>
        <v>229020000</v>
      </c>
    </row>
    <row r="5288">
      <c r="A5288" s="2">
        <f>IFERROR(__xludf.DUMMYFUNCTION("""COMPUTED_VALUE"""),39034.666666666664)</f>
        <v>39034.66667</v>
      </c>
      <c r="B5288" s="1">
        <f>IFERROR(__xludf.DUMMYFUNCTION("""COMPUTED_VALUE"""),1380.58)</f>
        <v>1380.58</v>
      </c>
      <c r="C5288" s="1">
        <f>IFERROR(__xludf.DUMMYFUNCTION("""COMPUTED_VALUE"""),1387.61)</f>
        <v>1387.61</v>
      </c>
      <c r="D5288" s="1">
        <f>IFERROR(__xludf.DUMMYFUNCTION("""COMPUTED_VALUE"""),1378.8)</f>
        <v>1378.8</v>
      </c>
      <c r="E5288" s="1">
        <f>IFERROR(__xludf.DUMMYFUNCTION("""COMPUTED_VALUE"""),1384.42)</f>
        <v>1384.42</v>
      </c>
      <c r="F5288" s="1">
        <f>IFERROR(__xludf.DUMMYFUNCTION("""COMPUTED_VALUE"""),2.38634E8)</f>
        <v>238634000</v>
      </c>
    </row>
    <row r="5289">
      <c r="A5289" s="2">
        <f>IFERROR(__xludf.DUMMYFUNCTION("""COMPUTED_VALUE"""),39035.666666666664)</f>
        <v>39035.66667</v>
      </c>
      <c r="B5289" s="1">
        <f>IFERROR(__xludf.DUMMYFUNCTION("""COMPUTED_VALUE"""),1384.36)</f>
        <v>1384.36</v>
      </c>
      <c r="C5289" s="1">
        <f>IFERROR(__xludf.DUMMYFUNCTION("""COMPUTED_VALUE"""),1394.49)</f>
        <v>1394.49</v>
      </c>
      <c r="D5289" s="1">
        <f>IFERROR(__xludf.DUMMYFUNCTION("""COMPUTED_VALUE"""),1379.07)</f>
        <v>1379.07</v>
      </c>
      <c r="E5289" s="1">
        <f>IFERROR(__xludf.DUMMYFUNCTION("""COMPUTED_VALUE"""),1393.22)</f>
        <v>1393.22</v>
      </c>
      <c r="F5289" s="1">
        <f>IFERROR(__xludf.DUMMYFUNCTION("""COMPUTED_VALUE"""),3.02748E8)</f>
        <v>302748000</v>
      </c>
    </row>
    <row r="5290">
      <c r="A5290" s="2">
        <f>IFERROR(__xludf.DUMMYFUNCTION("""COMPUTED_VALUE"""),39036.666666666664)</f>
        <v>39036.66667</v>
      </c>
      <c r="B5290" s="1">
        <f>IFERROR(__xludf.DUMMYFUNCTION("""COMPUTED_VALUE"""),1392.91)</f>
        <v>1392.91</v>
      </c>
      <c r="C5290" s="1">
        <f>IFERROR(__xludf.DUMMYFUNCTION("""COMPUTED_VALUE"""),1401.35)</f>
        <v>1401.35</v>
      </c>
      <c r="D5290" s="1">
        <f>IFERROR(__xludf.DUMMYFUNCTION("""COMPUTED_VALUE"""),1392.13)</f>
        <v>1392.13</v>
      </c>
      <c r="E5290" s="1">
        <f>IFERROR(__xludf.DUMMYFUNCTION("""COMPUTED_VALUE"""),1396.57)</f>
        <v>1396.57</v>
      </c>
      <c r="F5290" s="1">
        <f>IFERROR(__xludf.DUMMYFUNCTION("""COMPUTED_VALUE"""),2.83112992E8)</f>
        <v>283112992</v>
      </c>
    </row>
    <row r="5291">
      <c r="A5291" s="2">
        <f>IFERROR(__xludf.DUMMYFUNCTION("""COMPUTED_VALUE"""),39037.666666666664)</f>
        <v>39037.66667</v>
      </c>
      <c r="B5291" s="1">
        <f>IFERROR(__xludf.DUMMYFUNCTION("""COMPUTED_VALUE"""),1396.53)</f>
        <v>1396.53</v>
      </c>
      <c r="C5291" s="1">
        <f>IFERROR(__xludf.DUMMYFUNCTION("""COMPUTED_VALUE"""),1403.76)</f>
        <v>1403.76</v>
      </c>
      <c r="D5291" s="1">
        <f>IFERROR(__xludf.DUMMYFUNCTION("""COMPUTED_VALUE"""),1396.53)</f>
        <v>1396.53</v>
      </c>
      <c r="E5291" s="1">
        <f>IFERROR(__xludf.DUMMYFUNCTION("""COMPUTED_VALUE"""),1399.76)</f>
        <v>1399.76</v>
      </c>
      <c r="F5291" s="1">
        <f>IFERROR(__xludf.DUMMYFUNCTION("""COMPUTED_VALUE"""),2.83572992E8)</f>
        <v>283572992</v>
      </c>
    </row>
    <row r="5292">
      <c r="A5292" s="2">
        <f>IFERROR(__xludf.DUMMYFUNCTION("""COMPUTED_VALUE"""),39038.666666666664)</f>
        <v>39038.66667</v>
      </c>
      <c r="B5292" s="1">
        <f>IFERROR(__xludf.DUMMYFUNCTION("""COMPUTED_VALUE"""),1399.76)</f>
        <v>1399.76</v>
      </c>
      <c r="C5292" s="1">
        <f>IFERROR(__xludf.DUMMYFUNCTION("""COMPUTED_VALUE"""),1401.21)</f>
        <v>1401.21</v>
      </c>
      <c r="D5292" s="1">
        <f>IFERROR(__xludf.DUMMYFUNCTION("""COMPUTED_VALUE"""),1394.55)</f>
        <v>1394.55</v>
      </c>
      <c r="E5292" s="1">
        <f>IFERROR(__xludf.DUMMYFUNCTION("""COMPUTED_VALUE"""),1401.2)</f>
        <v>1401.2</v>
      </c>
      <c r="F5292" s="1">
        <f>IFERROR(__xludf.DUMMYFUNCTION("""COMPUTED_VALUE"""),2.72609984E8)</f>
        <v>272609984</v>
      </c>
    </row>
    <row r="5293">
      <c r="A5293" s="2">
        <f>IFERROR(__xludf.DUMMYFUNCTION("""COMPUTED_VALUE"""),39041.666666666664)</f>
        <v>39041.66667</v>
      </c>
      <c r="B5293" s="1">
        <f>IFERROR(__xludf.DUMMYFUNCTION("""COMPUTED_VALUE"""),1401.17)</f>
        <v>1401.17</v>
      </c>
      <c r="C5293" s="1">
        <f>IFERROR(__xludf.DUMMYFUNCTION("""COMPUTED_VALUE"""),1404.37)</f>
        <v>1404.37</v>
      </c>
      <c r="D5293" s="1">
        <f>IFERROR(__xludf.DUMMYFUNCTION("""COMPUTED_VALUE"""),1397.85)</f>
        <v>1397.85</v>
      </c>
      <c r="E5293" s="1">
        <f>IFERROR(__xludf.DUMMYFUNCTION("""COMPUTED_VALUE"""),1400.5)</f>
        <v>1400.5</v>
      </c>
      <c r="F5293" s="1">
        <f>IFERROR(__xludf.DUMMYFUNCTION("""COMPUTED_VALUE"""),2.54671008E8)</f>
        <v>254671008</v>
      </c>
    </row>
    <row r="5294">
      <c r="A5294" s="2">
        <f>IFERROR(__xludf.DUMMYFUNCTION("""COMPUTED_VALUE"""),39042.666666666664)</f>
        <v>39042.66667</v>
      </c>
      <c r="B5294" s="1">
        <f>IFERROR(__xludf.DUMMYFUNCTION("""COMPUTED_VALUE"""),1401.85)</f>
        <v>1401.85</v>
      </c>
      <c r="C5294" s="1">
        <f>IFERROR(__xludf.DUMMYFUNCTION("""COMPUTED_VALUE"""),1403.46)</f>
        <v>1403.46</v>
      </c>
      <c r="D5294" s="1">
        <f>IFERROR(__xludf.DUMMYFUNCTION("""COMPUTED_VALUE"""),1399.99)</f>
        <v>1399.99</v>
      </c>
      <c r="E5294" s="1">
        <f>IFERROR(__xludf.DUMMYFUNCTION("""COMPUTED_VALUE"""),1402.81)</f>
        <v>1402.81</v>
      </c>
      <c r="F5294" s="1">
        <f>IFERROR(__xludf.DUMMYFUNCTION("""COMPUTED_VALUE"""),2.59794E8)</f>
        <v>259794000</v>
      </c>
    </row>
    <row r="5295">
      <c r="A5295" s="2">
        <f>IFERROR(__xludf.DUMMYFUNCTION("""COMPUTED_VALUE"""),39043.666666666664)</f>
        <v>39043.66667</v>
      </c>
      <c r="B5295" s="1">
        <f>IFERROR(__xludf.DUMMYFUNCTION("""COMPUTED_VALUE"""),1402.69)</f>
        <v>1402.69</v>
      </c>
      <c r="C5295" s="1">
        <f>IFERROR(__xludf.DUMMYFUNCTION("""COMPUTED_VALUE"""),1407.89)</f>
        <v>1407.89</v>
      </c>
      <c r="D5295" s="1">
        <f>IFERROR(__xludf.DUMMYFUNCTION("""COMPUTED_VALUE"""),1402.26)</f>
        <v>1402.26</v>
      </c>
      <c r="E5295" s="1">
        <f>IFERROR(__xludf.DUMMYFUNCTION("""COMPUTED_VALUE"""),1406.09)</f>
        <v>1406.09</v>
      </c>
      <c r="F5295" s="1">
        <f>IFERROR(__xludf.DUMMYFUNCTION("""COMPUTED_VALUE"""),2.23771008E8)</f>
        <v>223771008</v>
      </c>
    </row>
    <row r="5296">
      <c r="A5296" s="2">
        <f>IFERROR(__xludf.DUMMYFUNCTION("""COMPUTED_VALUE"""),39045.666666666664)</f>
        <v>39045.66667</v>
      </c>
      <c r="B5296" s="1">
        <f>IFERROR(__xludf.DUMMYFUNCTION("""COMPUTED_VALUE"""),1405.94)</f>
        <v>1405.94</v>
      </c>
      <c r="C5296" s="1">
        <f>IFERROR(__xludf.DUMMYFUNCTION("""COMPUTED_VALUE"""),1405.94)</f>
        <v>1405.94</v>
      </c>
      <c r="D5296" s="1">
        <f>IFERROR(__xludf.DUMMYFUNCTION("""COMPUTED_VALUE"""),1399.25)</f>
        <v>1399.25</v>
      </c>
      <c r="E5296" s="1">
        <f>IFERROR(__xludf.DUMMYFUNCTION("""COMPUTED_VALUE"""),1400.95)</f>
        <v>1400.95</v>
      </c>
      <c r="F5296" s="1">
        <f>IFERROR(__xludf.DUMMYFUNCTION("""COMPUTED_VALUE"""),3.3255E7)</f>
        <v>33255000</v>
      </c>
    </row>
    <row r="5297">
      <c r="A5297" s="2">
        <f>IFERROR(__xludf.DUMMYFUNCTION("""COMPUTED_VALUE"""),39048.666666666664)</f>
        <v>39048.66667</v>
      </c>
      <c r="B5297" s="1">
        <f>IFERROR(__xludf.DUMMYFUNCTION("""COMPUTED_VALUE"""),1400.95)</f>
        <v>1400.95</v>
      </c>
      <c r="C5297" s="1">
        <f>IFERROR(__xludf.DUMMYFUNCTION("""COMPUTED_VALUE"""),1400.95)</f>
        <v>1400.95</v>
      </c>
      <c r="D5297" s="1">
        <f>IFERROR(__xludf.DUMMYFUNCTION("""COMPUTED_VALUE"""),1381.44)</f>
        <v>1381.44</v>
      </c>
      <c r="E5297" s="1">
        <f>IFERROR(__xludf.DUMMYFUNCTION("""COMPUTED_VALUE"""),1381.9)</f>
        <v>1381.9</v>
      </c>
      <c r="F5297" s="1">
        <f>IFERROR(__xludf.DUMMYFUNCTION("""COMPUTED_VALUE"""),2.71120992E8)</f>
        <v>271120992</v>
      </c>
    </row>
    <row r="5298">
      <c r="A5298" s="2">
        <f>IFERROR(__xludf.DUMMYFUNCTION("""COMPUTED_VALUE"""),39049.666666666664)</f>
        <v>39049.66667</v>
      </c>
      <c r="B5298" s="1">
        <f>IFERROR(__xludf.DUMMYFUNCTION("""COMPUTED_VALUE"""),1381.61)</f>
        <v>1381.61</v>
      </c>
      <c r="C5298" s="1">
        <f>IFERROR(__xludf.DUMMYFUNCTION("""COMPUTED_VALUE"""),1387.91)</f>
        <v>1387.91</v>
      </c>
      <c r="D5298" s="1">
        <f>IFERROR(__xludf.DUMMYFUNCTION("""COMPUTED_VALUE"""),1377.83)</f>
        <v>1377.83</v>
      </c>
      <c r="E5298" s="1">
        <f>IFERROR(__xludf.DUMMYFUNCTION("""COMPUTED_VALUE"""),1386.72)</f>
        <v>1386.72</v>
      </c>
      <c r="F5298" s="1">
        <f>IFERROR(__xludf.DUMMYFUNCTION("""COMPUTED_VALUE"""),2.63975008E8)</f>
        <v>263975008</v>
      </c>
    </row>
    <row r="5299">
      <c r="A5299" s="2">
        <f>IFERROR(__xludf.DUMMYFUNCTION("""COMPUTED_VALUE"""),39050.666666666664)</f>
        <v>39050.66667</v>
      </c>
      <c r="B5299" s="1">
        <f>IFERROR(__xludf.DUMMYFUNCTION("""COMPUTED_VALUE"""),1386.11)</f>
        <v>1386.11</v>
      </c>
      <c r="C5299" s="1">
        <f>IFERROR(__xludf.DUMMYFUNCTION("""COMPUTED_VALUE"""),1401.14)</f>
        <v>1401.14</v>
      </c>
      <c r="D5299" s="1">
        <f>IFERROR(__xludf.DUMMYFUNCTION("""COMPUTED_VALUE"""),1386.11)</f>
        <v>1386.11</v>
      </c>
      <c r="E5299" s="1">
        <f>IFERROR(__xludf.DUMMYFUNCTION("""COMPUTED_VALUE"""),1399.48)</f>
        <v>1399.48</v>
      </c>
      <c r="F5299" s="1">
        <f>IFERROR(__xludf.DUMMYFUNCTION("""COMPUTED_VALUE"""),2.79096992E8)</f>
        <v>279096992</v>
      </c>
    </row>
    <row r="5300">
      <c r="A5300" s="2">
        <f>IFERROR(__xludf.DUMMYFUNCTION("""COMPUTED_VALUE"""),39051.666666666664)</f>
        <v>39051.66667</v>
      </c>
      <c r="B5300" s="1">
        <f>IFERROR(__xludf.DUMMYFUNCTION("""COMPUTED_VALUE"""),1399.47)</f>
        <v>1399.47</v>
      </c>
      <c r="C5300" s="1">
        <f>IFERROR(__xludf.DUMMYFUNCTION("""COMPUTED_VALUE"""),1406.3)</f>
        <v>1406.3</v>
      </c>
      <c r="D5300" s="1">
        <f>IFERROR(__xludf.DUMMYFUNCTION("""COMPUTED_VALUE"""),1393.83)</f>
        <v>1393.83</v>
      </c>
      <c r="E5300" s="1">
        <f>IFERROR(__xludf.DUMMYFUNCTION("""COMPUTED_VALUE"""),1400.63)</f>
        <v>1400.63</v>
      </c>
      <c r="F5300" s="1">
        <f>IFERROR(__xludf.DUMMYFUNCTION("""COMPUTED_VALUE"""),4.00623008E8)</f>
        <v>400623008</v>
      </c>
    </row>
    <row r="5301">
      <c r="A5301" s="2">
        <f>IFERROR(__xludf.DUMMYFUNCTION("""COMPUTED_VALUE"""),39052.666666666664)</f>
        <v>39052.66667</v>
      </c>
      <c r="B5301" s="1">
        <f>IFERROR(__xludf.DUMMYFUNCTION("""COMPUTED_VALUE"""),1400.63)</f>
        <v>1400.63</v>
      </c>
      <c r="C5301" s="1">
        <f>IFERROR(__xludf.DUMMYFUNCTION("""COMPUTED_VALUE"""),1402.46)</f>
        <v>1402.46</v>
      </c>
      <c r="D5301" s="1">
        <f>IFERROR(__xludf.DUMMYFUNCTION("""COMPUTED_VALUE"""),1385.93)</f>
        <v>1385.93</v>
      </c>
      <c r="E5301" s="1">
        <f>IFERROR(__xludf.DUMMYFUNCTION("""COMPUTED_VALUE"""),1396.71)</f>
        <v>1396.71</v>
      </c>
      <c r="F5301" s="1">
        <f>IFERROR(__xludf.DUMMYFUNCTION("""COMPUTED_VALUE"""),2.80097984E8)</f>
        <v>280097984</v>
      </c>
    </row>
    <row r="5302">
      <c r="A5302" s="2">
        <f>IFERROR(__xludf.DUMMYFUNCTION("""COMPUTED_VALUE"""),39055.666666666664)</f>
        <v>39055.66667</v>
      </c>
      <c r="B5302" s="1">
        <f>IFERROR(__xludf.DUMMYFUNCTION("""COMPUTED_VALUE"""),1396.67)</f>
        <v>1396.67</v>
      </c>
      <c r="C5302" s="1">
        <f>IFERROR(__xludf.DUMMYFUNCTION("""COMPUTED_VALUE"""),1411.23)</f>
        <v>1411.23</v>
      </c>
      <c r="D5302" s="1">
        <f>IFERROR(__xludf.DUMMYFUNCTION("""COMPUTED_VALUE"""),1396.67)</f>
        <v>1396.67</v>
      </c>
      <c r="E5302" s="1">
        <f>IFERROR(__xludf.DUMMYFUNCTION("""COMPUTED_VALUE"""),1409.12)</f>
        <v>1409.12</v>
      </c>
      <c r="F5302" s="1">
        <f>IFERROR(__xludf.DUMMYFUNCTION("""COMPUTED_VALUE"""),2.76632E8)</f>
        <v>276632000</v>
      </c>
    </row>
    <row r="5303">
      <c r="A5303" s="2">
        <f>IFERROR(__xludf.DUMMYFUNCTION("""COMPUTED_VALUE"""),39056.666666666664)</f>
        <v>39056.66667</v>
      </c>
      <c r="B5303" s="1">
        <f>IFERROR(__xludf.DUMMYFUNCTION("""COMPUTED_VALUE"""),1409.1)</f>
        <v>1409.1</v>
      </c>
      <c r="C5303" s="1">
        <f>IFERROR(__xludf.DUMMYFUNCTION("""COMPUTED_VALUE"""),1415.27)</f>
        <v>1415.27</v>
      </c>
      <c r="D5303" s="1">
        <f>IFERROR(__xludf.DUMMYFUNCTION("""COMPUTED_VALUE"""),1408.78)</f>
        <v>1408.78</v>
      </c>
      <c r="E5303" s="1">
        <f>IFERROR(__xludf.DUMMYFUNCTION("""COMPUTED_VALUE"""),1413.29)</f>
        <v>1413.29</v>
      </c>
      <c r="F5303" s="1">
        <f>IFERROR(__xludf.DUMMYFUNCTION("""COMPUTED_VALUE"""),2.75569984E8)</f>
        <v>275569984</v>
      </c>
    </row>
    <row r="5304">
      <c r="A5304" s="2">
        <f>IFERROR(__xludf.DUMMYFUNCTION("""COMPUTED_VALUE"""),39057.666666666664)</f>
        <v>39057.66667</v>
      </c>
      <c r="B5304" s="1">
        <f>IFERROR(__xludf.DUMMYFUNCTION("""COMPUTED_VALUE"""),1414.4)</f>
        <v>1414.4</v>
      </c>
      <c r="C5304" s="1">
        <f>IFERROR(__xludf.DUMMYFUNCTION("""COMPUTED_VALUE"""),1415.93)</f>
        <v>1415.93</v>
      </c>
      <c r="D5304" s="1">
        <f>IFERROR(__xludf.DUMMYFUNCTION("""COMPUTED_VALUE"""),1411.05)</f>
        <v>1411.05</v>
      </c>
      <c r="E5304" s="1">
        <f>IFERROR(__xludf.DUMMYFUNCTION("""COMPUTED_VALUE"""),1412.9)</f>
        <v>1412.9</v>
      </c>
      <c r="F5304" s="1">
        <f>IFERROR(__xludf.DUMMYFUNCTION("""COMPUTED_VALUE"""),2.72528E8)</f>
        <v>272528000</v>
      </c>
    </row>
    <row r="5305">
      <c r="A5305" s="2">
        <f>IFERROR(__xludf.DUMMYFUNCTION("""COMPUTED_VALUE"""),39058.666666666664)</f>
        <v>39058.66667</v>
      </c>
      <c r="B5305" s="1">
        <f>IFERROR(__xludf.DUMMYFUNCTION("""COMPUTED_VALUE"""),1412.86)</f>
        <v>1412.86</v>
      </c>
      <c r="C5305" s="1">
        <f>IFERROR(__xludf.DUMMYFUNCTION("""COMPUTED_VALUE"""),1418.27)</f>
        <v>1418.27</v>
      </c>
      <c r="D5305" s="1">
        <f>IFERROR(__xludf.DUMMYFUNCTION("""COMPUTED_VALUE"""),1406.8)</f>
        <v>1406.8</v>
      </c>
      <c r="E5305" s="1">
        <f>IFERROR(__xludf.DUMMYFUNCTION("""COMPUTED_VALUE"""),1407.29)</f>
        <v>1407.29</v>
      </c>
      <c r="F5305" s="1">
        <f>IFERROR(__xludf.DUMMYFUNCTION("""COMPUTED_VALUE"""),2.74315008E8)</f>
        <v>274315008</v>
      </c>
    </row>
    <row r="5306">
      <c r="A5306" s="2">
        <f>IFERROR(__xludf.DUMMYFUNCTION("""COMPUTED_VALUE"""),39059.666666666664)</f>
        <v>39059.66667</v>
      </c>
      <c r="B5306" s="1">
        <f>IFERROR(__xludf.DUMMYFUNCTION("""COMPUTED_VALUE"""),1407.27)</f>
        <v>1407.27</v>
      </c>
      <c r="C5306" s="1">
        <f>IFERROR(__xludf.DUMMYFUNCTION("""COMPUTED_VALUE"""),1414.09)</f>
        <v>1414.09</v>
      </c>
      <c r="D5306" s="1">
        <f>IFERROR(__xludf.DUMMYFUNCTION("""COMPUTED_VALUE"""),1403.67)</f>
        <v>1403.67</v>
      </c>
      <c r="E5306" s="1">
        <f>IFERROR(__xludf.DUMMYFUNCTION("""COMPUTED_VALUE"""),1409.84)</f>
        <v>1409.84</v>
      </c>
      <c r="F5306" s="1">
        <f>IFERROR(__xludf.DUMMYFUNCTION("""COMPUTED_VALUE"""),2.44046E8)</f>
        <v>244046000</v>
      </c>
    </row>
    <row r="5307">
      <c r="A5307" s="2">
        <f>IFERROR(__xludf.DUMMYFUNCTION("""COMPUTED_VALUE"""),39062.666666666664)</f>
        <v>39062.66667</v>
      </c>
      <c r="B5307" s="1">
        <f>IFERROR(__xludf.DUMMYFUNCTION("""COMPUTED_VALUE"""),1409.81)</f>
        <v>1409.81</v>
      </c>
      <c r="C5307" s="1">
        <f>IFERROR(__xludf.DUMMYFUNCTION("""COMPUTED_VALUE"""),1415.6)</f>
        <v>1415.6</v>
      </c>
      <c r="D5307" s="1">
        <f>IFERROR(__xludf.DUMMYFUNCTION("""COMPUTED_VALUE"""),1408.56)</f>
        <v>1408.56</v>
      </c>
      <c r="E5307" s="1">
        <f>IFERROR(__xludf.DUMMYFUNCTION("""COMPUTED_VALUE"""),1413.04)</f>
        <v>1413.04</v>
      </c>
      <c r="F5307" s="1">
        <f>IFERROR(__xludf.DUMMYFUNCTION("""COMPUTED_VALUE"""),2.2899E8)</f>
        <v>228990000</v>
      </c>
    </row>
    <row r="5308">
      <c r="A5308" s="2">
        <f>IFERROR(__xludf.DUMMYFUNCTION("""COMPUTED_VALUE"""),39063.666666666664)</f>
        <v>39063.66667</v>
      </c>
      <c r="B5308" s="1">
        <f>IFERROR(__xludf.DUMMYFUNCTION("""COMPUTED_VALUE"""),1413.0)</f>
        <v>1413</v>
      </c>
      <c r="C5308" s="1">
        <f>IFERROR(__xludf.DUMMYFUNCTION("""COMPUTED_VALUE"""),1413.78)</f>
        <v>1413.78</v>
      </c>
      <c r="D5308" s="1">
        <f>IFERROR(__xludf.DUMMYFUNCTION("""COMPUTED_VALUE"""),1404.75)</f>
        <v>1404.75</v>
      </c>
      <c r="E5308" s="1">
        <f>IFERROR(__xludf.DUMMYFUNCTION("""COMPUTED_VALUE"""),1411.56)</f>
        <v>1411.56</v>
      </c>
      <c r="F5308" s="1">
        <f>IFERROR(__xludf.DUMMYFUNCTION("""COMPUTED_VALUE"""),2.73816992E8)</f>
        <v>273816992</v>
      </c>
    </row>
    <row r="5309">
      <c r="A5309" s="2">
        <f>IFERROR(__xludf.DUMMYFUNCTION("""COMPUTED_VALUE"""),39064.666666666664)</f>
        <v>39064.66667</v>
      </c>
      <c r="B5309" s="1">
        <f>IFERROR(__xludf.DUMMYFUNCTION("""COMPUTED_VALUE"""),1411.32)</f>
        <v>1411.32</v>
      </c>
      <c r="C5309" s="1">
        <f>IFERROR(__xludf.DUMMYFUNCTION("""COMPUTED_VALUE"""),1416.64)</f>
        <v>1416.64</v>
      </c>
      <c r="D5309" s="1">
        <f>IFERROR(__xludf.DUMMYFUNCTION("""COMPUTED_VALUE"""),1411.05)</f>
        <v>1411.05</v>
      </c>
      <c r="E5309" s="1">
        <f>IFERROR(__xludf.DUMMYFUNCTION("""COMPUTED_VALUE"""),1413.21)</f>
        <v>1413.21</v>
      </c>
      <c r="F5309" s="1">
        <f>IFERROR(__xludf.DUMMYFUNCTION("""COMPUTED_VALUE"""),2.55226E8)</f>
        <v>255226000</v>
      </c>
    </row>
    <row r="5310">
      <c r="A5310" s="2">
        <f>IFERROR(__xludf.DUMMYFUNCTION("""COMPUTED_VALUE"""),39065.666666666664)</f>
        <v>39065.66667</v>
      </c>
      <c r="B5310" s="1">
        <f>IFERROR(__xludf.DUMMYFUNCTION("""COMPUTED_VALUE"""),1413.16)</f>
        <v>1413.16</v>
      </c>
      <c r="C5310" s="1">
        <f>IFERROR(__xludf.DUMMYFUNCTION("""COMPUTED_VALUE"""),1427.23)</f>
        <v>1427.23</v>
      </c>
      <c r="D5310" s="1">
        <f>IFERROR(__xludf.DUMMYFUNCTION("""COMPUTED_VALUE"""),1413.16)</f>
        <v>1413.16</v>
      </c>
      <c r="E5310" s="1">
        <f>IFERROR(__xludf.DUMMYFUNCTION("""COMPUTED_VALUE"""),1425.49)</f>
        <v>1425.49</v>
      </c>
      <c r="F5310" s="1">
        <f>IFERROR(__xludf.DUMMYFUNCTION("""COMPUTED_VALUE"""),2.72969984E8)</f>
        <v>272969984</v>
      </c>
    </row>
    <row r="5311">
      <c r="A5311" s="2">
        <f>IFERROR(__xludf.DUMMYFUNCTION("""COMPUTED_VALUE"""),39066.666666666664)</f>
        <v>39066.66667</v>
      </c>
      <c r="B5311" s="1">
        <f>IFERROR(__xludf.DUMMYFUNCTION("""COMPUTED_VALUE"""),1425.48)</f>
        <v>1425.48</v>
      </c>
      <c r="C5311" s="1">
        <f>IFERROR(__xludf.DUMMYFUNCTION("""COMPUTED_VALUE"""),1431.63)</f>
        <v>1431.63</v>
      </c>
      <c r="D5311" s="1">
        <f>IFERROR(__xludf.DUMMYFUNCTION("""COMPUTED_VALUE"""),1425.48)</f>
        <v>1425.48</v>
      </c>
      <c r="E5311" s="1">
        <f>IFERROR(__xludf.DUMMYFUNCTION("""COMPUTED_VALUE"""),1427.09)</f>
        <v>1427.09</v>
      </c>
      <c r="F5311" s="1">
        <f>IFERROR(__xludf.DUMMYFUNCTION("""COMPUTED_VALUE"""),3.22958016E8)</f>
        <v>322958016</v>
      </c>
    </row>
    <row r="5312">
      <c r="A5312" s="2">
        <f>IFERROR(__xludf.DUMMYFUNCTION("""COMPUTED_VALUE"""),39069.666666666664)</f>
        <v>39069.66667</v>
      </c>
      <c r="B5312" s="1">
        <f>IFERROR(__xludf.DUMMYFUNCTION("""COMPUTED_VALUE"""),1427.08)</f>
        <v>1427.08</v>
      </c>
      <c r="C5312" s="1">
        <f>IFERROR(__xludf.DUMMYFUNCTION("""COMPUTED_VALUE"""),1431.81)</f>
        <v>1431.81</v>
      </c>
      <c r="D5312" s="1">
        <f>IFERROR(__xludf.DUMMYFUNCTION("""COMPUTED_VALUE"""),1420.65)</f>
        <v>1420.65</v>
      </c>
      <c r="E5312" s="1">
        <f>IFERROR(__xludf.DUMMYFUNCTION("""COMPUTED_VALUE"""),1422.48)</f>
        <v>1422.48</v>
      </c>
      <c r="F5312" s="1">
        <f>IFERROR(__xludf.DUMMYFUNCTION("""COMPUTED_VALUE"""),2.56814E8)</f>
        <v>256814000</v>
      </c>
    </row>
    <row r="5313">
      <c r="A5313" s="2">
        <f>IFERROR(__xludf.DUMMYFUNCTION("""COMPUTED_VALUE"""),39070.666666666664)</f>
        <v>39070.66667</v>
      </c>
      <c r="B5313" s="1">
        <f>IFERROR(__xludf.DUMMYFUNCTION("""COMPUTED_VALUE"""),1422.42)</f>
        <v>1422.42</v>
      </c>
      <c r="C5313" s="1">
        <f>IFERROR(__xludf.DUMMYFUNCTION("""COMPUTED_VALUE"""),1428.3)</f>
        <v>1428.3</v>
      </c>
      <c r="D5313" s="1">
        <f>IFERROR(__xludf.DUMMYFUNCTION("""COMPUTED_VALUE"""),1414.88)</f>
        <v>1414.88</v>
      </c>
      <c r="E5313" s="1">
        <f>IFERROR(__xludf.DUMMYFUNCTION("""COMPUTED_VALUE"""),1425.55)</f>
        <v>1425.55</v>
      </c>
      <c r="F5313" s="1">
        <f>IFERROR(__xludf.DUMMYFUNCTION("""COMPUTED_VALUE"""),2.71705984E8)</f>
        <v>271705984</v>
      </c>
    </row>
    <row r="5314">
      <c r="A5314" s="2">
        <f>IFERROR(__xludf.DUMMYFUNCTION("""COMPUTED_VALUE"""),39071.666666666664)</f>
        <v>39071.66667</v>
      </c>
      <c r="B5314" s="1">
        <f>IFERROR(__xludf.DUMMYFUNCTION("""COMPUTED_VALUE"""),1425.51)</f>
        <v>1425.51</v>
      </c>
      <c r="C5314" s="1">
        <f>IFERROR(__xludf.DUMMYFUNCTION("""COMPUTED_VALUE"""),1429.05)</f>
        <v>1429.05</v>
      </c>
      <c r="D5314" s="1">
        <f>IFERROR(__xludf.DUMMYFUNCTION("""COMPUTED_VALUE"""),1423.51)</f>
        <v>1423.51</v>
      </c>
      <c r="E5314" s="1">
        <f>IFERROR(__xludf.DUMMYFUNCTION("""COMPUTED_VALUE"""),1423.53)</f>
        <v>1423.53</v>
      </c>
      <c r="F5314" s="1">
        <f>IFERROR(__xludf.DUMMYFUNCTION("""COMPUTED_VALUE"""),2.38763008E8)</f>
        <v>238763008</v>
      </c>
    </row>
    <row r="5315">
      <c r="A5315" s="2">
        <f>IFERROR(__xludf.DUMMYFUNCTION("""COMPUTED_VALUE"""),39072.666666666664)</f>
        <v>39072.66667</v>
      </c>
      <c r="B5315" s="1">
        <f>IFERROR(__xludf.DUMMYFUNCTION("""COMPUTED_VALUE"""),1423.2)</f>
        <v>1423.2</v>
      </c>
      <c r="C5315" s="1">
        <f>IFERROR(__xludf.DUMMYFUNCTION("""COMPUTED_VALUE"""),1426.4)</f>
        <v>1426.4</v>
      </c>
      <c r="D5315" s="1">
        <f>IFERROR(__xludf.DUMMYFUNCTION("""COMPUTED_VALUE"""),1415.9)</f>
        <v>1415.9</v>
      </c>
      <c r="E5315" s="1">
        <f>IFERROR(__xludf.DUMMYFUNCTION("""COMPUTED_VALUE"""),1418.3)</f>
        <v>1418.3</v>
      </c>
      <c r="F5315" s="1">
        <f>IFERROR(__xludf.DUMMYFUNCTION("""COMPUTED_VALUE"""),2.32240992E8)</f>
        <v>232240992</v>
      </c>
    </row>
    <row r="5316">
      <c r="A5316" s="2">
        <f>IFERROR(__xludf.DUMMYFUNCTION("""COMPUTED_VALUE"""),39073.666666666664)</f>
        <v>39073.66667</v>
      </c>
      <c r="B5316" s="1">
        <f>IFERROR(__xludf.DUMMYFUNCTION("""COMPUTED_VALUE"""),1418.1)</f>
        <v>1418.1</v>
      </c>
      <c r="C5316" s="1">
        <f>IFERROR(__xludf.DUMMYFUNCTION("""COMPUTED_VALUE"""),1418.82)</f>
        <v>1418.82</v>
      </c>
      <c r="D5316" s="1">
        <f>IFERROR(__xludf.DUMMYFUNCTION("""COMPUTED_VALUE"""),1410.28)</f>
        <v>1410.28</v>
      </c>
      <c r="E5316" s="1">
        <f>IFERROR(__xludf.DUMMYFUNCTION("""COMPUTED_VALUE"""),1410.76)</f>
        <v>1410.76</v>
      </c>
      <c r="F5316" s="1">
        <f>IFERROR(__xludf.DUMMYFUNCTION("""COMPUTED_VALUE"""),1.64759008E8)</f>
        <v>164759008</v>
      </c>
    </row>
    <row r="5317">
      <c r="A5317" s="2">
        <f>IFERROR(__xludf.DUMMYFUNCTION("""COMPUTED_VALUE"""),39077.666666666664)</f>
        <v>39077.66667</v>
      </c>
      <c r="B5317" s="1">
        <f>IFERROR(__xludf.DUMMYFUNCTION("""COMPUTED_VALUE"""),1410.75)</f>
        <v>1410.75</v>
      </c>
      <c r="C5317" s="1">
        <f>IFERROR(__xludf.DUMMYFUNCTION("""COMPUTED_VALUE"""),1417.91)</f>
        <v>1417.91</v>
      </c>
      <c r="D5317" s="1">
        <f>IFERROR(__xludf.DUMMYFUNCTION("""COMPUTED_VALUE"""),1410.45)</f>
        <v>1410.45</v>
      </c>
      <c r="E5317" s="1">
        <f>IFERROR(__xludf.DUMMYFUNCTION("""COMPUTED_VALUE"""),1416.9)</f>
        <v>1416.9</v>
      </c>
      <c r="F5317" s="1">
        <f>IFERROR(__xludf.DUMMYFUNCTION("""COMPUTED_VALUE"""),1.31031E8)</f>
        <v>131031000</v>
      </c>
    </row>
    <row r="5318">
      <c r="A5318" s="2">
        <f>IFERROR(__xludf.DUMMYFUNCTION("""COMPUTED_VALUE"""),39078.666666666664)</f>
        <v>39078.66667</v>
      </c>
      <c r="B5318" s="1">
        <f>IFERROR(__xludf.DUMMYFUNCTION("""COMPUTED_VALUE"""),1416.63)</f>
        <v>1416.63</v>
      </c>
      <c r="C5318" s="1">
        <f>IFERROR(__xludf.DUMMYFUNCTION("""COMPUTED_VALUE"""),1427.72)</f>
        <v>1427.72</v>
      </c>
      <c r="D5318" s="1">
        <f>IFERROR(__xludf.DUMMYFUNCTION("""COMPUTED_VALUE"""),1416.63)</f>
        <v>1416.63</v>
      </c>
      <c r="E5318" s="1">
        <f>IFERROR(__xludf.DUMMYFUNCTION("""COMPUTED_VALUE"""),1426.84)</f>
        <v>1426.84</v>
      </c>
      <c r="F5318" s="1">
        <f>IFERROR(__xludf.DUMMYFUNCTION("""COMPUTED_VALUE"""),1.66736992E8)</f>
        <v>166736992</v>
      </c>
    </row>
    <row r="5319">
      <c r="A5319" s="2">
        <f>IFERROR(__xludf.DUMMYFUNCTION("""COMPUTED_VALUE"""),39079.666666666664)</f>
        <v>39079.66667</v>
      </c>
      <c r="B5319" s="1">
        <f>IFERROR(__xludf.DUMMYFUNCTION("""COMPUTED_VALUE"""),1426.77)</f>
        <v>1426.77</v>
      </c>
      <c r="C5319" s="1">
        <f>IFERROR(__xludf.DUMMYFUNCTION("""COMPUTED_VALUE"""),1427.26)</f>
        <v>1427.26</v>
      </c>
      <c r="D5319" s="1">
        <f>IFERROR(__xludf.DUMMYFUNCTION("""COMPUTED_VALUE"""),1422.05)</f>
        <v>1422.05</v>
      </c>
      <c r="E5319" s="1">
        <f>IFERROR(__xludf.DUMMYFUNCTION("""COMPUTED_VALUE"""),1424.73)</f>
        <v>1424.73</v>
      </c>
      <c r="F5319" s="1">
        <f>IFERROR(__xludf.DUMMYFUNCTION("""COMPUTED_VALUE"""),1.50856992E8)</f>
        <v>150856992</v>
      </c>
    </row>
    <row r="5320">
      <c r="A5320" s="2">
        <f>IFERROR(__xludf.DUMMYFUNCTION("""COMPUTED_VALUE"""),39080.666666666664)</f>
        <v>39080.66667</v>
      </c>
      <c r="B5320" s="1">
        <f>IFERROR(__xludf.DUMMYFUNCTION("""COMPUTED_VALUE"""),1424.71)</f>
        <v>1424.71</v>
      </c>
      <c r="C5320" s="1">
        <f>IFERROR(__xludf.DUMMYFUNCTION("""COMPUTED_VALUE"""),1427.0)</f>
        <v>1427</v>
      </c>
      <c r="D5320" s="1">
        <f>IFERROR(__xludf.DUMMYFUNCTION("""COMPUTED_VALUE"""),1416.72)</f>
        <v>1416.72</v>
      </c>
      <c r="E5320" s="1">
        <f>IFERROR(__xludf.DUMMYFUNCTION("""COMPUTED_VALUE"""),1418.3)</f>
        <v>1418.3</v>
      </c>
      <c r="F5320" s="1">
        <f>IFERROR(__xludf.DUMMYFUNCTION("""COMPUTED_VALUE"""),1.6782E8)</f>
        <v>167820000</v>
      </c>
    </row>
    <row r="5321">
      <c r="A5321" s="2">
        <f>IFERROR(__xludf.DUMMYFUNCTION("""COMPUTED_VALUE"""),39085.666666666664)</f>
        <v>39085.66667</v>
      </c>
      <c r="B5321" s="1">
        <f>IFERROR(__xludf.DUMMYFUNCTION("""COMPUTED_VALUE"""),1418.03)</f>
        <v>1418.03</v>
      </c>
      <c r="C5321" s="1">
        <f>IFERROR(__xludf.DUMMYFUNCTION("""COMPUTED_VALUE"""),1429.42)</f>
        <v>1429.42</v>
      </c>
      <c r="D5321" s="1">
        <f>IFERROR(__xludf.DUMMYFUNCTION("""COMPUTED_VALUE"""),1407.86)</f>
        <v>1407.86</v>
      </c>
      <c r="E5321" s="1">
        <f>IFERROR(__xludf.DUMMYFUNCTION("""COMPUTED_VALUE"""),1416.63)</f>
        <v>1416.63</v>
      </c>
      <c r="F5321" s="1">
        <f>IFERROR(__xludf.DUMMYFUNCTION("""COMPUTED_VALUE"""),3.42916E8)</f>
        <v>342916000</v>
      </c>
    </row>
    <row r="5322">
      <c r="A5322" s="2">
        <f>IFERROR(__xludf.DUMMYFUNCTION("""COMPUTED_VALUE"""),39086.666666666664)</f>
        <v>39086.66667</v>
      </c>
      <c r="B5322" s="1">
        <f>IFERROR(__xludf.DUMMYFUNCTION("""COMPUTED_VALUE"""),1416.6)</f>
        <v>1416.6</v>
      </c>
      <c r="C5322" s="1">
        <f>IFERROR(__xludf.DUMMYFUNCTION("""COMPUTED_VALUE"""),1421.84)</f>
        <v>1421.84</v>
      </c>
      <c r="D5322" s="1">
        <f>IFERROR(__xludf.DUMMYFUNCTION("""COMPUTED_VALUE"""),1408.22)</f>
        <v>1408.22</v>
      </c>
      <c r="E5322" s="1">
        <f>IFERROR(__xludf.DUMMYFUNCTION("""COMPUTED_VALUE"""),1418.34)</f>
        <v>1418.34</v>
      </c>
      <c r="F5322" s="1">
        <f>IFERROR(__xludf.DUMMYFUNCTION("""COMPUTED_VALUE"""),3.00446016E8)</f>
        <v>300446016</v>
      </c>
    </row>
    <row r="5323">
      <c r="A5323" s="2">
        <f>IFERROR(__xludf.DUMMYFUNCTION("""COMPUTED_VALUE"""),39087.666666666664)</f>
        <v>39087.66667</v>
      </c>
      <c r="B5323" s="1">
        <f>IFERROR(__xludf.DUMMYFUNCTION("""COMPUTED_VALUE"""),1418.34)</f>
        <v>1418.34</v>
      </c>
      <c r="C5323" s="1">
        <f>IFERROR(__xludf.DUMMYFUNCTION("""COMPUTED_VALUE"""),1418.34)</f>
        <v>1418.34</v>
      </c>
      <c r="D5323" s="1">
        <f>IFERROR(__xludf.DUMMYFUNCTION("""COMPUTED_VALUE"""),1405.75)</f>
        <v>1405.75</v>
      </c>
      <c r="E5323" s="1">
        <f>IFERROR(__xludf.DUMMYFUNCTION("""COMPUTED_VALUE"""),1409.71)</f>
        <v>1409.71</v>
      </c>
      <c r="F5323" s="1">
        <f>IFERROR(__xludf.DUMMYFUNCTION("""COMPUTED_VALUE"""),2.9194E8)</f>
        <v>291940000</v>
      </c>
    </row>
    <row r="5324">
      <c r="A5324" s="2">
        <f>IFERROR(__xludf.DUMMYFUNCTION("""COMPUTED_VALUE"""),39090.666666666664)</f>
        <v>39090.66667</v>
      </c>
      <c r="B5324" s="1">
        <f>IFERROR(__xludf.DUMMYFUNCTION("""COMPUTED_VALUE"""),1409.26)</f>
        <v>1409.26</v>
      </c>
      <c r="C5324" s="1">
        <f>IFERROR(__xludf.DUMMYFUNCTION("""COMPUTED_VALUE"""),1414.98)</f>
        <v>1414.98</v>
      </c>
      <c r="D5324" s="1">
        <f>IFERROR(__xludf.DUMMYFUNCTION("""COMPUTED_VALUE"""),1403.97)</f>
        <v>1403.97</v>
      </c>
      <c r="E5324" s="1">
        <f>IFERROR(__xludf.DUMMYFUNCTION("""COMPUTED_VALUE"""),1412.84)</f>
        <v>1412.84</v>
      </c>
      <c r="F5324" s="1">
        <f>IFERROR(__xludf.DUMMYFUNCTION("""COMPUTED_VALUE"""),2.76334016E8)</f>
        <v>276334016</v>
      </c>
    </row>
    <row r="5325">
      <c r="A5325" s="2">
        <f>IFERROR(__xludf.DUMMYFUNCTION("""COMPUTED_VALUE"""),39091.666666666664)</f>
        <v>39091.66667</v>
      </c>
      <c r="B5325" s="1">
        <f>IFERROR(__xludf.DUMMYFUNCTION("""COMPUTED_VALUE"""),1412.84)</f>
        <v>1412.84</v>
      </c>
      <c r="C5325" s="1">
        <f>IFERROR(__xludf.DUMMYFUNCTION("""COMPUTED_VALUE"""),1415.61)</f>
        <v>1415.61</v>
      </c>
      <c r="D5325" s="1">
        <f>IFERROR(__xludf.DUMMYFUNCTION("""COMPUTED_VALUE"""),1405.42)</f>
        <v>1405.42</v>
      </c>
      <c r="E5325" s="1">
        <f>IFERROR(__xludf.DUMMYFUNCTION("""COMPUTED_VALUE"""),1412.11)</f>
        <v>1412.11</v>
      </c>
      <c r="F5325" s="1">
        <f>IFERROR(__xludf.DUMMYFUNCTION("""COMPUTED_VALUE"""),3.03838016E8)</f>
        <v>303838016</v>
      </c>
    </row>
    <row r="5326">
      <c r="A5326" s="2">
        <f>IFERROR(__xludf.DUMMYFUNCTION("""COMPUTED_VALUE"""),39092.666666666664)</f>
        <v>39092.66667</v>
      </c>
      <c r="B5326" s="1">
        <f>IFERROR(__xludf.DUMMYFUNCTION("""COMPUTED_VALUE"""),1411.94)</f>
        <v>1411.94</v>
      </c>
      <c r="C5326" s="1">
        <f>IFERROR(__xludf.DUMMYFUNCTION("""COMPUTED_VALUE"""),1415.99)</f>
        <v>1415.99</v>
      </c>
      <c r="D5326" s="1">
        <f>IFERROR(__xludf.DUMMYFUNCTION("""COMPUTED_VALUE"""),1404.33)</f>
        <v>1404.33</v>
      </c>
      <c r="E5326" s="1">
        <f>IFERROR(__xludf.DUMMYFUNCTION("""COMPUTED_VALUE"""),1414.85)</f>
        <v>1414.85</v>
      </c>
      <c r="F5326" s="1">
        <f>IFERROR(__xludf.DUMMYFUNCTION("""COMPUTED_VALUE"""),2.76465984E8)</f>
        <v>276465984</v>
      </c>
    </row>
    <row r="5327">
      <c r="A5327" s="2">
        <f>IFERROR(__xludf.DUMMYFUNCTION("""COMPUTED_VALUE"""),39093.666666666664)</f>
        <v>39093.66667</v>
      </c>
      <c r="B5327" s="1">
        <f>IFERROR(__xludf.DUMMYFUNCTION("""COMPUTED_VALUE"""),1414.84)</f>
        <v>1414.84</v>
      </c>
      <c r="C5327" s="1">
        <f>IFERROR(__xludf.DUMMYFUNCTION("""COMPUTED_VALUE"""),1427.12)</f>
        <v>1427.12</v>
      </c>
      <c r="D5327" s="1">
        <f>IFERROR(__xludf.DUMMYFUNCTION("""COMPUTED_VALUE"""),1414.84)</f>
        <v>1414.84</v>
      </c>
      <c r="E5327" s="1">
        <f>IFERROR(__xludf.DUMMYFUNCTION("""COMPUTED_VALUE"""),1423.82)</f>
        <v>1423.82</v>
      </c>
      <c r="F5327" s="1">
        <f>IFERROR(__xludf.DUMMYFUNCTION("""COMPUTED_VALUE"""),2.85787008E8)</f>
        <v>285787008</v>
      </c>
    </row>
    <row r="5328">
      <c r="A5328" s="2">
        <f>IFERROR(__xludf.DUMMYFUNCTION("""COMPUTED_VALUE"""),39094.666666666664)</f>
        <v>39094.66667</v>
      </c>
      <c r="B5328" s="1">
        <f>IFERROR(__xludf.DUMMYFUNCTION("""COMPUTED_VALUE"""),1423.82)</f>
        <v>1423.82</v>
      </c>
      <c r="C5328" s="1">
        <f>IFERROR(__xludf.DUMMYFUNCTION("""COMPUTED_VALUE"""),1431.23)</f>
        <v>1431.23</v>
      </c>
      <c r="D5328" s="1">
        <f>IFERROR(__xludf.DUMMYFUNCTION("""COMPUTED_VALUE"""),1422.58)</f>
        <v>1422.58</v>
      </c>
      <c r="E5328" s="1">
        <f>IFERROR(__xludf.DUMMYFUNCTION("""COMPUTED_VALUE"""),1430.73)</f>
        <v>1430.73</v>
      </c>
      <c r="F5328" s="1">
        <f>IFERROR(__xludf.DUMMYFUNCTION("""COMPUTED_VALUE"""),2.68648E8)</f>
        <v>268648000</v>
      </c>
    </row>
    <row r="5329">
      <c r="A5329" s="2">
        <f>IFERROR(__xludf.DUMMYFUNCTION("""COMPUTED_VALUE"""),39098.666666666664)</f>
        <v>39098.66667</v>
      </c>
      <c r="B5329" s="1">
        <f>IFERROR(__xludf.DUMMYFUNCTION("""COMPUTED_VALUE"""),1430.73)</f>
        <v>1430.73</v>
      </c>
      <c r="C5329" s="1">
        <f>IFERROR(__xludf.DUMMYFUNCTION("""COMPUTED_VALUE"""),1433.93)</f>
        <v>1433.93</v>
      </c>
      <c r="D5329" s="1">
        <f>IFERROR(__xludf.DUMMYFUNCTION("""COMPUTED_VALUE"""),1428.62)</f>
        <v>1428.62</v>
      </c>
      <c r="E5329" s="1">
        <f>IFERROR(__xludf.DUMMYFUNCTION("""COMPUTED_VALUE"""),1431.9)</f>
        <v>1431.9</v>
      </c>
      <c r="F5329" s="1">
        <f>IFERROR(__xludf.DUMMYFUNCTION("""COMPUTED_VALUE"""),2.59952992E8)</f>
        <v>259952992</v>
      </c>
    </row>
    <row r="5330">
      <c r="A5330" s="2">
        <f>IFERROR(__xludf.DUMMYFUNCTION("""COMPUTED_VALUE"""),39099.666666666664)</f>
        <v>39099.66667</v>
      </c>
      <c r="B5330" s="1">
        <f>IFERROR(__xludf.DUMMYFUNCTION("""COMPUTED_VALUE"""),1431.77)</f>
        <v>1431.77</v>
      </c>
      <c r="C5330" s="1">
        <f>IFERROR(__xludf.DUMMYFUNCTION("""COMPUTED_VALUE"""),1435.27)</f>
        <v>1435.27</v>
      </c>
      <c r="D5330" s="1">
        <f>IFERROR(__xludf.DUMMYFUNCTION("""COMPUTED_VALUE"""),1428.57)</f>
        <v>1428.57</v>
      </c>
      <c r="E5330" s="1">
        <f>IFERROR(__xludf.DUMMYFUNCTION("""COMPUTED_VALUE"""),1430.62)</f>
        <v>1430.62</v>
      </c>
      <c r="F5330" s="1">
        <f>IFERROR(__xludf.DUMMYFUNCTION("""COMPUTED_VALUE"""),2.69027008E8)</f>
        <v>269027008</v>
      </c>
    </row>
    <row r="5331">
      <c r="A5331" s="2">
        <f>IFERROR(__xludf.DUMMYFUNCTION("""COMPUTED_VALUE"""),39100.666666666664)</f>
        <v>39100.66667</v>
      </c>
      <c r="B5331" s="1">
        <f>IFERROR(__xludf.DUMMYFUNCTION("""COMPUTED_VALUE"""),1427.14)</f>
        <v>1427.14</v>
      </c>
      <c r="C5331" s="1">
        <f>IFERROR(__xludf.DUMMYFUNCTION("""COMPUTED_VALUE"""),1430.7)</f>
        <v>1430.7</v>
      </c>
      <c r="D5331" s="1">
        <f>IFERROR(__xludf.DUMMYFUNCTION("""COMPUTED_VALUE"""),1424.21)</f>
        <v>1424.21</v>
      </c>
      <c r="E5331" s="1">
        <f>IFERROR(__xludf.DUMMYFUNCTION("""COMPUTED_VALUE"""),1426.37)</f>
        <v>1426.37</v>
      </c>
      <c r="F5331" s="1">
        <f>IFERROR(__xludf.DUMMYFUNCTION("""COMPUTED_VALUE"""),2.82243008E8)</f>
        <v>282243008</v>
      </c>
    </row>
    <row r="5332">
      <c r="A5332" s="2">
        <f>IFERROR(__xludf.DUMMYFUNCTION("""COMPUTED_VALUE"""),39101.666666666664)</f>
        <v>39101.66667</v>
      </c>
      <c r="B5332" s="1">
        <f>IFERROR(__xludf.DUMMYFUNCTION("""COMPUTED_VALUE"""),1426.35)</f>
        <v>1426.35</v>
      </c>
      <c r="C5332" s="1">
        <f>IFERROR(__xludf.DUMMYFUNCTION("""COMPUTED_VALUE"""),1431.57)</f>
        <v>1431.57</v>
      </c>
      <c r="D5332" s="1">
        <f>IFERROR(__xludf.DUMMYFUNCTION("""COMPUTED_VALUE"""),1425.19)</f>
        <v>1425.19</v>
      </c>
      <c r="E5332" s="1">
        <f>IFERROR(__xludf.DUMMYFUNCTION("""COMPUTED_VALUE"""),1430.5)</f>
        <v>1430.5</v>
      </c>
      <c r="F5332" s="1">
        <f>IFERROR(__xludf.DUMMYFUNCTION("""COMPUTED_VALUE"""),2.77748E8)</f>
        <v>277748000</v>
      </c>
    </row>
    <row r="5333">
      <c r="A5333" s="2">
        <f>IFERROR(__xludf.DUMMYFUNCTION("""COMPUTED_VALUE"""),39104.666666666664)</f>
        <v>39104.66667</v>
      </c>
      <c r="B5333" s="1">
        <f>IFERROR(__xludf.DUMMYFUNCTION("""COMPUTED_VALUE"""),1430.47)</f>
        <v>1430.47</v>
      </c>
      <c r="C5333" s="1">
        <f>IFERROR(__xludf.DUMMYFUNCTION("""COMPUTED_VALUE"""),1431.39)</f>
        <v>1431.39</v>
      </c>
      <c r="D5333" s="1">
        <f>IFERROR(__xludf.DUMMYFUNCTION("""COMPUTED_VALUE"""),1420.4)</f>
        <v>1420.4</v>
      </c>
      <c r="E5333" s="1">
        <f>IFERROR(__xludf.DUMMYFUNCTION("""COMPUTED_VALUE"""),1422.95)</f>
        <v>1422.95</v>
      </c>
      <c r="F5333" s="1">
        <f>IFERROR(__xludf.DUMMYFUNCTION("""COMPUTED_VALUE"""),2.54012E8)</f>
        <v>254012000</v>
      </c>
    </row>
    <row r="5334">
      <c r="A5334" s="2">
        <f>IFERROR(__xludf.DUMMYFUNCTION("""COMPUTED_VALUE"""),39105.666666666664)</f>
        <v>39105.66667</v>
      </c>
      <c r="B5334" s="1">
        <f>IFERROR(__xludf.DUMMYFUNCTION("""COMPUTED_VALUE"""),1422.95)</f>
        <v>1422.95</v>
      </c>
      <c r="C5334" s="1">
        <f>IFERROR(__xludf.DUMMYFUNCTION("""COMPUTED_VALUE"""),1431.33)</f>
        <v>1431.33</v>
      </c>
      <c r="D5334" s="1">
        <f>IFERROR(__xludf.DUMMYFUNCTION("""COMPUTED_VALUE"""),1421.66)</f>
        <v>1421.66</v>
      </c>
      <c r="E5334" s="1">
        <f>IFERROR(__xludf.DUMMYFUNCTION("""COMPUTED_VALUE"""),1427.99)</f>
        <v>1427.99</v>
      </c>
      <c r="F5334" s="1">
        <f>IFERROR(__xludf.DUMMYFUNCTION("""COMPUTED_VALUE"""),2.97507008E8)</f>
        <v>297507008</v>
      </c>
    </row>
    <row r="5335">
      <c r="A5335" s="2">
        <f>IFERROR(__xludf.DUMMYFUNCTION("""COMPUTED_VALUE"""),39106.666666666664)</f>
        <v>39106.66667</v>
      </c>
      <c r="B5335" s="1">
        <f>IFERROR(__xludf.DUMMYFUNCTION("""COMPUTED_VALUE"""),1427.96)</f>
        <v>1427.96</v>
      </c>
      <c r="C5335" s="1">
        <f>IFERROR(__xludf.DUMMYFUNCTION("""COMPUTED_VALUE"""),1440.14)</f>
        <v>1440.14</v>
      </c>
      <c r="D5335" s="1">
        <f>IFERROR(__xludf.DUMMYFUNCTION("""COMPUTED_VALUE"""),1427.96)</f>
        <v>1427.96</v>
      </c>
      <c r="E5335" s="1">
        <f>IFERROR(__xludf.DUMMYFUNCTION("""COMPUTED_VALUE"""),1440.13)</f>
        <v>1440.13</v>
      </c>
      <c r="F5335" s="1">
        <f>IFERROR(__xludf.DUMMYFUNCTION("""COMPUTED_VALUE"""),2.78318016E8)</f>
        <v>278318016</v>
      </c>
    </row>
    <row r="5336">
      <c r="A5336" s="2">
        <f>IFERROR(__xludf.DUMMYFUNCTION("""COMPUTED_VALUE"""),39107.666666666664)</f>
        <v>39107.66667</v>
      </c>
      <c r="B5336" s="1">
        <f>IFERROR(__xludf.DUMMYFUNCTION("""COMPUTED_VALUE"""),1440.12)</f>
        <v>1440.12</v>
      </c>
      <c r="C5336" s="1">
        <f>IFERROR(__xludf.DUMMYFUNCTION("""COMPUTED_VALUE"""),1440.69)</f>
        <v>1440.69</v>
      </c>
      <c r="D5336" s="1">
        <f>IFERROR(__xludf.DUMMYFUNCTION("""COMPUTED_VALUE"""),1422.34)</f>
        <v>1422.34</v>
      </c>
      <c r="E5336" s="1">
        <f>IFERROR(__xludf.DUMMYFUNCTION("""COMPUTED_VALUE"""),1423.9)</f>
        <v>1423.9</v>
      </c>
      <c r="F5336" s="1">
        <f>IFERROR(__xludf.DUMMYFUNCTION("""COMPUTED_VALUE"""),2.99432992E8)</f>
        <v>299432992</v>
      </c>
    </row>
    <row r="5337">
      <c r="A5337" s="2">
        <f>IFERROR(__xludf.DUMMYFUNCTION("""COMPUTED_VALUE"""),39108.666666666664)</f>
        <v>39108.66667</v>
      </c>
      <c r="B5337" s="1">
        <f>IFERROR(__xludf.DUMMYFUNCTION("""COMPUTED_VALUE"""),1423.9)</f>
        <v>1423.9</v>
      </c>
      <c r="C5337" s="1">
        <f>IFERROR(__xludf.DUMMYFUNCTION("""COMPUTED_VALUE"""),1427.27)</f>
        <v>1427.27</v>
      </c>
      <c r="D5337" s="1">
        <f>IFERROR(__xludf.DUMMYFUNCTION("""COMPUTED_VALUE"""),1416.96)</f>
        <v>1416.96</v>
      </c>
      <c r="E5337" s="1">
        <f>IFERROR(__xludf.DUMMYFUNCTION("""COMPUTED_VALUE"""),1422.18)</f>
        <v>1422.18</v>
      </c>
      <c r="F5337" s="1">
        <f>IFERROR(__xludf.DUMMYFUNCTION("""COMPUTED_VALUE"""),2.62662E8)</f>
        <v>262662000</v>
      </c>
    </row>
    <row r="5338">
      <c r="A5338" s="2">
        <f>IFERROR(__xludf.DUMMYFUNCTION("""COMPUTED_VALUE"""),39111.666666666664)</f>
        <v>39111.66667</v>
      </c>
      <c r="B5338" s="1">
        <f>IFERROR(__xludf.DUMMYFUNCTION("""COMPUTED_VALUE"""),1422.03)</f>
        <v>1422.03</v>
      </c>
      <c r="C5338" s="1">
        <f>IFERROR(__xludf.DUMMYFUNCTION("""COMPUTED_VALUE"""),1426.94)</f>
        <v>1426.94</v>
      </c>
      <c r="D5338" s="1">
        <f>IFERROR(__xludf.DUMMYFUNCTION("""COMPUTED_VALUE"""),1418.46)</f>
        <v>1418.46</v>
      </c>
      <c r="E5338" s="1">
        <f>IFERROR(__xludf.DUMMYFUNCTION("""COMPUTED_VALUE"""),1420.62)</f>
        <v>1420.62</v>
      </c>
      <c r="F5338" s="1">
        <f>IFERROR(__xludf.DUMMYFUNCTION("""COMPUTED_VALUE"""),2.73048E8)</f>
        <v>273048000</v>
      </c>
    </row>
    <row r="5339">
      <c r="A5339" s="2">
        <f>IFERROR(__xludf.DUMMYFUNCTION("""COMPUTED_VALUE"""),39112.666666666664)</f>
        <v>39112.66667</v>
      </c>
      <c r="B5339" s="1">
        <f>IFERROR(__xludf.DUMMYFUNCTION("""COMPUTED_VALUE"""),1420.61)</f>
        <v>1420.61</v>
      </c>
      <c r="C5339" s="1">
        <f>IFERROR(__xludf.DUMMYFUNCTION("""COMPUTED_VALUE"""),1428.82)</f>
        <v>1428.82</v>
      </c>
      <c r="D5339" s="1">
        <f>IFERROR(__xludf.DUMMYFUNCTION("""COMPUTED_VALUE"""),1420.61)</f>
        <v>1420.61</v>
      </c>
      <c r="E5339" s="1">
        <f>IFERROR(__xludf.DUMMYFUNCTION("""COMPUTED_VALUE"""),1428.82)</f>
        <v>1428.82</v>
      </c>
      <c r="F5339" s="1">
        <f>IFERROR(__xludf.DUMMYFUNCTION("""COMPUTED_VALUE"""),2.70624992E8)</f>
        <v>270624992</v>
      </c>
    </row>
    <row r="5340">
      <c r="A5340" s="2">
        <f>IFERROR(__xludf.DUMMYFUNCTION("""COMPUTED_VALUE"""),39113.666666666664)</f>
        <v>39113.66667</v>
      </c>
      <c r="B5340" s="1">
        <f>IFERROR(__xludf.DUMMYFUNCTION("""COMPUTED_VALUE"""),1428.65)</f>
        <v>1428.65</v>
      </c>
      <c r="C5340" s="1">
        <f>IFERROR(__xludf.DUMMYFUNCTION("""COMPUTED_VALUE"""),1441.61)</f>
        <v>1441.61</v>
      </c>
      <c r="D5340" s="1">
        <f>IFERROR(__xludf.DUMMYFUNCTION("""COMPUTED_VALUE"""),1424.78)</f>
        <v>1424.78</v>
      </c>
      <c r="E5340" s="1">
        <f>IFERROR(__xludf.DUMMYFUNCTION("""COMPUTED_VALUE"""),1438.24)</f>
        <v>1438.24</v>
      </c>
      <c r="F5340" s="1">
        <f>IFERROR(__xludf.DUMMYFUNCTION("""COMPUTED_VALUE"""),2.97668992E8)</f>
        <v>297668992</v>
      </c>
    </row>
    <row r="5341">
      <c r="A5341" s="2">
        <f>IFERROR(__xludf.DUMMYFUNCTION("""COMPUTED_VALUE"""),39114.666666666664)</f>
        <v>39114.66667</v>
      </c>
      <c r="B5341" s="1">
        <f>IFERROR(__xludf.DUMMYFUNCTION("""COMPUTED_VALUE"""),1437.9)</f>
        <v>1437.9</v>
      </c>
      <c r="C5341" s="1">
        <f>IFERROR(__xludf.DUMMYFUNCTION("""COMPUTED_VALUE"""),1446.64)</f>
        <v>1446.64</v>
      </c>
      <c r="D5341" s="1">
        <f>IFERROR(__xludf.DUMMYFUNCTION("""COMPUTED_VALUE"""),1437.9)</f>
        <v>1437.9</v>
      </c>
      <c r="E5341" s="1">
        <f>IFERROR(__xludf.DUMMYFUNCTION("""COMPUTED_VALUE"""),1445.94)</f>
        <v>1445.94</v>
      </c>
      <c r="F5341" s="1">
        <f>IFERROR(__xludf.DUMMYFUNCTION("""COMPUTED_VALUE"""),2.91488992E8)</f>
        <v>291488992</v>
      </c>
    </row>
    <row r="5342">
      <c r="A5342" s="2">
        <f>IFERROR(__xludf.DUMMYFUNCTION("""COMPUTED_VALUE"""),39115.666666666664)</f>
        <v>39115.66667</v>
      </c>
      <c r="B5342" s="1">
        <f>IFERROR(__xludf.DUMMYFUNCTION("""COMPUTED_VALUE"""),1445.94)</f>
        <v>1445.94</v>
      </c>
      <c r="C5342" s="1">
        <f>IFERROR(__xludf.DUMMYFUNCTION("""COMPUTED_VALUE"""),1449.33)</f>
        <v>1449.33</v>
      </c>
      <c r="D5342" s="1">
        <f>IFERROR(__xludf.DUMMYFUNCTION("""COMPUTED_VALUE"""),1444.49)</f>
        <v>1444.49</v>
      </c>
      <c r="E5342" s="1">
        <f>IFERROR(__xludf.DUMMYFUNCTION("""COMPUTED_VALUE"""),1448.39)</f>
        <v>1448.39</v>
      </c>
      <c r="F5342" s="1">
        <f>IFERROR(__xludf.DUMMYFUNCTION("""COMPUTED_VALUE"""),2.56944992E8)</f>
        <v>256944992</v>
      </c>
    </row>
    <row r="5343">
      <c r="A5343" s="2">
        <f>IFERROR(__xludf.DUMMYFUNCTION("""COMPUTED_VALUE"""),39118.666666666664)</f>
        <v>39118.66667</v>
      </c>
      <c r="B5343" s="1">
        <f>IFERROR(__xludf.DUMMYFUNCTION("""COMPUTED_VALUE"""),1448.33)</f>
        <v>1448.33</v>
      </c>
      <c r="C5343" s="1">
        <f>IFERROR(__xludf.DUMMYFUNCTION("""COMPUTED_VALUE"""),1449.38)</f>
        <v>1449.38</v>
      </c>
      <c r="D5343" s="1">
        <f>IFERROR(__xludf.DUMMYFUNCTION("""COMPUTED_VALUE"""),1443.85)</f>
        <v>1443.85</v>
      </c>
      <c r="E5343" s="1">
        <f>IFERROR(__xludf.DUMMYFUNCTION("""COMPUTED_VALUE"""),1446.99)</f>
        <v>1446.99</v>
      </c>
      <c r="F5343" s="1">
        <f>IFERROR(__xludf.DUMMYFUNCTION("""COMPUTED_VALUE"""),2.43943008E8)</f>
        <v>243943008</v>
      </c>
    </row>
    <row r="5344">
      <c r="A5344" s="2">
        <f>IFERROR(__xludf.DUMMYFUNCTION("""COMPUTED_VALUE"""),39119.666666666664)</f>
        <v>39119.66667</v>
      </c>
      <c r="B5344" s="1">
        <f>IFERROR(__xludf.DUMMYFUNCTION("""COMPUTED_VALUE"""),1446.98)</f>
        <v>1446.98</v>
      </c>
      <c r="C5344" s="1">
        <f>IFERROR(__xludf.DUMMYFUNCTION("""COMPUTED_VALUE"""),1450.19)</f>
        <v>1450.19</v>
      </c>
      <c r="D5344" s="1">
        <f>IFERROR(__xludf.DUMMYFUNCTION("""COMPUTED_VALUE"""),1443.4)</f>
        <v>1443.4</v>
      </c>
      <c r="E5344" s="1">
        <f>IFERROR(__xludf.DUMMYFUNCTION("""COMPUTED_VALUE"""),1448.0)</f>
        <v>1448</v>
      </c>
      <c r="F5344" s="1">
        <f>IFERROR(__xludf.DUMMYFUNCTION("""COMPUTED_VALUE"""),2.60871008E8)</f>
        <v>260871008</v>
      </c>
    </row>
    <row r="5345">
      <c r="A5345" s="2">
        <f>IFERROR(__xludf.DUMMYFUNCTION("""COMPUTED_VALUE"""),39120.666666666664)</f>
        <v>39120.66667</v>
      </c>
      <c r="B5345" s="1">
        <f>IFERROR(__xludf.DUMMYFUNCTION("""COMPUTED_VALUE"""),1447.41)</f>
        <v>1447.41</v>
      </c>
      <c r="C5345" s="1">
        <f>IFERROR(__xludf.DUMMYFUNCTION("""COMPUTED_VALUE"""),1452.99)</f>
        <v>1452.99</v>
      </c>
      <c r="D5345" s="1">
        <f>IFERROR(__xludf.DUMMYFUNCTION("""COMPUTED_VALUE"""),1446.44)</f>
        <v>1446.44</v>
      </c>
      <c r="E5345" s="1">
        <f>IFERROR(__xludf.DUMMYFUNCTION("""COMPUTED_VALUE"""),1450.02)</f>
        <v>1450.02</v>
      </c>
      <c r="F5345" s="1">
        <f>IFERROR(__xludf.DUMMYFUNCTION("""COMPUTED_VALUE"""),2.61882E8)</f>
        <v>261882000</v>
      </c>
    </row>
    <row r="5346">
      <c r="A5346" s="2">
        <f>IFERROR(__xludf.DUMMYFUNCTION("""COMPUTED_VALUE"""),39121.666666666664)</f>
        <v>39121.66667</v>
      </c>
      <c r="B5346" s="1">
        <f>IFERROR(__xludf.DUMMYFUNCTION("""COMPUTED_VALUE"""),1449.99)</f>
        <v>1449.99</v>
      </c>
      <c r="C5346" s="1">
        <f>IFERROR(__xludf.DUMMYFUNCTION("""COMPUTED_VALUE"""),1450.45)</f>
        <v>1450.45</v>
      </c>
      <c r="D5346" s="1">
        <f>IFERROR(__xludf.DUMMYFUNCTION("""COMPUTED_VALUE"""),1442.81)</f>
        <v>1442.81</v>
      </c>
      <c r="E5346" s="1">
        <f>IFERROR(__xludf.DUMMYFUNCTION("""COMPUTED_VALUE"""),1448.31)</f>
        <v>1448.31</v>
      </c>
      <c r="F5346" s="1">
        <f>IFERROR(__xludf.DUMMYFUNCTION("""COMPUTED_VALUE"""),2.81617984E8)</f>
        <v>281617984</v>
      </c>
    </row>
    <row r="5347">
      <c r="A5347" s="2">
        <f>IFERROR(__xludf.DUMMYFUNCTION("""COMPUTED_VALUE"""),39122.666666666664)</f>
        <v>39122.66667</v>
      </c>
      <c r="B5347" s="1">
        <f>IFERROR(__xludf.DUMMYFUNCTION("""COMPUTED_VALUE"""),1448.25)</f>
        <v>1448.25</v>
      </c>
      <c r="C5347" s="1">
        <f>IFERROR(__xludf.DUMMYFUNCTION("""COMPUTED_VALUE"""),1452.45)</f>
        <v>1452.45</v>
      </c>
      <c r="D5347" s="1">
        <f>IFERROR(__xludf.DUMMYFUNCTION("""COMPUTED_VALUE"""),1433.44)</f>
        <v>1433.44</v>
      </c>
      <c r="E5347" s="1">
        <f>IFERROR(__xludf.DUMMYFUNCTION("""COMPUTED_VALUE"""),1438.06)</f>
        <v>1438.06</v>
      </c>
      <c r="F5347" s="1">
        <f>IFERROR(__xludf.DUMMYFUNCTION("""COMPUTED_VALUE"""),2.95180992E8)</f>
        <v>295180992</v>
      </c>
    </row>
    <row r="5348">
      <c r="A5348" s="2">
        <f>IFERROR(__xludf.DUMMYFUNCTION("""COMPUTED_VALUE"""),39125.666666666664)</f>
        <v>39125.66667</v>
      </c>
      <c r="B5348" s="1">
        <f>IFERROR(__xludf.DUMMYFUNCTION("""COMPUTED_VALUE"""),1438.0)</f>
        <v>1438</v>
      </c>
      <c r="C5348" s="1">
        <f>IFERROR(__xludf.DUMMYFUNCTION("""COMPUTED_VALUE"""),1439.11)</f>
        <v>1439.11</v>
      </c>
      <c r="D5348" s="1">
        <f>IFERROR(__xludf.DUMMYFUNCTION("""COMPUTED_VALUE"""),1431.44)</f>
        <v>1431.44</v>
      </c>
      <c r="E5348" s="1">
        <f>IFERROR(__xludf.DUMMYFUNCTION("""COMPUTED_VALUE"""),1433.37)</f>
        <v>1433.37</v>
      </c>
      <c r="F5348" s="1">
        <f>IFERROR(__xludf.DUMMYFUNCTION("""COMPUTED_VALUE"""),2.39568E8)</f>
        <v>239568000</v>
      </c>
    </row>
    <row r="5349">
      <c r="A5349" s="2">
        <f>IFERROR(__xludf.DUMMYFUNCTION("""COMPUTED_VALUE"""),39126.666666666664)</f>
        <v>39126.66667</v>
      </c>
      <c r="B5349" s="1">
        <f>IFERROR(__xludf.DUMMYFUNCTION("""COMPUTED_VALUE"""),1433.22)</f>
        <v>1433.22</v>
      </c>
      <c r="C5349" s="1">
        <f>IFERROR(__xludf.DUMMYFUNCTION("""COMPUTED_VALUE"""),1444.41)</f>
        <v>1444.41</v>
      </c>
      <c r="D5349" s="1">
        <f>IFERROR(__xludf.DUMMYFUNCTION("""COMPUTED_VALUE"""),1433.22)</f>
        <v>1433.22</v>
      </c>
      <c r="E5349" s="1">
        <f>IFERROR(__xludf.DUMMYFUNCTION("""COMPUTED_VALUE"""),1444.26)</f>
        <v>1444.26</v>
      </c>
      <c r="F5349" s="1">
        <f>IFERROR(__xludf.DUMMYFUNCTION("""COMPUTED_VALUE"""),2.65215008E8)</f>
        <v>265215008</v>
      </c>
    </row>
    <row r="5350">
      <c r="A5350" s="2">
        <f>IFERROR(__xludf.DUMMYFUNCTION("""COMPUTED_VALUE"""),39127.666666666664)</f>
        <v>39127.66667</v>
      </c>
      <c r="B5350" s="1">
        <f>IFERROR(__xludf.DUMMYFUNCTION("""COMPUTED_VALUE"""),1443.91)</f>
        <v>1443.91</v>
      </c>
      <c r="C5350" s="1">
        <f>IFERROR(__xludf.DUMMYFUNCTION("""COMPUTED_VALUE"""),1457.65)</f>
        <v>1457.65</v>
      </c>
      <c r="D5350" s="1">
        <f>IFERROR(__xludf.DUMMYFUNCTION("""COMPUTED_VALUE"""),1443.91)</f>
        <v>1443.91</v>
      </c>
      <c r="E5350" s="1">
        <f>IFERROR(__xludf.DUMMYFUNCTION("""COMPUTED_VALUE"""),1455.3)</f>
        <v>1455.3</v>
      </c>
      <c r="F5350" s="1">
        <f>IFERROR(__xludf.DUMMYFUNCTION("""COMPUTED_VALUE"""),2.69928992E8)</f>
        <v>269928992</v>
      </c>
    </row>
    <row r="5351">
      <c r="A5351" s="2">
        <f>IFERROR(__xludf.DUMMYFUNCTION("""COMPUTED_VALUE"""),39128.666666666664)</f>
        <v>39128.66667</v>
      </c>
      <c r="B5351" s="1">
        <f>IFERROR(__xludf.DUMMYFUNCTION("""COMPUTED_VALUE"""),1455.15)</f>
        <v>1455.15</v>
      </c>
      <c r="C5351" s="1">
        <f>IFERROR(__xludf.DUMMYFUNCTION("""COMPUTED_VALUE"""),1457.97)</f>
        <v>1457.97</v>
      </c>
      <c r="D5351" s="1">
        <f>IFERROR(__xludf.DUMMYFUNCTION("""COMPUTED_VALUE"""),1453.19)</f>
        <v>1453.19</v>
      </c>
      <c r="E5351" s="1">
        <f>IFERROR(__xludf.DUMMYFUNCTION("""COMPUTED_VALUE"""),1456.81)</f>
        <v>1456.81</v>
      </c>
      <c r="F5351" s="1">
        <f>IFERROR(__xludf.DUMMYFUNCTION("""COMPUTED_VALUE"""),2.49092E8)</f>
        <v>249092000</v>
      </c>
    </row>
    <row r="5352">
      <c r="A5352" s="2">
        <f>IFERROR(__xludf.DUMMYFUNCTION("""COMPUTED_VALUE"""),39129.666666666664)</f>
        <v>39129.66667</v>
      </c>
      <c r="B5352" s="1">
        <f>IFERROR(__xludf.DUMMYFUNCTION("""COMPUTED_VALUE"""),1456.77)</f>
        <v>1456.77</v>
      </c>
      <c r="C5352" s="1">
        <f>IFERROR(__xludf.DUMMYFUNCTION("""COMPUTED_VALUE"""),1456.77)</f>
        <v>1456.77</v>
      </c>
      <c r="D5352" s="1">
        <f>IFERROR(__xludf.DUMMYFUNCTION("""COMPUTED_VALUE"""),1451.57)</f>
        <v>1451.57</v>
      </c>
      <c r="E5352" s="1">
        <f>IFERROR(__xludf.DUMMYFUNCTION("""COMPUTED_VALUE"""),1455.54)</f>
        <v>1455.54</v>
      </c>
      <c r="F5352" s="1">
        <f>IFERROR(__xludf.DUMMYFUNCTION("""COMPUTED_VALUE"""),2.39944992E8)</f>
        <v>239944992</v>
      </c>
    </row>
    <row r="5353">
      <c r="A5353" s="2">
        <f>IFERROR(__xludf.DUMMYFUNCTION("""COMPUTED_VALUE"""),39133.666666666664)</f>
        <v>39133.66667</v>
      </c>
      <c r="B5353" s="1">
        <f>IFERROR(__xludf.DUMMYFUNCTION("""COMPUTED_VALUE"""),1455.53)</f>
        <v>1455.53</v>
      </c>
      <c r="C5353" s="1">
        <f>IFERROR(__xludf.DUMMYFUNCTION("""COMPUTED_VALUE"""),1460.53)</f>
        <v>1460.53</v>
      </c>
      <c r="D5353" s="1">
        <f>IFERROR(__xludf.DUMMYFUNCTION("""COMPUTED_VALUE"""),1449.2)</f>
        <v>1449.2</v>
      </c>
      <c r="E5353" s="1">
        <f>IFERROR(__xludf.DUMMYFUNCTION("""COMPUTED_VALUE"""),1459.68)</f>
        <v>1459.68</v>
      </c>
      <c r="F5353" s="1">
        <f>IFERROR(__xludf.DUMMYFUNCTION("""COMPUTED_VALUE"""),2.33786E8)</f>
        <v>233786000</v>
      </c>
    </row>
    <row r="5354">
      <c r="A5354" s="2">
        <f>IFERROR(__xludf.DUMMYFUNCTION("""COMPUTED_VALUE"""),39134.666666666664)</f>
        <v>39134.66667</v>
      </c>
      <c r="B5354" s="1">
        <f>IFERROR(__xludf.DUMMYFUNCTION("""COMPUTED_VALUE"""),1459.6)</f>
        <v>1459.6</v>
      </c>
      <c r="C5354" s="1">
        <f>IFERROR(__xludf.DUMMYFUNCTION("""COMPUTED_VALUE"""),1459.6)</f>
        <v>1459.6</v>
      </c>
      <c r="D5354" s="1">
        <f>IFERROR(__xludf.DUMMYFUNCTION("""COMPUTED_VALUE"""),1452.02)</f>
        <v>1452.02</v>
      </c>
      <c r="E5354" s="1">
        <f>IFERROR(__xludf.DUMMYFUNCTION("""COMPUTED_VALUE"""),1457.63)</f>
        <v>1457.63</v>
      </c>
      <c r="F5354" s="1">
        <f>IFERROR(__xludf.DUMMYFUNCTION("""COMPUTED_VALUE"""),2.60698E8)</f>
        <v>260698000</v>
      </c>
    </row>
    <row r="5355">
      <c r="A5355" s="2">
        <f>IFERROR(__xludf.DUMMYFUNCTION("""COMPUTED_VALUE"""),39135.666666666664)</f>
        <v>39135.66667</v>
      </c>
      <c r="B5355" s="1">
        <f>IFERROR(__xludf.DUMMYFUNCTION("""COMPUTED_VALUE"""),1457.29)</f>
        <v>1457.29</v>
      </c>
      <c r="C5355" s="1">
        <f>IFERROR(__xludf.DUMMYFUNCTION("""COMPUTED_VALUE"""),1461.57)</f>
        <v>1461.57</v>
      </c>
      <c r="D5355" s="1">
        <f>IFERROR(__xludf.DUMMYFUNCTION("""COMPUTED_VALUE"""),1450.51)</f>
        <v>1450.51</v>
      </c>
      <c r="E5355" s="1">
        <f>IFERROR(__xludf.DUMMYFUNCTION("""COMPUTED_VALUE"""),1456.38)</f>
        <v>1456.38</v>
      </c>
      <c r="F5355" s="1">
        <f>IFERROR(__xludf.DUMMYFUNCTION("""COMPUTED_VALUE"""),1.95076992E8)</f>
        <v>195076992</v>
      </c>
    </row>
    <row r="5356">
      <c r="A5356" s="2">
        <f>IFERROR(__xludf.DUMMYFUNCTION("""COMPUTED_VALUE"""),39136.666666666664)</f>
        <v>39136.66667</v>
      </c>
      <c r="B5356" s="1">
        <f>IFERROR(__xludf.DUMMYFUNCTION("""COMPUTED_VALUE"""),1456.22)</f>
        <v>1456.22</v>
      </c>
      <c r="C5356" s="1">
        <f>IFERROR(__xludf.DUMMYFUNCTION("""COMPUTED_VALUE"""),1456.22)</f>
        <v>1456.22</v>
      </c>
      <c r="D5356" s="1">
        <f>IFERROR(__xludf.DUMMYFUNCTION("""COMPUTED_VALUE"""),1448.36)</f>
        <v>1448.36</v>
      </c>
      <c r="E5356" s="1">
        <f>IFERROR(__xludf.DUMMYFUNCTION("""COMPUTED_VALUE"""),1451.19)</f>
        <v>1451.19</v>
      </c>
      <c r="F5356" s="1">
        <f>IFERROR(__xludf.DUMMYFUNCTION("""COMPUTED_VALUE"""),2.57995008E8)</f>
        <v>257995008</v>
      </c>
    </row>
    <row r="5357">
      <c r="A5357" s="2">
        <f>IFERROR(__xludf.DUMMYFUNCTION("""COMPUTED_VALUE"""),39139.666666666664)</f>
        <v>39139.66667</v>
      </c>
      <c r="B5357" s="1">
        <f>IFERROR(__xludf.DUMMYFUNCTION("""COMPUTED_VALUE"""),1451.04)</f>
        <v>1451.04</v>
      </c>
      <c r="C5357" s="1">
        <f>IFERROR(__xludf.DUMMYFUNCTION("""COMPUTED_VALUE"""),1456.95)</f>
        <v>1456.95</v>
      </c>
      <c r="D5357" s="1">
        <f>IFERROR(__xludf.DUMMYFUNCTION("""COMPUTED_VALUE"""),1445.48)</f>
        <v>1445.48</v>
      </c>
      <c r="E5357" s="1">
        <f>IFERROR(__xludf.DUMMYFUNCTION("""COMPUTED_VALUE"""),1449.37)</f>
        <v>1449.37</v>
      </c>
      <c r="F5357" s="1">
        <f>IFERROR(__xludf.DUMMYFUNCTION("""COMPUTED_VALUE"""),2.82216992E8)</f>
        <v>282216992</v>
      </c>
    </row>
    <row r="5358">
      <c r="A5358" s="2">
        <f>IFERROR(__xludf.DUMMYFUNCTION("""COMPUTED_VALUE"""),39140.666666666664)</f>
        <v>39140.66667</v>
      </c>
      <c r="B5358" s="1">
        <f>IFERROR(__xludf.DUMMYFUNCTION("""COMPUTED_VALUE"""),1449.25)</f>
        <v>1449.25</v>
      </c>
      <c r="C5358" s="1">
        <f>IFERROR(__xludf.DUMMYFUNCTION("""COMPUTED_VALUE"""),1449.25)</f>
        <v>1449.25</v>
      </c>
      <c r="D5358" s="1">
        <f>IFERROR(__xludf.DUMMYFUNCTION("""COMPUTED_VALUE"""),1389.42)</f>
        <v>1389.42</v>
      </c>
      <c r="E5358" s="1">
        <f>IFERROR(__xludf.DUMMYFUNCTION("""COMPUTED_VALUE"""),1399.04)</f>
        <v>1399.04</v>
      </c>
      <c r="F5358" s="1">
        <f>IFERROR(__xludf.DUMMYFUNCTION("""COMPUTED_VALUE"""),4.06523008E8)</f>
        <v>406523008</v>
      </c>
    </row>
    <row r="5359">
      <c r="A5359" s="2">
        <f>IFERROR(__xludf.DUMMYFUNCTION("""COMPUTED_VALUE"""),39141.666666666664)</f>
        <v>39141.66667</v>
      </c>
      <c r="B5359" s="1">
        <f>IFERROR(__xludf.DUMMYFUNCTION("""COMPUTED_VALUE"""),1398.64)</f>
        <v>1398.64</v>
      </c>
      <c r="C5359" s="1">
        <f>IFERROR(__xludf.DUMMYFUNCTION("""COMPUTED_VALUE"""),1415.89)</f>
        <v>1415.89</v>
      </c>
      <c r="D5359" s="1">
        <f>IFERROR(__xludf.DUMMYFUNCTION("""COMPUTED_VALUE"""),1396.65)</f>
        <v>1396.65</v>
      </c>
      <c r="E5359" s="1">
        <f>IFERROR(__xludf.DUMMYFUNCTION("""COMPUTED_VALUE"""),1406.82)</f>
        <v>1406.82</v>
      </c>
      <c r="F5359" s="1">
        <f>IFERROR(__xludf.DUMMYFUNCTION("""COMPUTED_VALUE"""),3.92524992E8)</f>
        <v>392524992</v>
      </c>
    </row>
    <row r="5360">
      <c r="A5360" s="2">
        <f>IFERROR(__xludf.DUMMYFUNCTION("""COMPUTED_VALUE"""),39142.666666666664)</f>
        <v>39142.66667</v>
      </c>
      <c r="B5360" s="1">
        <f>IFERROR(__xludf.DUMMYFUNCTION("""COMPUTED_VALUE"""),1406.8)</f>
        <v>1406.8</v>
      </c>
      <c r="C5360" s="1">
        <f>IFERROR(__xludf.DUMMYFUNCTION("""COMPUTED_VALUE"""),1409.46)</f>
        <v>1409.46</v>
      </c>
      <c r="D5360" s="1">
        <f>IFERROR(__xludf.DUMMYFUNCTION("""COMPUTED_VALUE"""),1380.87)</f>
        <v>1380.87</v>
      </c>
      <c r="E5360" s="1">
        <f>IFERROR(__xludf.DUMMYFUNCTION("""COMPUTED_VALUE"""),1403.17)</f>
        <v>1403.17</v>
      </c>
      <c r="F5360" s="1">
        <f>IFERROR(__xludf.DUMMYFUNCTION("""COMPUTED_VALUE"""),3.87491008E8)</f>
        <v>387491008</v>
      </c>
    </row>
    <row r="5361">
      <c r="A5361" s="2">
        <f>IFERROR(__xludf.DUMMYFUNCTION("""COMPUTED_VALUE"""),39143.666666666664)</f>
        <v>39143.66667</v>
      </c>
      <c r="B5361" s="1">
        <f>IFERROR(__xludf.DUMMYFUNCTION("""COMPUTED_VALUE"""),1403.16)</f>
        <v>1403.16</v>
      </c>
      <c r="C5361" s="1">
        <f>IFERROR(__xludf.DUMMYFUNCTION("""COMPUTED_VALUE"""),1403.4)</f>
        <v>1403.4</v>
      </c>
      <c r="D5361" s="1">
        <f>IFERROR(__xludf.DUMMYFUNCTION("""COMPUTED_VALUE"""),1386.87)</f>
        <v>1386.87</v>
      </c>
      <c r="E5361" s="1">
        <f>IFERROR(__xludf.DUMMYFUNCTION("""COMPUTED_VALUE"""),1387.17)</f>
        <v>1387.17</v>
      </c>
      <c r="F5361" s="1">
        <f>IFERROR(__xludf.DUMMYFUNCTION("""COMPUTED_VALUE"""),3.31225984E8)</f>
        <v>331225984</v>
      </c>
    </row>
    <row r="5362">
      <c r="A5362" s="2">
        <f>IFERROR(__xludf.DUMMYFUNCTION("""COMPUTED_VALUE"""),39146.666666666664)</f>
        <v>39146.66667</v>
      </c>
      <c r="B5362" s="1">
        <f>IFERROR(__xludf.DUMMYFUNCTION("""COMPUTED_VALUE"""),1387.11)</f>
        <v>1387.11</v>
      </c>
      <c r="C5362" s="1">
        <f>IFERROR(__xludf.DUMMYFUNCTION("""COMPUTED_VALUE"""),1391.86)</f>
        <v>1391.86</v>
      </c>
      <c r="D5362" s="1">
        <f>IFERROR(__xludf.DUMMYFUNCTION("""COMPUTED_VALUE"""),1373.97)</f>
        <v>1373.97</v>
      </c>
      <c r="E5362" s="1">
        <f>IFERROR(__xludf.DUMMYFUNCTION("""COMPUTED_VALUE"""),1374.12)</f>
        <v>1374.12</v>
      </c>
      <c r="F5362" s="1">
        <f>IFERROR(__xludf.DUMMYFUNCTION("""COMPUTED_VALUE"""),3.48052E8)</f>
        <v>348052000</v>
      </c>
    </row>
    <row r="5363">
      <c r="A5363" s="2">
        <f>IFERROR(__xludf.DUMMYFUNCTION("""COMPUTED_VALUE"""),39147.666666666664)</f>
        <v>39147.66667</v>
      </c>
      <c r="B5363" s="1">
        <f>IFERROR(__xludf.DUMMYFUNCTION("""COMPUTED_VALUE"""),1374.06)</f>
        <v>1374.06</v>
      </c>
      <c r="C5363" s="1">
        <f>IFERROR(__xludf.DUMMYFUNCTION("""COMPUTED_VALUE"""),1397.9)</f>
        <v>1397.9</v>
      </c>
      <c r="D5363" s="1">
        <f>IFERROR(__xludf.DUMMYFUNCTION("""COMPUTED_VALUE"""),1374.06)</f>
        <v>1374.06</v>
      </c>
      <c r="E5363" s="1">
        <f>IFERROR(__xludf.DUMMYFUNCTION("""COMPUTED_VALUE"""),1395.41)</f>
        <v>1395.41</v>
      </c>
      <c r="F5363" s="1">
        <f>IFERROR(__xludf.DUMMYFUNCTION("""COMPUTED_VALUE"""),3.35816E8)</f>
        <v>335816000</v>
      </c>
    </row>
    <row r="5364">
      <c r="A5364" s="2">
        <f>IFERROR(__xludf.DUMMYFUNCTION("""COMPUTED_VALUE"""),39148.666666666664)</f>
        <v>39148.66667</v>
      </c>
      <c r="B5364" s="1">
        <f>IFERROR(__xludf.DUMMYFUNCTION("""COMPUTED_VALUE"""),1395.02)</f>
        <v>1395.02</v>
      </c>
      <c r="C5364" s="1">
        <f>IFERROR(__xludf.DUMMYFUNCTION("""COMPUTED_VALUE"""),1401.16)</f>
        <v>1401.16</v>
      </c>
      <c r="D5364" s="1">
        <f>IFERROR(__xludf.DUMMYFUNCTION("""COMPUTED_VALUE"""),1390.64)</f>
        <v>1390.64</v>
      </c>
      <c r="E5364" s="1">
        <f>IFERROR(__xludf.DUMMYFUNCTION("""COMPUTED_VALUE"""),1391.97)</f>
        <v>1391.97</v>
      </c>
      <c r="F5364" s="1">
        <f>IFERROR(__xludf.DUMMYFUNCTION("""COMPUTED_VALUE"""),3.14135008E8)</f>
        <v>314135008</v>
      </c>
    </row>
    <row r="5365">
      <c r="A5365" s="2">
        <f>IFERROR(__xludf.DUMMYFUNCTION("""COMPUTED_VALUE"""),39149.666666666664)</f>
        <v>39149.66667</v>
      </c>
      <c r="B5365" s="1">
        <f>IFERROR(__xludf.DUMMYFUNCTION("""COMPUTED_VALUE"""),1391.88)</f>
        <v>1391.88</v>
      </c>
      <c r="C5365" s="1">
        <f>IFERROR(__xludf.DUMMYFUNCTION("""COMPUTED_VALUE"""),1407.93)</f>
        <v>1407.93</v>
      </c>
      <c r="D5365" s="1">
        <f>IFERROR(__xludf.DUMMYFUNCTION("""COMPUTED_VALUE"""),1391.88)</f>
        <v>1391.88</v>
      </c>
      <c r="E5365" s="1">
        <f>IFERROR(__xludf.DUMMYFUNCTION("""COMPUTED_VALUE"""),1401.89)</f>
        <v>1401.89</v>
      </c>
      <c r="F5365" s="1">
        <f>IFERROR(__xludf.DUMMYFUNCTION("""COMPUTED_VALUE"""),3.01484992E8)</f>
        <v>301484992</v>
      </c>
    </row>
    <row r="5366">
      <c r="A5366" s="2">
        <f>IFERROR(__xludf.DUMMYFUNCTION("""COMPUTED_VALUE"""),39150.666666666664)</f>
        <v>39150.66667</v>
      </c>
      <c r="B5366" s="1">
        <f>IFERROR(__xludf.DUMMYFUNCTION("""COMPUTED_VALUE"""),1401.89)</f>
        <v>1401.89</v>
      </c>
      <c r="C5366" s="1">
        <f>IFERROR(__xludf.DUMMYFUNCTION("""COMPUTED_VALUE"""),1410.15)</f>
        <v>1410.15</v>
      </c>
      <c r="D5366" s="1">
        <f>IFERROR(__xludf.DUMMYFUNCTION("""COMPUTED_VALUE"""),1397.3)</f>
        <v>1397.3</v>
      </c>
      <c r="E5366" s="1">
        <f>IFERROR(__xludf.DUMMYFUNCTION("""COMPUTED_VALUE"""),1402.85)</f>
        <v>1402.85</v>
      </c>
      <c r="F5366" s="1">
        <f>IFERROR(__xludf.DUMMYFUNCTION("""COMPUTED_VALUE"""),2.62304992E8)</f>
        <v>262304992</v>
      </c>
    </row>
    <row r="5367">
      <c r="A5367" s="2">
        <f>IFERROR(__xludf.DUMMYFUNCTION("""COMPUTED_VALUE"""),39153.666666666664)</f>
        <v>39153.66667</v>
      </c>
      <c r="B5367" s="1">
        <f>IFERROR(__xludf.DUMMYFUNCTION("""COMPUTED_VALUE"""),1402.8)</f>
        <v>1402.8</v>
      </c>
      <c r="C5367" s="1">
        <f>IFERROR(__xludf.DUMMYFUNCTION("""COMPUTED_VALUE"""),1409.34)</f>
        <v>1409.34</v>
      </c>
      <c r="D5367" s="1">
        <f>IFERROR(__xludf.DUMMYFUNCTION("""COMPUTED_VALUE"""),1398.4)</f>
        <v>1398.4</v>
      </c>
      <c r="E5367" s="1">
        <f>IFERROR(__xludf.DUMMYFUNCTION("""COMPUTED_VALUE"""),1406.6)</f>
        <v>1406.6</v>
      </c>
      <c r="F5367" s="1">
        <f>IFERROR(__xludf.DUMMYFUNCTION("""COMPUTED_VALUE"""),2.664E8)</f>
        <v>266400000</v>
      </c>
    </row>
    <row r="5368">
      <c r="A5368" s="2">
        <f>IFERROR(__xludf.DUMMYFUNCTION("""COMPUTED_VALUE"""),39154.666666666664)</f>
        <v>39154.66667</v>
      </c>
      <c r="B5368" s="1">
        <f>IFERROR(__xludf.DUMMYFUNCTION("""COMPUTED_VALUE"""),1406.23)</f>
        <v>1406.23</v>
      </c>
      <c r="C5368" s="1">
        <f>IFERROR(__xludf.DUMMYFUNCTION("""COMPUTED_VALUE"""),1406.23)</f>
        <v>1406.23</v>
      </c>
      <c r="D5368" s="1">
        <f>IFERROR(__xludf.DUMMYFUNCTION("""COMPUTED_VALUE"""),1377.71)</f>
        <v>1377.71</v>
      </c>
      <c r="E5368" s="1">
        <f>IFERROR(__xludf.DUMMYFUNCTION("""COMPUTED_VALUE"""),1377.95)</f>
        <v>1377.95</v>
      </c>
      <c r="F5368" s="1">
        <f>IFERROR(__xludf.DUMMYFUNCTION("""COMPUTED_VALUE"""),3.48556992E8)</f>
        <v>348556992</v>
      </c>
    </row>
    <row r="5369">
      <c r="A5369" s="2">
        <f>IFERROR(__xludf.DUMMYFUNCTION("""COMPUTED_VALUE"""),39155.666666666664)</f>
        <v>39155.66667</v>
      </c>
      <c r="B5369" s="1">
        <f>IFERROR(__xludf.DUMMYFUNCTION("""COMPUTED_VALUE"""),1377.86)</f>
        <v>1377.86</v>
      </c>
      <c r="C5369" s="1">
        <f>IFERROR(__xludf.DUMMYFUNCTION("""COMPUTED_VALUE"""),1388.09)</f>
        <v>1388.09</v>
      </c>
      <c r="D5369" s="1">
        <f>IFERROR(__xludf.DUMMYFUNCTION("""COMPUTED_VALUE"""),1363.98)</f>
        <v>1363.98</v>
      </c>
      <c r="E5369" s="1">
        <f>IFERROR(__xludf.DUMMYFUNCTION("""COMPUTED_VALUE"""),1387.17)</f>
        <v>1387.17</v>
      </c>
      <c r="F5369" s="1">
        <f>IFERROR(__xludf.DUMMYFUNCTION("""COMPUTED_VALUE"""),3.75835008E8)</f>
        <v>375835008</v>
      </c>
    </row>
    <row r="5370">
      <c r="A5370" s="2">
        <f>IFERROR(__xludf.DUMMYFUNCTION("""COMPUTED_VALUE"""),39156.666666666664)</f>
        <v>39156.66667</v>
      </c>
      <c r="B5370" s="1">
        <f>IFERROR(__xludf.DUMMYFUNCTION("""COMPUTED_VALUE"""),1387.11)</f>
        <v>1387.11</v>
      </c>
      <c r="C5370" s="1">
        <f>IFERROR(__xludf.DUMMYFUNCTION("""COMPUTED_VALUE"""),1395.73)</f>
        <v>1395.73</v>
      </c>
      <c r="D5370" s="1">
        <f>IFERROR(__xludf.DUMMYFUNCTION("""COMPUTED_VALUE"""),1385.16)</f>
        <v>1385.16</v>
      </c>
      <c r="E5370" s="1">
        <f>IFERROR(__xludf.DUMMYFUNCTION("""COMPUTED_VALUE"""),1392.28)</f>
        <v>1392.28</v>
      </c>
      <c r="F5370" s="1">
        <f>IFERROR(__xludf.DUMMYFUNCTION("""COMPUTED_VALUE"""),2.82190016E8)</f>
        <v>282190016</v>
      </c>
    </row>
    <row r="5371">
      <c r="A5371" s="2">
        <f>IFERROR(__xludf.DUMMYFUNCTION("""COMPUTED_VALUE"""),39157.666666666664)</f>
        <v>39157.66667</v>
      </c>
      <c r="B5371" s="1">
        <f>IFERROR(__xludf.DUMMYFUNCTION("""COMPUTED_VALUE"""),1392.28)</f>
        <v>1392.28</v>
      </c>
      <c r="C5371" s="1">
        <f>IFERROR(__xludf.DUMMYFUNCTION("""COMPUTED_VALUE"""),1397.51)</f>
        <v>1397.51</v>
      </c>
      <c r="D5371" s="1">
        <f>IFERROR(__xludf.DUMMYFUNCTION("""COMPUTED_VALUE"""),1383.63)</f>
        <v>1383.63</v>
      </c>
      <c r="E5371" s="1">
        <f>IFERROR(__xludf.DUMMYFUNCTION("""COMPUTED_VALUE"""),1386.95)</f>
        <v>1386.95</v>
      </c>
      <c r="F5371" s="1">
        <f>IFERROR(__xludf.DUMMYFUNCTION("""COMPUTED_VALUE"""),3.39364E8)</f>
        <v>339364000</v>
      </c>
    </row>
    <row r="5372">
      <c r="A5372" s="2">
        <f>IFERROR(__xludf.DUMMYFUNCTION("""COMPUTED_VALUE"""),39160.666666666664)</f>
        <v>39160.66667</v>
      </c>
      <c r="B5372" s="1">
        <f>IFERROR(__xludf.DUMMYFUNCTION("""COMPUTED_VALUE"""),1386.95)</f>
        <v>1386.95</v>
      </c>
      <c r="C5372" s="1">
        <f>IFERROR(__xludf.DUMMYFUNCTION("""COMPUTED_VALUE"""),1403.2)</f>
        <v>1403.2</v>
      </c>
      <c r="D5372" s="1">
        <f>IFERROR(__xludf.DUMMYFUNCTION("""COMPUTED_VALUE"""),1386.95)</f>
        <v>1386.95</v>
      </c>
      <c r="E5372" s="1">
        <f>IFERROR(__xludf.DUMMYFUNCTION("""COMPUTED_VALUE"""),1402.06)</f>
        <v>1402.06</v>
      </c>
      <c r="F5372" s="1">
        <f>IFERROR(__xludf.DUMMYFUNCTION("""COMPUTED_VALUE"""),2.77718016E8)</f>
        <v>277718016</v>
      </c>
    </row>
    <row r="5373">
      <c r="A5373" s="2">
        <f>IFERROR(__xludf.DUMMYFUNCTION("""COMPUTED_VALUE"""),39161.666666666664)</f>
        <v>39161.66667</v>
      </c>
      <c r="B5373" s="1">
        <f>IFERROR(__xludf.DUMMYFUNCTION("""COMPUTED_VALUE"""),1402.04)</f>
        <v>1402.04</v>
      </c>
      <c r="C5373" s="1">
        <f>IFERROR(__xludf.DUMMYFUNCTION("""COMPUTED_VALUE"""),1411.53)</f>
        <v>1411.53</v>
      </c>
      <c r="D5373" s="1">
        <f>IFERROR(__xludf.DUMMYFUNCTION("""COMPUTED_VALUE"""),1400.7)</f>
        <v>1400.7</v>
      </c>
      <c r="E5373" s="1">
        <f>IFERROR(__xludf.DUMMYFUNCTION("""COMPUTED_VALUE"""),1410.94)</f>
        <v>1410.94</v>
      </c>
      <c r="F5373" s="1">
        <f>IFERROR(__xludf.DUMMYFUNCTION("""COMPUTED_VALUE"""),2.79593984E8)</f>
        <v>279593984</v>
      </c>
    </row>
    <row r="5374">
      <c r="A5374" s="2">
        <f>IFERROR(__xludf.DUMMYFUNCTION("""COMPUTED_VALUE"""),39162.666666666664)</f>
        <v>39162.66667</v>
      </c>
      <c r="B5374" s="1">
        <f>IFERROR(__xludf.DUMMYFUNCTION("""COMPUTED_VALUE"""),1410.92)</f>
        <v>1410.92</v>
      </c>
      <c r="C5374" s="1">
        <f>IFERROR(__xludf.DUMMYFUNCTION("""COMPUTED_VALUE"""),1437.77)</f>
        <v>1437.77</v>
      </c>
      <c r="D5374" s="1">
        <f>IFERROR(__xludf.DUMMYFUNCTION("""COMPUTED_VALUE"""),1409.75)</f>
        <v>1409.75</v>
      </c>
      <c r="E5374" s="1">
        <f>IFERROR(__xludf.DUMMYFUNCTION("""COMPUTED_VALUE"""),1435.04)</f>
        <v>1435.04</v>
      </c>
      <c r="F5374" s="1">
        <f>IFERROR(__xludf.DUMMYFUNCTION("""COMPUTED_VALUE"""),3.18476992E8)</f>
        <v>318476992</v>
      </c>
    </row>
    <row r="5375">
      <c r="A5375" s="2">
        <f>IFERROR(__xludf.DUMMYFUNCTION("""COMPUTED_VALUE"""),39163.666666666664)</f>
        <v>39163.66667</v>
      </c>
      <c r="B5375" s="1">
        <f>IFERROR(__xludf.DUMMYFUNCTION("""COMPUTED_VALUE"""),1435.04)</f>
        <v>1435.04</v>
      </c>
      <c r="C5375" s="1">
        <f>IFERROR(__xludf.DUMMYFUNCTION("""COMPUTED_VALUE"""),1437.66)</f>
        <v>1437.66</v>
      </c>
      <c r="D5375" s="1">
        <f>IFERROR(__xludf.DUMMYFUNCTION("""COMPUTED_VALUE"""),1429.88)</f>
        <v>1429.88</v>
      </c>
      <c r="E5375" s="1">
        <f>IFERROR(__xludf.DUMMYFUNCTION("""COMPUTED_VALUE"""),1434.54)</f>
        <v>1434.54</v>
      </c>
      <c r="F5375" s="1">
        <f>IFERROR(__xludf.DUMMYFUNCTION("""COMPUTED_VALUE"""),3.12996992E8)</f>
        <v>312996992</v>
      </c>
    </row>
    <row r="5376">
      <c r="A5376" s="2">
        <f>IFERROR(__xludf.DUMMYFUNCTION("""COMPUTED_VALUE"""),39164.666666666664)</f>
        <v>39164.66667</v>
      </c>
      <c r="B5376" s="1">
        <f>IFERROR(__xludf.DUMMYFUNCTION("""COMPUTED_VALUE"""),1434.54)</f>
        <v>1434.54</v>
      </c>
      <c r="C5376" s="1">
        <f>IFERROR(__xludf.DUMMYFUNCTION("""COMPUTED_VALUE"""),1438.89)</f>
        <v>1438.89</v>
      </c>
      <c r="D5376" s="1">
        <f>IFERROR(__xludf.DUMMYFUNCTION("""COMPUTED_VALUE"""),1433.21)</f>
        <v>1433.21</v>
      </c>
      <c r="E5376" s="1">
        <f>IFERROR(__xludf.DUMMYFUNCTION("""COMPUTED_VALUE"""),1436.11)</f>
        <v>1436.11</v>
      </c>
      <c r="F5376" s="1">
        <f>IFERROR(__xludf.DUMMYFUNCTION("""COMPUTED_VALUE"""),2.61902E8)</f>
        <v>261902000</v>
      </c>
    </row>
    <row r="5377">
      <c r="A5377" s="2">
        <f>IFERROR(__xludf.DUMMYFUNCTION("""COMPUTED_VALUE"""),39167.666666666664)</f>
        <v>39167.66667</v>
      </c>
      <c r="B5377" s="1">
        <f>IFERROR(__xludf.DUMMYFUNCTION("""COMPUTED_VALUE"""),1436.11)</f>
        <v>1436.11</v>
      </c>
      <c r="C5377" s="1">
        <f>IFERROR(__xludf.DUMMYFUNCTION("""COMPUTED_VALUE"""),1437.65)</f>
        <v>1437.65</v>
      </c>
      <c r="D5377" s="1">
        <f>IFERROR(__xludf.DUMMYFUNCTION("""COMPUTED_VALUE"""),1423.28)</f>
        <v>1423.28</v>
      </c>
      <c r="E5377" s="1">
        <f>IFERROR(__xludf.DUMMYFUNCTION("""COMPUTED_VALUE"""),1437.5)</f>
        <v>1437.5</v>
      </c>
      <c r="F5377" s="1">
        <f>IFERROR(__xludf.DUMMYFUNCTION("""COMPUTED_VALUE"""),2.75465984E8)</f>
        <v>275465984</v>
      </c>
    </row>
    <row r="5378">
      <c r="A5378" s="2">
        <f>IFERROR(__xludf.DUMMYFUNCTION("""COMPUTED_VALUE"""),39168.666666666664)</f>
        <v>39168.66667</v>
      </c>
      <c r="B5378" s="1">
        <f>IFERROR(__xludf.DUMMYFUNCTION("""COMPUTED_VALUE"""),1437.49)</f>
        <v>1437.49</v>
      </c>
      <c r="C5378" s="1">
        <f>IFERROR(__xludf.DUMMYFUNCTION("""COMPUTED_VALUE"""),1437.49)</f>
        <v>1437.49</v>
      </c>
      <c r="D5378" s="1">
        <f>IFERROR(__xludf.DUMMYFUNCTION("""COMPUTED_VALUE"""),1425.54)</f>
        <v>1425.54</v>
      </c>
      <c r="E5378" s="1">
        <f>IFERROR(__xludf.DUMMYFUNCTION("""COMPUTED_VALUE"""),1428.61)</f>
        <v>1428.61</v>
      </c>
      <c r="F5378" s="1">
        <f>IFERROR(__xludf.DUMMYFUNCTION("""COMPUTED_VALUE"""),2.67304E8)</f>
        <v>267304000</v>
      </c>
    </row>
    <row r="5379">
      <c r="A5379" s="2">
        <f>IFERROR(__xludf.DUMMYFUNCTION("""COMPUTED_VALUE"""),39169.666666666664)</f>
        <v>39169.66667</v>
      </c>
      <c r="B5379" s="1">
        <f>IFERROR(__xludf.DUMMYFUNCTION("""COMPUTED_VALUE"""),1428.35)</f>
        <v>1428.35</v>
      </c>
      <c r="C5379" s="1">
        <f>IFERROR(__xludf.DUMMYFUNCTION("""COMPUTED_VALUE"""),1428.35)</f>
        <v>1428.35</v>
      </c>
      <c r="D5379" s="1">
        <f>IFERROR(__xludf.DUMMYFUNCTION("""COMPUTED_VALUE"""),1414.07)</f>
        <v>1414.07</v>
      </c>
      <c r="E5379" s="1">
        <f>IFERROR(__xludf.DUMMYFUNCTION("""COMPUTED_VALUE"""),1417.23)</f>
        <v>1417.23</v>
      </c>
      <c r="F5379" s="1">
        <f>IFERROR(__xludf.DUMMYFUNCTION("""COMPUTED_VALUE"""),3.00044E8)</f>
        <v>300044000</v>
      </c>
    </row>
    <row r="5380">
      <c r="A5380" s="2">
        <f>IFERROR(__xludf.DUMMYFUNCTION("""COMPUTED_VALUE"""),39170.666666666664)</f>
        <v>39170.66667</v>
      </c>
      <c r="B5380" s="1">
        <f>IFERROR(__xludf.DUMMYFUNCTION("""COMPUTED_VALUE"""),1417.17)</f>
        <v>1417.17</v>
      </c>
      <c r="C5380" s="1">
        <f>IFERROR(__xludf.DUMMYFUNCTION("""COMPUTED_VALUE"""),1426.24)</f>
        <v>1426.24</v>
      </c>
      <c r="D5380" s="1">
        <f>IFERROR(__xludf.DUMMYFUNCTION("""COMPUTED_VALUE"""),1413.27)</f>
        <v>1413.27</v>
      </c>
      <c r="E5380" s="1">
        <f>IFERROR(__xludf.DUMMYFUNCTION("""COMPUTED_VALUE"""),1422.53)</f>
        <v>1422.53</v>
      </c>
      <c r="F5380" s="1">
        <f>IFERROR(__xludf.DUMMYFUNCTION("""COMPUTED_VALUE"""),2.85471008E8)</f>
        <v>285471008</v>
      </c>
    </row>
    <row r="5381">
      <c r="A5381" s="2">
        <f>IFERROR(__xludf.DUMMYFUNCTION("""COMPUTED_VALUE"""),39171.666666666664)</f>
        <v>39171.66667</v>
      </c>
      <c r="B5381" s="1">
        <f>IFERROR(__xludf.DUMMYFUNCTION("""COMPUTED_VALUE"""),1422.52)</f>
        <v>1422.52</v>
      </c>
      <c r="C5381" s="1">
        <f>IFERROR(__xludf.DUMMYFUNCTION("""COMPUTED_VALUE"""),1429.22)</f>
        <v>1429.22</v>
      </c>
      <c r="D5381" s="1">
        <f>IFERROR(__xludf.DUMMYFUNCTION("""COMPUTED_VALUE"""),1408.9)</f>
        <v>1408.9</v>
      </c>
      <c r="E5381" s="1">
        <f>IFERROR(__xludf.DUMMYFUNCTION("""COMPUTED_VALUE"""),1420.86)</f>
        <v>1420.86</v>
      </c>
      <c r="F5381" s="1">
        <f>IFERROR(__xludf.DUMMYFUNCTION("""COMPUTED_VALUE"""),2.90396E8)</f>
        <v>290396000</v>
      </c>
    </row>
    <row r="5382">
      <c r="A5382" s="2">
        <f>IFERROR(__xludf.DUMMYFUNCTION("""COMPUTED_VALUE"""),39174.666666666664)</f>
        <v>39174.66667</v>
      </c>
      <c r="B5382" s="1">
        <f>IFERROR(__xludf.DUMMYFUNCTION("""COMPUTED_VALUE"""),1420.83)</f>
        <v>1420.83</v>
      </c>
      <c r="C5382" s="1">
        <f>IFERROR(__xludf.DUMMYFUNCTION("""COMPUTED_VALUE"""),1425.49)</f>
        <v>1425.49</v>
      </c>
      <c r="D5382" s="1">
        <f>IFERROR(__xludf.DUMMYFUNCTION("""COMPUTED_VALUE"""),1416.37)</f>
        <v>1416.37</v>
      </c>
      <c r="E5382" s="1">
        <f>IFERROR(__xludf.DUMMYFUNCTION("""COMPUTED_VALUE"""),1424.55)</f>
        <v>1424.55</v>
      </c>
      <c r="F5382" s="1">
        <f>IFERROR(__xludf.DUMMYFUNCTION("""COMPUTED_VALUE"""),2.87588E8)</f>
        <v>287588000</v>
      </c>
    </row>
    <row r="5383">
      <c r="A5383" s="2">
        <f>IFERROR(__xludf.DUMMYFUNCTION("""COMPUTED_VALUE"""),39175.666666666664)</f>
        <v>39175.66667</v>
      </c>
      <c r="B5383" s="1">
        <f>IFERROR(__xludf.DUMMYFUNCTION("""COMPUTED_VALUE"""),1424.27)</f>
        <v>1424.27</v>
      </c>
      <c r="C5383" s="1">
        <f>IFERROR(__xludf.DUMMYFUNCTION("""COMPUTED_VALUE"""),1440.57)</f>
        <v>1440.57</v>
      </c>
      <c r="D5383" s="1">
        <f>IFERROR(__xludf.DUMMYFUNCTION("""COMPUTED_VALUE"""),1424.27)</f>
        <v>1424.27</v>
      </c>
      <c r="E5383" s="1">
        <f>IFERROR(__xludf.DUMMYFUNCTION("""COMPUTED_VALUE"""),1437.77)</f>
        <v>1437.77</v>
      </c>
      <c r="F5383" s="1">
        <f>IFERROR(__xludf.DUMMYFUNCTION("""COMPUTED_VALUE"""),2.92176E8)</f>
        <v>292176000</v>
      </c>
    </row>
    <row r="5384">
      <c r="A5384" s="2">
        <f>IFERROR(__xludf.DUMMYFUNCTION("""COMPUTED_VALUE"""),39176.666666666664)</f>
        <v>39176.66667</v>
      </c>
      <c r="B5384" s="1">
        <f>IFERROR(__xludf.DUMMYFUNCTION("""COMPUTED_VALUE"""),1437.75)</f>
        <v>1437.75</v>
      </c>
      <c r="C5384" s="1">
        <f>IFERROR(__xludf.DUMMYFUNCTION("""COMPUTED_VALUE"""),1440.16)</f>
        <v>1440.16</v>
      </c>
      <c r="D5384" s="1">
        <f>IFERROR(__xludf.DUMMYFUNCTION("""COMPUTED_VALUE"""),1435.08)</f>
        <v>1435.08</v>
      </c>
      <c r="E5384" s="1">
        <f>IFERROR(__xludf.DUMMYFUNCTION("""COMPUTED_VALUE"""),1439.37)</f>
        <v>1439.37</v>
      </c>
      <c r="F5384" s="1">
        <f>IFERROR(__xludf.DUMMYFUNCTION("""COMPUTED_VALUE"""),2.61632E8)</f>
        <v>261632000</v>
      </c>
    </row>
    <row r="5385">
      <c r="A5385" s="2">
        <f>IFERROR(__xludf.DUMMYFUNCTION("""COMPUTED_VALUE"""),39177.666666666664)</f>
        <v>39177.66667</v>
      </c>
      <c r="B5385" s="1">
        <f>IFERROR(__xludf.DUMMYFUNCTION("""COMPUTED_VALUE"""),1438.94)</f>
        <v>1438.94</v>
      </c>
      <c r="C5385" s="1">
        <f>IFERROR(__xludf.DUMMYFUNCTION("""COMPUTED_VALUE"""),1444.88)</f>
        <v>1444.88</v>
      </c>
      <c r="D5385" s="1">
        <f>IFERROR(__xludf.DUMMYFUNCTION("""COMPUTED_VALUE"""),1436.67)</f>
        <v>1436.67</v>
      </c>
      <c r="E5385" s="1">
        <f>IFERROR(__xludf.DUMMYFUNCTION("""COMPUTED_VALUE"""),1443.76)</f>
        <v>1443.76</v>
      </c>
      <c r="F5385" s="1">
        <f>IFERROR(__xludf.DUMMYFUNCTION("""COMPUTED_VALUE"""),2.35723008E8)</f>
        <v>235723008</v>
      </c>
    </row>
    <row r="5386">
      <c r="A5386" s="2">
        <f>IFERROR(__xludf.DUMMYFUNCTION("""COMPUTED_VALUE"""),39178.666666666664)</f>
        <v>39178.66667</v>
      </c>
      <c r="B5386" s="1">
        <f>IFERROR(__xludf.DUMMYFUNCTION("""COMPUTED_VALUE"""),1438.94)</f>
        <v>1438.94</v>
      </c>
      <c r="C5386" s="1">
        <f>IFERROR(__xludf.DUMMYFUNCTION("""COMPUTED_VALUE"""),1444.88)</f>
        <v>1444.88</v>
      </c>
      <c r="D5386" s="1">
        <f>IFERROR(__xludf.DUMMYFUNCTION("""COMPUTED_VALUE"""),1438.94)</f>
        <v>1438.94</v>
      </c>
      <c r="E5386" s="1">
        <f>IFERROR(__xludf.DUMMYFUNCTION("""COMPUTED_VALUE"""),1444.88)</f>
        <v>1444.88</v>
      </c>
      <c r="F5386" s="1">
        <f>IFERROR(__xludf.DUMMYFUNCTION("""COMPUTED_VALUE"""),0.0)</f>
        <v>0</v>
      </c>
    </row>
    <row r="5387">
      <c r="A5387" s="2">
        <f>IFERROR(__xludf.DUMMYFUNCTION("""COMPUTED_VALUE"""),39181.666666666664)</f>
        <v>39181.66667</v>
      </c>
      <c r="B5387" s="1">
        <f>IFERROR(__xludf.DUMMYFUNCTION("""COMPUTED_VALUE"""),1443.77)</f>
        <v>1443.77</v>
      </c>
      <c r="C5387" s="1">
        <f>IFERROR(__xludf.DUMMYFUNCTION("""COMPUTED_VALUE"""),1448.1)</f>
        <v>1448.1</v>
      </c>
      <c r="D5387" s="1">
        <f>IFERROR(__xludf.DUMMYFUNCTION("""COMPUTED_VALUE"""),1443.28)</f>
        <v>1443.28</v>
      </c>
      <c r="E5387" s="1">
        <f>IFERROR(__xludf.DUMMYFUNCTION("""COMPUTED_VALUE"""),1444.61)</f>
        <v>1444.61</v>
      </c>
      <c r="F5387" s="1">
        <f>IFERROR(__xludf.DUMMYFUNCTION("""COMPUTED_VALUE"""),2.34940992E8)</f>
        <v>234940992</v>
      </c>
    </row>
    <row r="5388">
      <c r="A5388" s="2">
        <f>IFERROR(__xludf.DUMMYFUNCTION("""COMPUTED_VALUE"""),39182.666666666664)</f>
        <v>39182.66667</v>
      </c>
      <c r="B5388" s="1">
        <f>IFERROR(__xludf.DUMMYFUNCTION("""COMPUTED_VALUE"""),1444.58)</f>
        <v>1444.58</v>
      </c>
      <c r="C5388" s="1">
        <f>IFERROR(__xludf.DUMMYFUNCTION("""COMPUTED_VALUE"""),1448.73)</f>
        <v>1448.73</v>
      </c>
      <c r="D5388" s="1">
        <f>IFERROR(__xludf.DUMMYFUNCTION("""COMPUTED_VALUE"""),1443.99)</f>
        <v>1443.99</v>
      </c>
      <c r="E5388" s="1">
        <f>IFERROR(__xludf.DUMMYFUNCTION("""COMPUTED_VALUE"""),1448.39)</f>
        <v>1448.39</v>
      </c>
      <c r="F5388" s="1">
        <f>IFERROR(__xludf.DUMMYFUNCTION("""COMPUTED_VALUE"""),2.51011008E8)</f>
        <v>251011008</v>
      </c>
    </row>
    <row r="5389">
      <c r="A5389" s="2">
        <f>IFERROR(__xludf.DUMMYFUNCTION("""COMPUTED_VALUE"""),39183.666666666664)</f>
        <v>39183.66667</v>
      </c>
      <c r="B5389" s="1">
        <f>IFERROR(__xludf.DUMMYFUNCTION("""COMPUTED_VALUE"""),1448.23)</f>
        <v>1448.23</v>
      </c>
      <c r="C5389" s="1">
        <f>IFERROR(__xludf.DUMMYFUNCTION("""COMPUTED_VALUE"""),1448.39)</f>
        <v>1448.39</v>
      </c>
      <c r="D5389" s="1">
        <f>IFERROR(__xludf.DUMMYFUNCTION("""COMPUTED_VALUE"""),1436.15)</f>
        <v>1436.15</v>
      </c>
      <c r="E5389" s="1">
        <f>IFERROR(__xludf.DUMMYFUNCTION("""COMPUTED_VALUE"""),1438.87)</f>
        <v>1438.87</v>
      </c>
      <c r="F5389" s="1">
        <f>IFERROR(__xludf.DUMMYFUNCTION("""COMPUTED_VALUE"""),2.95019008E8)</f>
        <v>295019008</v>
      </c>
    </row>
    <row r="5390">
      <c r="A5390" s="2">
        <f>IFERROR(__xludf.DUMMYFUNCTION("""COMPUTED_VALUE"""),39184.666666666664)</f>
        <v>39184.66667</v>
      </c>
      <c r="B5390" s="1">
        <f>IFERROR(__xludf.DUMMYFUNCTION("""COMPUTED_VALUE"""),1438.87)</f>
        <v>1438.87</v>
      </c>
      <c r="C5390" s="1">
        <f>IFERROR(__xludf.DUMMYFUNCTION("""COMPUTED_VALUE"""),1448.02)</f>
        <v>1448.02</v>
      </c>
      <c r="D5390" s="1">
        <f>IFERROR(__xludf.DUMMYFUNCTION("""COMPUTED_VALUE"""),1433.91)</f>
        <v>1433.91</v>
      </c>
      <c r="E5390" s="1">
        <f>IFERROR(__xludf.DUMMYFUNCTION("""COMPUTED_VALUE"""),1447.8)</f>
        <v>1447.8</v>
      </c>
      <c r="F5390" s="1">
        <f>IFERROR(__xludf.DUMMYFUNCTION("""COMPUTED_VALUE"""),2.77056992E8)</f>
        <v>277056992</v>
      </c>
    </row>
    <row r="5391">
      <c r="A5391" s="2">
        <f>IFERROR(__xludf.DUMMYFUNCTION("""COMPUTED_VALUE"""),39185.666666666664)</f>
        <v>39185.66667</v>
      </c>
      <c r="B5391" s="1">
        <f>IFERROR(__xludf.DUMMYFUNCTION("""COMPUTED_VALUE"""),1447.8)</f>
        <v>1447.8</v>
      </c>
      <c r="C5391" s="1">
        <f>IFERROR(__xludf.DUMMYFUNCTION("""COMPUTED_VALUE"""),1453.11)</f>
        <v>1453.11</v>
      </c>
      <c r="D5391" s="1">
        <f>IFERROR(__xludf.DUMMYFUNCTION("""COMPUTED_VALUE"""),1444.15)</f>
        <v>1444.15</v>
      </c>
      <c r="E5391" s="1">
        <f>IFERROR(__xludf.DUMMYFUNCTION("""COMPUTED_VALUE"""),1452.85)</f>
        <v>1452.85</v>
      </c>
      <c r="F5391" s="1">
        <f>IFERROR(__xludf.DUMMYFUNCTION("""COMPUTED_VALUE"""),2.69001984E8)</f>
        <v>269001984</v>
      </c>
    </row>
    <row r="5392">
      <c r="A5392" s="2">
        <f>IFERROR(__xludf.DUMMYFUNCTION("""COMPUTED_VALUE"""),39188.666666666664)</f>
        <v>39188.66667</v>
      </c>
      <c r="B5392" s="1">
        <f>IFERROR(__xludf.DUMMYFUNCTION("""COMPUTED_VALUE"""),1452.84)</f>
        <v>1452.84</v>
      </c>
      <c r="C5392" s="1">
        <f>IFERROR(__xludf.DUMMYFUNCTION("""COMPUTED_VALUE"""),1468.62)</f>
        <v>1468.62</v>
      </c>
      <c r="D5392" s="1">
        <f>IFERROR(__xludf.DUMMYFUNCTION("""COMPUTED_VALUE"""),1452.84)</f>
        <v>1452.84</v>
      </c>
      <c r="E5392" s="1">
        <f>IFERROR(__xludf.DUMMYFUNCTION("""COMPUTED_VALUE"""),1468.47)</f>
        <v>1468.47</v>
      </c>
      <c r="F5392" s="1">
        <f>IFERROR(__xludf.DUMMYFUNCTION("""COMPUTED_VALUE"""),2.87014016E8)</f>
        <v>287014016</v>
      </c>
    </row>
    <row r="5393">
      <c r="A5393" s="2">
        <f>IFERROR(__xludf.DUMMYFUNCTION("""COMPUTED_VALUE"""),39189.666666666664)</f>
        <v>39189.66667</v>
      </c>
      <c r="B5393" s="1">
        <f>IFERROR(__xludf.DUMMYFUNCTION("""COMPUTED_VALUE"""),1468.47)</f>
        <v>1468.47</v>
      </c>
      <c r="C5393" s="1">
        <f>IFERROR(__xludf.DUMMYFUNCTION("""COMPUTED_VALUE"""),1474.35)</f>
        <v>1474.35</v>
      </c>
      <c r="D5393" s="1">
        <f>IFERROR(__xludf.DUMMYFUNCTION("""COMPUTED_VALUE"""),1467.15)</f>
        <v>1467.15</v>
      </c>
      <c r="E5393" s="1">
        <f>IFERROR(__xludf.DUMMYFUNCTION("""COMPUTED_VALUE"""),1471.48)</f>
        <v>1471.48</v>
      </c>
      <c r="F5393" s="1">
        <f>IFERROR(__xludf.DUMMYFUNCTION("""COMPUTED_VALUE"""),2.92056992E8)</f>
        <v>292056992</v>
      </c>
    </row>
    <row r="5394">
      <c r="A5394" s="2">
        <f>IFERROR(__xludf.DUMMYFUNCTION("""COMPUTED_VALUE"""),39190.666666666664)</f>
        <v>39190.66667</v>
      </c>
      <c r="B5394" s="1">
        <f>IFERROR(__xludf.DUMMYFUNCTION("""COMPUTED_VALUE"""),1471.47)</f>
        <v>1471.47</v>
      </c>
      <c r="C5394" s="1">
        <f>IFERROR(__xludf.DUMMYFUNCTION("""COMPUTED_VALUE"""),1476.57)</f>
        <v>1476.57</v>
      </c>
      <c r="D5394" s="1">
        <f>IFERROR(__xludf.DUMMYFUNCTION("""COMPUTED_VALUE"""),1466.41)</f>
        <v>1466.41</v>
      </c>
      <c r="E5394" s="1">
        <f>IFERROR(__xludf.DUMMYFUNCTION("""COMPUTED_VALUE"""),1472.5)</f>
        <v>1472.5</v>
      </c>
      <c r="F5394" s="1">
        <f>IFERROR(__xludf.DUMMYFUNCTION("""COMPUTED_VALUE"""),2.97132992E8)</f>
        <v>297132992</v>
      </c>
    </row>
    <row r="5395">
      <c r="A5395" s="2">
        <f>IFERROR(__xludf.DUMMYFUNCTION("""COMPUTED_VALUE"""),39191.666666666664)</f>
        <v>39191.66667</v>
      </c>
      <c r="B5395" s="1">
        <f>IFERROR(__xludf.DUMMYFUNCTION("""COMPUTED_VALUE"""),1472.48)</f>
        <v>1472.48</v>
      </c>
      <c r="C5395" s="1">
        <f>IFERROR(__xludf.DUMMYFUNCTION("""COMPUTED_VALUE"""),1474.23)</f>
        <v>1474.23</v>
      </c>
      <c r="D5395" s="1">
        <f>IFERROR(__xludf.DUMMYFUNCTION("""COMPUTED_VALUE"""),1464.47)</f>
        <v>1464.47</v>
      </c>
      <c r="E5395" s="1">
        <f>IFERROR(__xludf.DUMMYFUNCTION("""COMPUTED_VALUE"""),1470.73)</f>
        <v>1470.73</v>
      </c>
      <c r="F5395" s="1">
        <f>IFERROR(__xludf.DUMMYFUNCTION("""COMPUTED_VALUE"""),2.91360992E8)</f>
        <v>291360992</v>
      </c>
    </row>
    <row r="5396">
      <c r="A5396" s="2">
        <f>IFERROR(__xludf.DUMMYFUNCTION("""COMPUTED_VALUE"""),39192.666666666664)</f>
        <v>39192.66667</v>
      </c>
      <c r="B5396" s="1">
        <f>IFERROR(__xludf.DUMMYFUNCTION("""COMPUTED_VALUE"""),1470.69)</f>
        <v>1470.69</v>
      </c>
      <c r="C5396" s="1">
        <f>IFERROR(__xludf.DUMMYFUNCTION("""COMPUTED_VALUE"""),1484.74)</f>
        <v>1484.74</v>
      </c>
      <c r="D5396" s="1">
        <f>IFERROR(__xludf.DUMMYFUNCTION("""COMPUTED_VALUE"""),1470.69)</f>
        <v>1470.69</v>
      </c>
      <c r="E5396" s="1">
        <f>IFERROR(__xludf.DUMMYFUNCTION("""COMPUTED_VALUE"""),1484.35)</f>
        <v>1484.35</v>
      </c>
      <c r="F5396" s="1">
        <f>IFERROR(__xludf.DUMMYFUNCTION("""COMPUTED_VALUE"""),3.32993984E8)</f>
        <v>332993984</v>
      </c>
    </row>
    <row r="5397">
      <c r="A5397" s="2">
        <f>IFERROR(__xludf.DUMMYFUNCTION("""COMPUTED_VALUE"""),39195.666666666664)</f>
        <v>39195.66667</v>
      </c>
      <c r="B5397" s="1">
        <f>IFERROR(__xludf.DUMMYFUNCTION("""COMPUTED_VALUE"""),1484.33)</f>
        <v>1484.33</v>
      </c>
      <c r="C5397" s="1">
        <f>IFERROR(__xludf.DUMMYFUNCTION("""COMPUTED_VALUE"""),1487.32)</f>
        <v>1487.32</v>
      </c>
      <c r="D5397" s="1">
        <f>IFERROR(__xludf.DUMMYFUNCTION("""COMPUTED_VALUE"""),1480.19)</f>
        <v>1480.19</v>
      </c>
      <c r="E5397" s="1">
        <f>IFERROR(__xludf.DUMMYFUNCTION("""COMPUTED_VALUE"""),1480.93)</f>
        <v>1480.93</v>
      </c>
      <c r="F5397" s="1">
        <f>IFERROR(__xludf.DUMMYFUNCTION("""COMPUTED_VALUE"""),2.57502E8)</f>
        <v>257502000</v>
      </c>
    </row>
    <row r="5398">
      <c r="A5398" s="2">
        <f>IFERROR(__xludf.DUMMYFUNCTION("""COMPUTED_VALUE"""),39196.666666666664)</f>
        <v>39196.66667</v>
      </c>
      <c r="B5398" s="1">
        <f>IFERROR(__xludf.DUMMYFUNCTION("""COMPUTED_VALUE"""),1480.93)</f>
        <v>1480.93</v>
      </c>
      <c r="C5398" s="1">
        <f>IFERROR(__xludf.DUMMYFUNCTION("""COMPUTED_VALUE"""),1483.82)</f>
        <v>1483.82</v>
      </c>
      <c r="D5398" s="1">
        <f>IFERROR(__xludf.DUMMYFUNCTION("""COMPUTED_VALUE"""),1473.74)</f>
        <v>1473.74</v>
      </c>
      <c r="E5398" s="1">
        <f>IFERROR(__xludf.DUMMYFUNCTION("""COMPUTED_VALUE"""),1480.41)</f>
        <v>1480.41</v>
      </c>
      <c r="F5398" s="1">
        <f>IFERROR(__xludf.DUMMYFUNCTION("""COMPUTED_VALUE"""),3.11975008E8)</f>
        <v>311975008</v>
      </c>
    </row>
    <row r="5399">
      <c r="A5399" s="2">
        <f>IFERROR(__xludf.DUMMYFUNCTION("""COMPUTED_VALUE"""),39197.666666666664)</f>
        <v>39197.66667</v>
      </c>
      <c r="B5399" s="1">
        <f>IFERROR(__xludf.DUMMYFUNCTION("""COMPUTED_VALUE"""),1480.28)</f>
        <v>1480.28</v>
      </c>
      <c r="C5399" s="1">
        <f>IFERROR(__xludf.DUMMYFUNCTION("""COMPUTED_VALUE"""),1496.59)</f>
        <v>1496.59</v>
      </c>
      <c r="D5399" s="1">
        <f>IFERROR(__xludf.DUMMYFUNCTION("""COMPUTED_VALUE"""),1480.28)</f>
        <v>1480.28</v>
      </c>
      <c r="E5399" s="1">
        <f>IFERROR(__xludf.DUMMYFUNCTION("""COMPUTED_VALUE"""),1495.42)</f>
        <v>1495.42</v>
      </c>
      <c r="F5399" s="1">
        <f>IFERROR(__xludf.DUMMYFUNCTION("""COMPUTED_VALUE"""),3.25259008E8)</f>
        <v>325259008</v>
      </c>
    </row>
    <row r="5400">
      <c r="A5400" s="2">
        <f>IFERROR(__xludf.DUMMYFUNCTION("""COMPUTED_VALUE"""),39198.666666666664)</f>
        <v>39198.66667</v>
      </c>
      <c r="B5400" s="1">
        <f>IFERROR(__xludf.DUMMYFUNCTION("""COMPUTED_VALUE"""),1495.27)</f>
        <v>1495.27</v>
      </c>
      <c r="C5400" s="1">
        <f>IFERROR(__xludf.DUMMYFUNCTION("""COMPUTED_VALUE"""),1498.02)</f>
        <v>1498.02</v>
      </c>
      <c r="D5400" s="1">
        <f>IFERROR(__xludf.DUMMYFUNCTION("""COMPUTED_VALUE"""),1491.17)</f>
        <v>1491.17</v>
      </c>
      <c r="E5400" s="1">
        <f>IFERROR(__xludf.DUMMYFUNCTION("""COMPUTED_VALUE"""),1494.25)</f>
        <v>1494.25</v>
      </c>
      <c r="F5400" s="1">
        <f>IFERROR(__xludf.DUMMYFUNCTION("""COMPUTED_VALUE"""),3.2118E8)</f>
        <v>321180000</v>
      </c>
    </row>
    <row r="5401">
      <c r="A5401" s="2">
        <f>IFERROR(__xludf.DUMMYFUNCTION("""COMPUTED_VALUE"""),39199.666666666664)</f>
        <v>39199.66667</v>
      </c>
      <c r="B5401" s="1">
        <f>IFERROR(__xludf.DUMMYFUNCTION("""COMPUTED_VALUE"""),1494.21)</f>
        <v>1494.21</v>
      </c>
      <c r="C5401" s="1">
        <f>IFERROR(__xludf.DUMMYFUNCTION("""COMPUTED_VALUE"""),1497.32)</f>
        <v>1497.32</v>
      </c>
      <c r="D5401" s="1">
        <f>IFERROR(__xludf.DUMMYFUNCTION("""COMPUTED_VALUE"""),1488.67)</f>
        <v>1488.67</v>
      </c>
      <c r="E5401" s="1">
        <f>IFERROR(__xludf.DUMMYFUNCTION("""COMPUTED_VALUE"""),1494.07)</f>
        <v>1494.07</v>
      </c>
      <c r="F5401" s="1">
        <f>IFERROR(__xludf.DUMMYFUNCTION("""COMPUTED_VALUE"""),2.73280992E8)</f>
        <v>273280992</v>
      </c>
    </row>
    <row r="5402">
      <c r="A5402" s="2">
        <f>IFERROR(__xludf.DUMMYFUNCTION("""COMPUTED_VALUE"""),39202.666666666664)</f>
        <v>39202.66667</v>
      </c>
      <c r="B5402" s="1">
        <f>IFERROR(__xludf.DUMMYFUNCTION("""COMPUTED_VALUE"""),1494.07)</f>
        <v>1494.07</v>
      </c>
      <c r="C5402" s="1">
        <f>IFERROR(__xludf.DUMMYFUNCTION("""COMPUTED_VALUE"""),1497.16)</f>
        <v>1497.16</v>
      </c>
      <c r="D5402" s="1">
        <f>IFERROR(__xludf.DUMMYFUNCTION("""COMPUTED_VALUE"""),1482.29)</f>
        <v>1482.29</v>
      </c>
      <c r="E5402" s="1">
        <f>IFERROR(__xludf.DUMMYFUNCTION("""COMPUTED_VALUE"""),1482.37)</f>
        <v>1482.37</v>
      </c>
      <c r="F5402" s="1">
        <f>IFERROR(__xludf.DUMMYFUNCTION("""COMPUTED_VALUE"""),3.09342016E8)</f>
        <v>309342016</v>
      </c>
    </row>
    <row r="5403">
      <c r="A5403" s="2">
        <f>IFERROR(__xludf.DUMMYFUNCTION("""COMPUTED_VALUE"""),39203.666666666664)</f>
        <v>39203.66667</v>
      </c>
      <c r="B5403" s="1">
        <f>IFERROR(__xludf.DUMMYFUNCTION("""COMPUTED_VALUE"""),1482.37)</f>
        <v>1482.37</v>
      </c>
      <c r="C5403" s="1">
        <f>IFERROR(__xludf.DUMMYFUNCTION("""COMPUTED_VALUE"""),1487.27)</f>
        <v>1487.27</v>
      </c>
      <c r="D5403" s="1">
        <f>IFERROR(__xludf.DUMMYFUNCTION("""COMPUTED_VALUE"""),1476.7)</f>
        <v>1476.7</v>
      </c>
      <c r="E5403" s="1">
        <f>IFERROR(__xludf.DUMMYFUNCTION("""COMPUTED_VALUE"""),1486.3)</f>
        <v>1486.3</v>
      </c>
      <c r="F5403" s="1">
        <f>IFERROR(__xludf.DUMMYFUNCTION("""COMPUTED_VALUE"""),3.40035008E8)</f>
        <v>340035008</v>
      </c>
    </row>
    <row r="5404">
      <c r="A5404" s="2">
        <f>IFERROR(__xludf.DUMMYFUNCTION("""COMPUTED_VALUE"""),39204.666666666664)</f>
        <v>39204.66667</v>
      </c>
      <c r="B5404" s="1">
        <f>IFERROR(__xludf.DUMMYFUNCTION("""COMPUTED_VALUE"""),1486.13)</f>
        <v>1486.13</v>
      </c>
      <c r="C5404" s="1">
        <f>IFERROR(__xludf.DUMMYFUNCTION("""COMPUTED_VALUE"""),1499.1)</f>
        <v>1499.1</v>
      </c>
      <c r="D5404" s="1">
        <f>IFERROR(__xludf.DUMMYFUNCTION("""COMPUTED_VALUE"""),1486.13)</f>
        <v>1486.13</v>
      </c>
      <c r="E5404" s="1">
        <f>IFERROR(__xludf.DUMMYFUNCTION("""COMPUTED_VALUE"""),1495.92)</f>
        <v>1495.92</v>
      </c>
      <c r="F5404" s="1">
        <f>IFERROR(__xludf.DUMMYFUNCTION("""COMPUTED_VALUE"""),3.1898E8)</f>
        <v>318980000</v>
      </c>
    </row>
    <row r="5405">
      <c r="A5405" s="2">
        <f>IFERROR(__xludf.DUMMYFUNCTION("""COMPUTED_VALUE"""),39205.666666666664)</f>
        <v>39205.66667</v>
      </c>
      <c r="B5405" s="1">
        <f>IFERROR(__xludf.DUMMYFUNCTION("""COMPUTED_VALUE"""),1495.56)</f>
        <v>1495.56</v>
      </c>
      <c r="C5405" s="1">
        <f>IFERROR(__xludf.DUMMYFUNCTION("""COMPUTED_VALUE"""),1503.34)</f>
        <v>1503.34</v>
      </c>
      <c r="D5405" s="1">
        <f>IFERROR(__xludf.DUMMYFUNCTION("""COMPUTED_VALUE"""),1495.56)</f>
        <v>1495.56</v>
      </c>
      <c r="E5405" s="1">
        <f>IFERROR(__xludf.DUMMYFUNCTION("""COMPUTED_VALUE"""),1502.39)</f>
        <v>1502.39</v>
      </c>
      <c r="F5405" s="1">
        <f>IFERROR(__xludf.DUMMYFUNCTION("""COMPUTED_VALUE"""),3.00796992E8)</f>
        <v>300796992</v>
      </c>
    </row>
    <row r="5406">
      <c r="A5406" s="2">
        <f>IFERROR(__xludf.DUMMYFUNCTION("""COMPUTED_VALUE"""),39206.666666666664)</f>
        <v>39206.66667</v>
      </c>
      <c r="B5406" s="1">
        <f>IFERROR(__xludf.DUMMYFUNCTION("""COMPUTED_VALUE"""),1502.35)</f>
        <v>1502.35</v>
      </c>
      <c r="C5406" s="1">
        <f>IFERROR(__xludf.DUMMYFUNCTION("""COMPUTED_VALUE"""),1510.34)</f>
        <v>1510.34</v>
      </c>
      <c r="D5406" s="1">
        <f>IFERROR(__xludf.DUMMYFUNCTION("""COMPUTED_VALUE"""),1501.8)</f>
        <v>1501.8</v>
      </c>
      <c r="E5406" s="1">
        <f>IFERROR(__xludf.DUMMYFUNCTION("""COMPUTED_VALUE"""),1505.62)</f>
        <v>1505.62</v>
      </c>
      <c r="F5406" s="1">
        <f>IFERROR(__xludf.DUMMYFUNCTION("""COMPUTED_VALUE"""),2.76192992E8)</f>
        <v>276192992</v>
      </c>
    </row>
    <row r="5407">
      <c r="A5407" s="2">
        <f>IFERROR(__xludf.DUMMYFUNCTION("""COMPUTED_VALUE"""),39209.666666666664)</f>
        <v>39209.66667</v>
      </c>
      <c r="B5407" s="1">
        <f>IFERROR(__xludf.DUMMYFUNCTION("""COMPUTED_VALUE"""),1505.57)</f>
        <v>1505.57</v>
      </c>
      <c r="C5407" s="1">
        <f>IFERROR(__xludf.DUMMYFUNCTION("""COMPUTED_VALUE"""),1511.0)</f>
        <v>1511</v>
      </c>
      <c r="D5407" s="1">
        <f>IFERROR(__xludf.DUMMYFUNCTION("""COMPUTED_VALUE"""),1505.54)</f>
        <v>1505.54</v>
      </c>
      <c r="E5407" s="1">
        <f>IFERROR(__xludf.DUMMYFUNCTION("""COMPUTED_VALUE"""),1509.48)</f>
        <v>1509.48</v>
      </c>
      <c r="F5407" s="1">
        <f>IFERROR(__xludf.DUMMYFUNCTION("""COMPUTED_VALUE"""),2.54508992E8)</f>
        <v>254508992</v>
      </c>
    </row>
    <row r="5408">
      <c r="A5408" s="2">
        <f>IFERROR(__xludf.DUMMYFUNCTION("""COMPUTED_VALUE"""),39210.666666666664)</f>
        <v>39210.66667</v>
      </c>
      <c r="B5408" s="1">
        <f>IFERROR(__xludf.DUMMYFUNCTION("""COMPUTED_VALUE"""),1509.36)</f>
        <v>1509.36</v>
      </c>
      <c r="C5408" s="1">
        <f>IFERROR(__xludf.DUMMYFUNCTION("""COMPUTED_VALUE"""),1509.36)</f>
        <v>1509.36</v>
      </c>
      <c r="D5408" s="1">
        <f>IFERROR(__xludf.DUMMYFUNCTION("""COMPUTED_VALUE"""),1500.66)</f>
        <v>1500.66</v>
      </c>
      <c r="E5408" s="1">
        <f>IFERROR(__xludf.DUMMYFUNCTION("""COMPUTED_VALUE"""),1507.72)</f>
        <v>1507.72</v>
      </c>
      <c r="F5408" s="1">
        <f>IFERROR(__xludf.DUMMYFUNCTION("""COMPUTED_VALUE"""),2.79572E8)</f>
        <v>279572000</v>
      </c>
    </row>
    <row r="5409">
      <c r="A5409" s="2">
        <f>IFERROR(__xludf.DUMMYFUNCTION("""COMPUTED_VALUE"""),39211.666666666664)</f>
        <v>39211.66667</v>
      </c>
      <c r="B5409" s="1">
        <f>IFERROR(__xludf.DUMMYFUNCTION("""COMPUTED_VALUE"""),1507.32)</f>
        <v>1507.32</v>
      </c>
      <c r="C5409" s="1">
        <f>IFERROR(__xludf.DUMMYFUNCTION("""COMPUTED_VALUE"""),1513.8)</f>
        <v>1513.8</v>
      </c>
      <c r="D5409" s="1">
        <f>IFERROR(__xludf.DUMMYFUNCTION("""COMPUTED_VALUE"""),1503.77)</f>
        <v>1503.77</v>
      </c>
      <c r="E5409" s="1">
        <f>IFERROR(__xludf.DUMMYFUNCTION("""COMPUTED_VALUE"""),1512.58)</f>
        <v>1512.58</v>
      </c>
      <c r="F5409" s="1">
        <f>IFERROR(__xludf.DUMMYFUNCTION("""COMPUTED_VALUE"""),2.93555008E8)</f>
        <v>293555008</v>
      </c>
    </row>
    <row r="5410">
      <c r="A5410" s="2">
        <f>IFERROR(__xludf.DUMMYFUNCTION("""COMPUTED_VALUE"""),39212.666666666664)</f>
        <v>39212.66667</v>
      </c>
      <c r="B5410" s="1">
        <f>IFERROR(__xludf.DUMMYFUNCTION("""COMPUTED_VALUE"""),1512.33)</f>
        <v>1512.33</v>
      </c>
      <c r="C5410" s="1">
        <f>IFERROR(__xludf.DUMMYFUNCTION("""COMPUTED_VALUE"""),1512.33)</f>
        <v>1512.33</v>
      </c>
      <c r="D5410" s="1">
        <f>IFERROR(__xludf.DUMMYFUNCTION("""COMPUTED_VALUE"""),1491.42)</f>
        <v>1491.42</v>
      </c>
      <c r="E5410" s="1">
        <f>IFERROR(__xludf.DUMMYFUNCTION("""COMPUTED_VALUE"""),1491.47)</f>
        <v>1491.47</v>
      </c>
      <c r="F5410" s="1">
        <f>IFERROR(__xludf.DUMMYFUNCTION("""COMPUTED_VALUE"""),3.03124E8)</f>
        <v>303124000</v>
      </c>
    </row>
    <row r="5411">
      <c r="A5411" s="2">
        <f>IFERROR(__xludf.DUMMYFUNCTION("""COMPUTED_VALUE"""),39213.666666666664)</f>
        <v>39213.66667</v>
      </c>
      <c r="B5411" s="1">
        <f>IFERROR(__xludf.DUMMYFUNCTION("""COMPUTED_VALUE"""),1491.47)</f>
        <v>1491.47</v>
      </c>
      <c r="C5411" s="1">
        <f>IFERROR(__xludf.DUMMYFUNCTION("""COMPUTED_VALUE"""),1506.24)</f>
        <v>1506.24</v>
      </c>
      <c r="D5411" s="1">
        <f>IFERROR(__xludf.DUMMYFUNCTION("""COMPUTED_VALUE"""),1491.47)</f>
        <v>1491.47</v>
      </c>
      <c r="E5411" s="1">
        <f>IFERROR(__xludf.DUMMYFUNCTION("""COMPUTED_VALUE"""),1505.85)</f>
        <v>1505.85</v>
      </c>
      <c r="F5411" s="1">
        <f>IFERROR(__xludf.DUMMYFUNCTION("""COMPUTED_VALUE"""),2.72078016E8)</f>
        <v>272078016</v>
      </c>
    </row>
    <row r="5412">
      <c r="A5412" s="2">
        <f>IFERROR(__xludf.DUMMYFUNCTION("""COMPUTED_VALUE"""),39216.666666666664)</f>
        <v>39216.66667</v>
      </c>
      <c r="B5412" s="1">
        <f>IFERROR(__xludf.DUMMYFUNCTION("""COMPUTED_VALUE"""),1505.76)</f>
        <v>1505.76</v>
      </c>
      <c r="C5412" s="1">
        <f>IFERROR(__xludf.DUMMYFUNCTION("""COMPUTED_VALUE"""),1510.9)</f>
        <v>1510.9</v>
      </c>
      <c r="D5412" s="1">
        <f>IFERROR(__xludf.DUMMYFUNCTION("""COMPUTED_VALUE"""),1498.34)</f>
        <v>1498.34</v>
      </c>
      <c r="E5412" s="1">
        <f>IFERROR(__xludf.DUMMYFUNCTION("""COMPUTED_VALUE"""),1503.15)</f>
        <v>1503.15</v>
      </c>
      <c r="F5412" s="1">
        <f>IFERROR(__xludf.DUMMYFUNCTION("""COMPUTED_VALUE"""),2.77612992E8)</f>
        <v>277612992</v>
      </c>
    </row>
    <row r="5413">
      <c r="A5413" s="2">
        <f>IFERROR(__xludf.DUMMYFUNCTION("""COMPUTED_VALUE"""),39217.666666666664)</f>
        <v>39217.66667</v>
      </c>
      <c r="B5413" s="1">
        <f>IFERROR(__xludf.DUMMYFUNCTION("""COMPUTED_VALUE"""),1503.11)</f>
        <v>1503.11</v>
      </c>
      <c r="C5413" s="1">
        <f>IFERROR(__xludf.DUMMYFUNCTION("""COMPUTED_VALUE"""),1514.83)</f>
        <v>1514.83</v>
      </c>
      <c r="D5413" s="1">
        <f>IFERROR(__xludf.DUMMYFUNCTION("""COMPUTED_VALUE"""),1500.43)</f>
        <v>1500.43</v>
      </c>
      <c r="E5413" s="1">
        <f>IFERROR(__xludf.DUMMYFUNCTION("""COMPUTED_VALUE"""),1501.19)</f>
        <v>1501.19</v>
      </c>
      <c r="F5413" s="1">
        <f>IFERROR(__xludf.DUMMYFUNCTION("""COMPUTED_VALUE"""),3.07102016E8)</f>
        <v>307102016</v>
      </c>
    </row>
    <row r="5414">
      <c r="A5414" s="2">
        <f>IFERROR(__xludf.DUMMYFUNCTION("""COMPUTED_VALUE"""),39218.666666666664)</f>
        <v>39218.66667</v>
      </c>
      <c r="B5414" s="1">
        <f>IFERROR(__xludf.DUMMYFUNCTION("""COMPUTED_VALUE"""),1500.75)</f>
        <v>1500.75</v>
      </c>
      <c r="C5414" s="1">
        <f>IFERROR(__xludf.DUMMYFUNCTION("""COMPUTED_VALUE"""),1514.15)</f>
        <v>1514.15</v>
      </c>
      <c r="D5414" s="1">
        <f>IFERROR(__xludf.DUMMYFUNCTION("""COMPUTED_VALUE"""),1500.75)</f>
        <v>1500.75</v>
      </c>
      <c r="E5414" s="1">
        <f>IFERROR(__xludf.DUMMYFUNCTION("""COMPUTED_VALUE"""),1514.14)</f>
        <v>1514.14</v>
      </c>
      <c r="F5414" s="1">
        <f>IFERROR(__xludf.DUMMYFUNCTION("""COMPUTED_VALUE"""),2.91535008E8)</f>
        <v>291535008</v>
      </c>
    </row>
    <row r="5415">
      <c r="A5415" s="2">
        <f>IFERROR(__xludf.DUMMYFUNCTION("""COMPUTED_VALUE"""),39219.666666666664)</f>
        <v>39219.66667</v>
      </c>
      <c r="B5415" s="1">
        <f>IFERROR(__xludf.DUMMYFUNCTION("""COMPUTED_VALUE"""),1514.01)</f>
        <v>1514.01</v>
      </c>
      <c r="C5415" s="1">
        <f>IFERROR(__xludf.DUMMYFUNCTION("""COMPUTED_VALUE"""),1517.14)</f>
        <v>1517.14</v>
      </c>
      <c r="D5415" s="1">
        <f>IFERROR(__xludf.DUMMYFUNCTION("""COMPUTED_VALUE"""),1509.29)</f>
        <v>1509.29</v>
      </c>
      <c r="E5415" s="1">
        <f>IFERROR(__xludf.DUMMYFUNCTION("""COMPUTED_VALUE"""),1512.75)</f>
        <v>1512.75</v>
      </c>
      <c r="F5415" s="1">
        <f>IFERROR(__xludf.DUMMYFUNCTION("""COMPUTED_VALUE"""),2.86864E8)</f>
        <v>286864000</v>
      </c>
    </row>
    <row r="5416">
      <c r="A5416" s="2">
        <f>IFERROR(__xludf.DUMMYFUNCTION("""COMPUTED_VALUE"""),39220.666666666664)</f>
        <v>39220.66667</v>
      </c>
      <c r="B5416" s="1">
        <f>IFERROR(__xludf.DUMMYFUNCTION("""COMPUTED_VALUE"""),1512.74)</f>
        <v>1512.74</v>
      </c>
      <c r="C5416" s="1">
        <f>IFERROR(__xludf.DUMMYFUNCTION("""COMPUTED_VALUE"""),1522.75)</f>
        <v>1522.75</v>
      </c>
      <c r="D5416" s="1">
        <f>IFERROR(__xludf.DUMMYFUNCTION("""COMPUTED_VALUE"""),1512.74)</f>
        <v>1512.74</v>
      </c>
      <c r="E5416" s="1">
        <f>IFERROR(__xludf.DUMMYFUNCTION("""COMPUTED_VALUE"""),1522.75)</f>
        <v>1522.75</v>
      </c>
      <c r="F5416" s="1">
        <f>IFERROR(__xludf.DUMMYFUNCTION("""COMPUTED_VALUE"""),2.95904992E8)</f>
        <v>295904992</v>
      </c>
    </row>
    <row r="5417">
      <c r="A5417" s="2">
        <f>IFERROR(__xludf.DUMMYFUNCTION("""COMPUTED_VALUE"""),39223.666666666664)</f>
        <v>39223.66667</v>
      </c>
      <c r="B5417" s="1">
        <f>IFERROR(__xludf.DUMMYFUNCTION("""COMPUTED_VALUE"""),1522.75)</f>
        <v>1522.75</v>
      </c>
      <c r="C5417" s="1">
        <f>IFERROR(__xludf.DUMMYFUNCTION("""COMPUTED_VALUE"""),1529.87)</f>
        <v>1529.87</v>
      </c>
      <c r="D5417" s="1">
        <f>IFERROR(__xludf.DUMMYFUNCTION("""COMPUTED_VALUE"""),1522.75)</f>
        <v>1522.75</v>
      </c>
      <c r="E5417" s="1">
        <f>IFERROR(__xludf.DUMMYFUNCTION("""COMPUTED_VALUE"""),1525.1)</f>
        <v>1525.1</v>
      </c>
      <c r="F5417" s="1">
        <f>IFERROR(__xludf.DUMMYFUNCTION("""COMPUTED_VALUE"""),3.46536E8)</f>
        <v>346536000</v>
      </c>
    </row>
    <row r="5418">
      <c r="A5418" s="2">
        <f>IFERROR(__xludf.DUMMYFUNCTION("""COMPUTED_VALUE"""),39224.666666666664)</f>
        <v>39224.66667</v>
      </c>
      <c r="B5418" s="1">
        <f>IFERROR(__xludf.DUMMYFUNCTION("""COMPUTED_VALUE"""),1525.1)</f>
        <v>1525.1</v>
      </c>
      <c r="C5418" s="1">
        <f>IFERROR(__xludf.DUMMYFUNCTION("""COMPUTED_VALUE"""),1529.24)</f>
        <v>1529.24</v>
      </c>
      <c r="D5418" s="1">
        <f>IFERROR(__xludf.DUMMYFUNCTION("""COMPUTED_VALUE"""),1522.05)</f>
        <v>1522.05</v>
      </c>
      <c r="E5418" s="1">
        <f>IFERROR(__xludf.DUMMYFUNCTION("""COMPUTED_VALUE"""),1524.12)</f>
        <v>1524.12</v>
      </c>
      <c r="F5418" s="1">
        <f>IFERROR(__xludf.DUMMYFUNCTION("""COMPUTED_VALUE"""),2.86049984E8)</f>
        <v>286049984</v>
      </c>
    </row>
    <row r="5419">
      <c r="A5419" s="2">
        <f>IFERROR(__xludf.DUMMYFUNCTION("""COMPUTED_VALUE"""),39225.666666666664)</f>
        <v>39225.66667</v>
      </c>
      <c r="B5419" s="1">
        <f>IFERROR(__xludf.DUMMYFUNCTION("""COMPUTED_VALUE"""),1524.09)</f>
        <v>1524.09</v>
      </c>
      <c r="C5419" s="1">
        <f>IFERROR(__xludf.DUMMYFUNCTION("""COMPUTED_VALUE"""),1532.43)</f>
        <v>1532.43</v>
      </c>
      <c r="D5419" s="1">
        <f>IFERROR(__xludf.DUMMYFUNCTION("""COMPUTED_VALUE"""),1521.9)</f>
        <v>1521.9</v>
      </c>
      <c r="E5419" s="1">
        <f>IFERROR(__xludf.DUMMYFUNCTION("""COMPUTED_VALUE"""),1522.28)</f>
        <v>1522.28</v>
      </c>
      <c r="F5419" s="1">
        <f>IFERROR(__xludf.DUMMYFUNCTION("""COMPUTED_VALUE"""),3.08425984E8)</f>
        <v>308425984</v>
      </c>
    </row>
    <row r="5420">
      <c r="A5420" s="2">
        <f>IFERROR(__xludf.DUMMYFUNCTION("""COMPUTED_VALUE"""),39226.666666666664)</f>
        <v>39226.66667</v>
      </c>
      <c r="B5420" s="1">
        <f>IFERROR(__xludf.DUMMYFUNCTION("""COMPUTED_VALUE"""),1522.1)</f>
        <v>1522.1</v>
      </c>
      <c r="C5420" s="1">
        <f>IFERROR(__xludf.DUMMYFUNCTION("""COMPUTED_VALUE"""),1529.31)</f>
        <v>1529.31</v>
      </c>
      <c r="D5420" s="1">
        <f>IFERROR(__xludf.DUMMYFUNCTION("""COMPUTED_VALUE"""),1505.18)</f>
        <v>1505.18</v>
      </c>
      <c r="E5420" s="1">
        <f>IFERROR(__xludf.DUMMYFUNCTION("""COMPUTED_VALUE"""),1507.51)</f>
        <v>1507.51</v>
      </c>
      <c r="F5420" s="1">
        <f>IFERROR(__xludf.DUMMYFUNCTION("""COMPUTED_VALUE"""),3.36552992E8)</f>
        <v>336552992</v>
      </c>
    </row>
    <row r="5421">
      <c r="A5421" s="2">
        <f>IFERROR(__xludf.DUMMYFUNCTION("""COMPUTED_VALUE"""),39227.666666666664)</f>
        <v>39227.66667</v>
      </c>
      <c r="B5421" s="1">
        <f>IFERROR(__xludf.DUMMYFUNCTION("""COMPUTED_VALUE"""),1507.5)</f>
        <v>1507.5</v>
      </c>
      <c r="C5421" s="1">
        <f>IFERROR(__xludf.DUMMYFUNCTION("""COMPUTED_VALUE"""),1517.41)</f>
        <v>1517.41</v>
      </c>
      <c r="D5421" s="1">
        <f>IFERROR(__xludf.DUMMYFUNCTION("""COMPUTED_VALUE"""),1507.5)</f>
        <v>1507.5</v>
      </c>
      <c r="E5421" s="1">
        <f>IFERROR(__xludf.DUMMYFUNCTION("""COMPUTED_VALUE"""),1515.73)</f>
        <v>1515.73</v>
      </c>
      <c r="F5421" s="1">
        <f>IFERROR(__xludf.DUMMYFUNCTION("""COMPUTED_VALUE"""),2.31624992E8)</f>
        <v>231624992</v>
      </c>
    </row>
    <row r="5422">
      <c r="A5422" s="2">
        <f>IFERROR(__xludf.DUMMYFUNCTION("""COMPUTED_VALUE"""),39231.666666666664)</f>
        <v>39231.66667</v>
      </c>
      <c r="B5422" s="1">
        <f>IFERROR(__xludf.DUMMYFUNCTION("""COMPUTED_VALUE"""),1515.55)</f>
        <v>1515.55</v>
      </c>
      <c r="C5422" s="1">
        <f>IFERROR(__xludf.DUMMYFUNCTION("""COMPUTED_VALUE"""),1521.8)</f>
        <v>1521.8</v>
      </c>
      <c r="D5422" s="1">
        <f>IFERROR(__xludf.DUMMYFUNCTION("""COMPUTED_VALUE"""),1512.02)</f>
        <v>1512.02</v>
      </c>
      <c r="E5422" s="1">
        <f>IFERROR(__xludf.DUMMYFUNCTION("""COMPUTED_VALUE"""),1518.11)</f>
        <v>1518.11</v>
      </c>
      <c r="F5422" s="1">
        <f>IFERROR(__xludf.DUMMYFUNCTION("""COMPUTED_VALUE"""),2.57179008E8)</f>
        <v>257179008</v>
      </c>
    </row>
    <row r="5423">
      <c r="A5423" s="2">
        <f>IFERROR(__xludf.DUMMYFUNCTION("""COMPUTED_VALUE"""),39232.666666666664)</f>
        <v>39232.66667</v>
      </c>
      <c r="B5423" s="1">
        <f>IFERROR(__xludf.DUMMYFUNCTION("""COMPUTED_VALUE"""),1517.6)</f>
        <v>1517.6</v>
      </c>
      <c r="C5423" s="1">
        <f>IFERROR(__xludf.DUMMYFUNCTION("""COMPUTED_VALUE"""),1530.23)</f>
        <v>1530.23</v>
      </c>
      <c r="D5423" s="1">
        <f>IFERROR(__xludf.DUMMYFUNCTION("""COMPUTED_VALUE"""),1510.06)</f>
        <v>1510.06</v>
      </c>
      <c r="E5423" s="1">
        <f>IFERROR(__xludf.DUMMYFUNCTION("""COMPUTED_VALUE"""),1530.23)</f>
        <v>1530.23</v>
      </c>
      <c r="F5423" s="1">
        <f>IFERROR(__xludf.DUMMYFUNCTION("""COMPUTED_VALUE"""),2.98020992E8)</f>
        <v>298020992</v>
      </c>
    </row>
    <row r="5424">
      <c r="A5424" s="2">
        <f>IFERROR(__xludf.DUMMYFUNCTION("""COMPUTED_VALUE"""),39233.666666666664)</f>
        <v>39233.66667</v>
      </c>
      <c r="B5424" s="1">
        <f>IFERROR(__xludf.DUMMYFUNCTION("""COMPUTED_VALUE"""),1530.19)</f>
        <v>1530.19</v>
      </c>
      <c r="C5424" s="1">
        <f>IFERROR(__xludf.DUMMYFUNCTION("""COMPUTED_VALUE"""),1535.56)</f>
        <v>1535.56</v>
      </c>
      <c r="D5424" s="1">
        <f>IFERROR(__xludf.DUMMYFUNCTION("""COMPUTED_VALUE"""),1528.26)</f>
        <v>1528.26</v>
      </c>
      <c r="E5424" s="1">
        <f>IFERROR(__xludf.DUMMYFUNCTION("""COMPUTED_VALUE"""),1530.62)</f>
        <v>1530.62</v>
      </c>
      <c r="F5424" s="1">
        <f>IFERROR(__xludf.DUMMYFUNCTION("""COMPUTED_VALUE"""),3.33552992E8)</f>
        <v>333552992</v>
      </c>
    </row>
    <row r="5425">
      <c r="A5425" s="2">
        <f>IFERROR(__xludf.DUMMYFUNCTION("""COMPUTED_VALUE"""),39234.666666666664)</f>
        <v>39234.66667</v>
      </c>
      <c r="B5425" s="1">
        <f>IFERROR(__xludf.DUMMYFUNCTION("""COMPUTED_VALUE"""),1530.62)</f>
        <v>1530.62</v>
      </c>
      <c r="C5425" s="1">
        <f>IFERROR(__xludf.DUMMYFUNCTION("""COMPUTED_VALUE"""),1540.56)</f>
        <v>1540.56</v>
      </c>
      <c r="D5425" s="1">
        <f>IFERROR(__xludf.DUMMYFUNCTION("""COMPUTED_VALUE"""),1530.62)</f>
        <v>1530.62</v>
      </c>
      <c r="E5425" s="1">
        <f>IFERROR(__xludf.DUMMYFUNCTION("""COMPUTED_VALUE"""),1536.34)</f>
        <v>1536.34</v>
      </c>
      <c r="F5425" s="1">
        <f>IFERROR(__xludf.DUMMYFUNCTION("""COMPUTED_VALUE"""),2.92702016E8)</f>
        <v>292702016</v>
      </c>
    </row>
    <row r="5426">
      <c r="A5426" s="2">
        <f>IFERROR(__xludf.DUMMYFUNCTION("""COMPUTED_VALUE"""),39237.666666666664)</f>
        <v>39237.66667</v>
      </c>
      <c r="B5426" s="1">
        <f>IFERROR(__xludf.DUMMYFUNCTION("""COMPUTED_VALUE"""),1536.28)</f>
        <v>1536.28</v>
      </c>
      <c r="C5426" s="1">
        <f>IFERROR(__xludf.DUMMYFUNCTION("""COMPUTED_VALUE"""),1540.53)</f>
        <v>1540.53</v>
      </c>
      <c r="D5426" s="1">
        <f>IFERROR(__xludf.DUMMYFUNCTION("""COMPUTED_VALUE"""),1532.31)</f>
        <v>1532.31</v>
      </c>
      <c r="E5426" s="1">
        <f>IFERROR(__xludf.DUMMYFUNCTION("""COMPUTED_VALUE"""),1539.18)</f>
        <v>1539.18</v>
      </c>
      <c r="F5426" s="1">
        <f>IFERROR(__xludf.DUMMYFUNCTION("""COMPUTED_VALUE"""),2.73892992E8)</f>
        <v>273892992</v>
      </c>
    </row>
    <row r="5427">
      <c r="A5427" s="2">
        <f>IFERROR(__xludf.DUMMYFUNCTION("""COMPUTED_VALUE"""),39238.666666666664)</f>
        <v>39238.66667</v>
      </c>
      <c r="B5427" s="1">
        <f>IFERROR(__xludf.DUMMYFUNCTION("""COMPUTED_VALUE"""),1539.12)</f>
        <v>1539.12</v>
      </c>
      <c r="C5427" s="1">
        <f>IFERROR(__xludf.DUMMYFUNCTION("""COMPUTED_VALUE"""),1539.12)</f>
        <v>1539.12</v>
      </c>
      <c r="D5427" s="1">
        <f>IFERROR(__xludf.DUMMYFUNCTION("""COMPUTED_VALUE"""),1525.62)</f>
        <v>1525.62</v>
      </c>
      <c r="E5427" s="1">
        <f>IFERROR(__xludf.DUMMYFUNCTION("""COMPUTED_VALUE"""),1530.95)</f>
        <v>1530.95</v>
      </c>
      <c r="F5427" s="1">
        <f>IFERROR(__xludf.DUMMYFUNCTION("""COMPUTED_VALUE"""),2.93944992E8)</f>
        <v>293944992</v>
      </c>
    </row>
    <row r="5428">
      <c r="A5428" s="2">
        <f>IFERROR(__xludf.DUMMYFUNCTION("""COMPUTED_VALUE"""),39239.666666666664)</f>
        <v>39239.66667</v>
      </c>
      <c r="B5428" s="1">
        <f>IFERROR(__xludf.DUMMYFUNCTION("""COMPUTED_VALUE"""),1530.57)</f>
        <v>1530.57</v>
      </c>
      <c r="C5428" s="1">
        <f>IFERROR(__xludf.DUMMYFUNCTION("""COMPUTED_VALUE"""),1530.57)</f>
        <v>1530.57</v>
      </c>
      <c r="D5428" s="1">
        <f>IFERROR(__xludf.DUMMYFUNCTION("""COMPUTED_VALUE"""),1514.13)</f>
        <v>1514.13</v>
      </c>
      <c r="E5428" s="1">
        <f>IFERROR(__xludf.DUMMYFUNCTION("""COMPUTED_VALUE"""),1517.38)</f>
        <v>1517.38</v>
      </c>
      <c r="F5428" s="1">
        <f>IFERROR(__xludf.DUMMYFUNCTION("""COMPUTED_VALUE"""),2.96419008E8)</f>
        <v>296419008</v>
      </c>
    </row>
    <row r="5429">
      <c r="A5429" s="2">
        <f>IFERROR(__xludf.DUMMYFUNCTION("""COMPUTED_VALUE"""),39240.666666666664)</f>
        <v>39240.66667</v>
      </c>
      <c r="B5429" s="1">
        <f>IFERROR(__xludf.DUMMYFUNCTION("""COMPUTED_VALUE"""),1517.36)</f>
        <v>1517.36</v>
      </c>
      <c r="C5429" s="1">
        <f>IFERROR(__xludf.DUMMYFUNCTION("""COMPUTED_VALUE"""),1517.36)</f>
        <v>1517.36</v>
      </c>
      <c r="D5429" s="1">
        <f>IFERROR(__xludf.DUMMYFUNCTION("""COMPUTED_VALUE"""),1490.37)</f>
        <v>1490.37</v>
      </c>
      <c r="E5429" s="1">
        <f>IFERROR(__xludf.DUMMYFUNCTION("""COMPUTED_VALUE"""),1490.72)</f>
        <v>1490.72</v>
      </c>
      <c r="F5429" s="1">
        <f>IFERROR(__xludf.DUMMYFUNCTION("""COMPUTED_VALUE"""),3.53847008E8)</f>
        <v>353847008</v>
      </c>
    </row>
    <row r="5430">
      <c r="A5430" s="2">
        <f>IFERROR(__xludf.DUMMYFUNCTION("""COMPUTED_VALUE"""),39241.666666666664)</f>
        <v>39241.66667</v>
      </c>
      <c r="B5430" s="1">
        <f>IFERROR(__xludf.DUMMYFUNCTION("""COMPUTED_VALUE"""),1490.71)</f>
        <v>1490.71</v>
      </c>
      <c r="C5430" s="1">
        <f>IFERROR(__xludf.DUMMYFUNCTION("""COMPUTED_VALUE"""),1507.76)</f>
        <v>1507.76</v>
      </c>
      <c r="D5430" s="1">
        <f>IFERROR(__xludf.DUMMYFUNCTION("""COMPUTED_VALUE"""),1487.41)</f>
        <v>1487.41</v>
      </c>
      <c r="E5430" s="1">
        <f>IFERROR(__xludf.DUMMYFUNCTION("""COMPUTED_VALUE"""),1507.67)</f>
        <v>1507.67</v>
      </c>
      <c r="F5430" s="1">
        <f>IFERROR(__xludf.DUMMYFUNCTION("""COMPUTED_VALUE"""),2.99345984E8)</f>
        <v>299345984</v>
      </c>
    </row>
    <row r="5431">
      <c r="A5431" s="2">
        <f>IFERROR(__xludf.DUMMYFUNCTION("""COMPUTED_VALUE"""),39244.666666666664)</f>
        <v>39244.66667</v>
      </c>
      <c r="B5431" s="1">
        <f>IFERROR(__xludf.DUMMYFUNCTION("""COMPUTED_VALUE"""),1507.64)</f>
        <v>1507.64</v>
      </c>
      <c r="C5431" s="1">
        <f>IFERROR(__xludf.DUMMYFUNCTION("""COMPUTED_VALUE"""),1515.53)</f>
        <v>1515.53</v>
      </c>
      <c r="D5431" s="1">
        <f>IFERROR(__xludf.DUMMYFUNCTION("""COMPUTED_VALUE"""),1503.35)</f>
        <v>1503.35</v>
      </c>
      <c r="E5431" s="1">
        <f>IFERROR(__xludf.DUMMYFUNCTION("""COMPUTED_VALUE"""),1509.12)</f>
        <v>1509.12</v>
      </c>
      <c r="F5431" s="1">
        <f>IFERROR(__xludf.DUMMYFUNCTION("""COMPUTED_VALUE"""),2.52528E8)</f>
        <v>252528000</v>
      </c>
    </row>
    <row r="5432">
      <c r="A5432" s="2">
        <f>IFERROR(__xludf.DUMMYFUNCTION("""COMPUTED_VALUE"""),39245.666666666664)</f>
        <v>39245.66667</v>
      </c>
      <c r="B5432" s="1">
        <f>IFERROR(__xludf.DUMMYFUNCTION("""COMPUTED_VALUE"""),1509.12)</f>
        <v>1509.12</v>
      </c>
      <c r="C5432" s="1">
        <f>IFERROR(__xludf.DUMMYFUNCTION("""COMPUTED_VALUE"""),1511.33)</f>
        <v>1511.33</v>
      </c>
      <c r="D5432" s="1">
        <f>IFERROR(__xludf.DUMMYFUNCTION("""COMPUTED_VALUE"""),1492.97)</f>
        <v>1492.97</v>
      </c>
      <c r="E5432" s="1">
        <f>IFERROR(__xludf.DUMMYFUNCTION("""COMPUTED_VALUE"""),1493.0)</f>
        <v>1493</v>
      </c>
      <c r="F5432" s="1">
        <f>IFERROR(__xludf.DUMMYFUNCTION("""COMPUTED_VALUE"""),3.0562E8)</f>
        <v>305620000</v>
      </c>
    </row>
    <row r="5433">
      <c r="A5433" s="2">
        <f>IFERROR(__xludf.DUMMYFUNCTION("""COMPUTED_VALUE"""),39246.666666666664)</f>
        <v>39246.66667</v>
      </c>
      <c r="B5433" s="1">
        <f>IFERROR(__xludf.DUMMYFUNCTION("""COMPUTED_VALUE"""),1492.65)</f>
        <v>1492.65</v>
      </c>
      <c r="C5433" s="1">
        <f>IFERROR(__xludf.DUMMYFUNCTION("""COMPUTED_VALUE"""),1515.7)</f>
        <v>1515.7</v>
      </c>
      <c r="D5433" s="1">
        <f>IFERROR(__xludf.DUMMYFUNCTION("""COMPUTED_VALUE"""),1492.65)</f>
        <v>1492.65</v>
      </c>
      <c r="E5433" s="1">
        <f>IFERROR(__xludf.DUMMYFUNCTION("""COMPUTED_VALUE"""),1515.67)</f>
        <v>1515.67</v>
      </c>
      <c r="F5433" s="1">
        <f>IFERROR(__xludf.DUMMYFUNCTION("""COMPUTED_VALUE"""),3.07792992E8)</f>
        <v>307792992</v>
      </c>
    </row>
    <row r="5434">
      <c r="A5434" s="2">
        <f>IFERROR(__xludf.DUMMYFUNCTION("""COMPUTED_VALUE"""),39247.666666666664)</f>
        <v>39247.66667</v>
      </c>
      <c r="B5434" s="1">
        <f>IFERROR(__xludf.DUMMYFUNCTION("""COMPUTED_VALUE"""),1515.58)</f>
        <v>1515.58</v>
      </c>
      <c r="C5434" s="1">
        <f>IFERROR(__xludf.DUMMYFUNCTION("""COMPUTED_VALUE"""),1526.45)</f>
        <v>1526.45</v>
      </c>
      <c r="D5434" s="1">
        <f>IFERROR(__xludf.DUMMYFUNCTION("""COMPUTED_VALUE"""),1515.58)</f>
        <v>1515.58</v>
      </c>
      <c r="E5434" s="1">
        <f>IFERROR(__xludf.DUMMYFUNCTION("""COMPUTED_VALUE"""),1522.97)</f>
        <v>1522.97</v>
      </c>
      <c r="F5434" s="1">
        <f>IFERROR(__xludf.DUMMYFUNCTION("""COMPUTED_VALUE"""),2.81363008E8)</f>
        <v>281363008</v>
      </c>
    </row>
    <row r="5435">
      <c r="A5435" s="2">
        <f>IFERROR(__xludf.DUMMYFUNCTION("""COMPUTED_VALUE"""),39248.666666666664)</f>
        <v>39248.66667</v>
      </c>
      <c r="B5435" s="1">
        <f>IFERROR(__xludf.DUMMYFUNCTION("""COMPUTED_VALUE"""),1522.97)</f>
        <v>1522.97</v>
      </c>
      <c r="C5435" s="1">
        <f>IFERROR(__xludf.DUMMYFUNCTION("""COMPUTED_VALUE"""),1538.71)</f>
        <v>1538.71</v>
      </c>
      <c r="D5435" s="1">
        <f>IFERROR(__xludf.DUMMYFUNCTION("""COMPUTED_VALUE"""),1522.97)</f>
        <v>1522.97</v>
      </c>
      <c r="E5435" s="1">
        <f>IFERROR(__xludf.DUMMYFUNCTION("""COMPUTED_VALUE"""),1532.91)</f>
        <v>1532.91</v>
      </c>
      <c r="F5435" s="1">
        <f>IFERROR(__xludf.DUMMYFUNCTION("""COMPUTED_VALUE"""),3.40603008E8)</f>
        <v>340603008</v>
      </c>
    </row>
    <row r="5436">
      <c r="A5436" s="2">
        <f>IFERROR(__xludf.DUMMYFUNCTION("""COMPUTED_VALUE"""),39251.666666666664)</f>
        <v>39251.66667</v>
      </c>
      <c r="B5436" s="1">
        <f>IFERROR(__xludf.DUMMYFUNCTION("""COMPUTED_VALUE"""),1532.9)</f>
        <v>1532.9</v>
      </c>
      <c r="C5436" s="1">
        <f>IFERROR(__xludf.DUMMYFUNCTION("""COMPUTED_VALUE"""),1535.44)</f>
        <v>1535.44</v>
      </c>
      <c r="D5436" s="1">
        <f>IFERROR(__xludf.DUMMYFUNCTION("""COMPUTED_VALUE"""),1529.31)</f>
        <v>1529.31</v>
      </c>
      <c r="E5436" s="1">
        <f>IFERROR(__xludf.DUMMYFUNCTION("""COMPUTED_VALUE"""),1531.05)</f>
        <v>1531.05</v>
      </c>
      <c r="F5436" s="1">
        <f>IFERROR(__xludf.DUMMYFUNCTION("""COMPUTED_VALUE"""),2.48024E8)</f>
        <v>248024000</v>
      </c>
    </row>
    <row r="5437">
      <c r="A5437" s="2">
        <f>IFERROR(__xludf.DUMMYFUNCTION("""COMPUTED_VALUE"""),39252.666666666664)</f>
        <v>39252.66667</v>
      </c>
      <c r="B5437" s="1">
        <f>IFERROR(__xludf.DUMMYFUNCTION("""COMPUTED_VALUE"""),1531.02)</f>
        <v>1531.02</v>
      </c>
      <c r="C5437" s="1">
        <f>IFERROR(__xludf.DUMMYFUNCTION("""COMPUTED_VALUE"""),1535.85)</f>
        <v>1535.85</v>
      </c>
      <c r="D5437" s="1">
        <f>IFERROR(__xludf.DUMMYFUNCTION("""COMPUTED_VALUE"""),1525.67)</f>
        <v>1525.67</v>
      </c>
      <c r="E5437" s="1">
        <f>IFERROR(__xludf.DUMMYFUNCTION("""COMPUTED_VALUE"""),1533.7)</f>
        <v>1533.7</v>
      </c>
      <c r="F5437" s="1">
        <f>IFERROR(__xludf.DUMMYFUNCTION("""COMPUTED_VALUE"""),2.87359008E8)</f>
        <v>287359008</v>
      </c>
    </row>
    <row r="5438">
      <c r="A5438" s="2">
        <f>IFERROR(__xludf.DUMMYFUNCTION("""COMPUTED_VALUE"""),39253.666666666664)</f>
        <v>39253.66667</v>
      </c>
      <c r="B5438" s="1">
        <f>IFERROR(__xludf.DUMMYFUNCTION("""COMPUTED_VALUE"""),1533.68)</f>
        <v>1533.68</v>
      </c>
      <c r="C5438" s="1">
        <f>IFERROR(__xludf.DUMMYFUNCTION("""COMPUTED_VALUE"""),1537.32)</f>
        <v>1537.32</v>
      </c>
      <c r="D5438" s="1">
        <f>IFERROR(__xludf.DUMMYFUNCTION("""COMPUTED_VALUE"""),1512.36)</f>
        <v>1512.36</v>
      </c>
      <c r="E5438" s="1">
        <f>IFERROR(__xludf.DUMMYFUNCTION("""COMPUTED_VALUE"""),1512.84)</f>
        <v>1512.84</v>
      </c>
      <c r="F5438" s="1">
        <f>IFERROR(__xludf.DUMMYFUNCTION("""COMPUTED_VALUE"""),3.28689984E8)</f>
        <v>328689984</v>
      </c>
    </row>
    <row r="5439">
      <c r="A5439" s="2">
        <f>IFERROR(__xludf.DUMMYFUNCTION("""COMPUTED_VALUE"""),39254.666666666664)</f>
        <v>39254.66667</v>
      </c>
      <c r="B5439" s="1">
        <f>IFERROR(__xludf.DUMMYFUNCTION("""COMPUTED_VALUE"""),1512.5)</f>
        <v>1512.5</v>
      </c>
      <c r="C5439" s="1">
        <f>IFERROR(__xludf.DUMMYFUNCTION("""COMPUTED_VALUE"""),1522.9)</f>
        <v>1522.9</v>
      </c>
      <c r="D5439" s="1">
        <f>IFERROR(__xludf.DUMMYFUNCTION("""COMPUTED_VALUE"""),1504.75)</f>
        <v>1504.75</v>
      </c>
      <c r="E5439" s="1">
        <f>IFERROR(__xludf.DUMMYFUNCTION("""COMPUTED_VALUE"""),1522.19)</f>
        <v>1522.19</v>
      </c>
      <c r="F5439" s="1">
        <f>IFERROR(__xludf.DUMMYFUNCTION("""COMPUTED_VALUE"""),3.16111008E8)</f>
        <v>316111008</v>
      </c>
    </row>
    <row r="5440">
      <c r="A5440" s="2">
        <f>IFERROR(__xludf.DUMMYFUNCTION("""COMPUTED_VALUE"""),39255.666666666664)</f>
        <v>39255.66667</v>
      </c>
      <c r="B5440" s="1">
        <f>IFERROR(__xludf.DUMMYFUNCTION("""COMPUTED_VALUE"""),1522.19)</f>
        <v>1522.19</v>
      </c>
      <c r="C5440" s="1">
        <f>IFERROR(__xludf.DUMMYFUNCTION("""COMPUTED_VALUE"""),1522.19)</f>
        <v>1522.19</v>
      </c>
      <c r="D5440" s="1">
        <f>IFERROR(__xludf.DUMMYFUNCTION("""COMPUTED_VALUE"""),1500.74)</f>
        <v>1500.74</v>
      </c>
      <c r="E5440" s="1">
        <f>IFERROR(__xludf.DUMMYFUNCTION("""COMPUTED_VALUE"""),1502.56)</f>
        <v>1502.56</v>
      </c>
      <c r="F5440" s="1">
        <f>IFERROR(__xludf.DUMMYFUNCTION("""COMPUTED_VALUE"""),4.28432E8)</f>
        <v>428432000</v>
      </c>
    </row>
    <row r="5441">
      <c r="A5441" s="2">
        <f>IFERROR(__xludf.DUMMYFUNCTION("""COMPUTED_VALUE"""),39258.666666666664)</f>
        <v>39258.66667</v>
      </c>
      <c r="B5441" s="1">
        <f>IFERROR(__xludf.DUMMYFUNCTION("""COMPUTED_VALUE"""),1502.56)</f>
        <v>1502.56</v>
      </c>
      <c r="C5441" s="1">
        <f>IFERROR(__xludf.DUMMYFUNCTION("""COMPUTED_VALUE"""),1514.29)</f>
        <v>1514.29</v>
      </c>
      <c r="D5441" s="1">
        <f>IFERROR(__xludf.DUMMYFUNCTION("""COMPUTED_VALUE"""),1492.68)</f>
        <v>1492.68</v>
      </c>
      <c r="E5441" s="1">
        <f>IFERROR(__xludf.DUMMYFUNCTION("""COMPUTED_VALUE"""),1497.74)</f>
        <v>1497.74</v>
      </c>
      <c r="F5441" s="1">
        <f>IFERROR(__xludf.DUMMYFUNCTION("""COMPUTED_VALUE"""),3.28724992E8)</f>
        <v>328724992</v>
      </c>
    </row>
    <row r="5442">
      <c r="A5442" s="2">
        <f>IFERROR(__xludf.DUMMYFUNCTION("""COMPUTED_VALUE"""),39259.666666666664)</f>
        <v>39259.66667</v>
      </c>
      <c r="B5442" s="1">
        <f>IFERROR(__xludf.DUMMYFUNCTION("""COMPUTED_VALUE"""),1497.68)</f>
        <v>1497.68</v>
      </c>
      <c r="C5442" s="1">
        <f>IFERROR(__xludf.DUMMYFUNCTION("""COMPUTED_VALUE"""),1506.12)</f>
        <v>1506.12</v>
      </c>
      <c r="D5442" s="1">
        <f>IFERROR(__xludf.DUMMYFUNCTION("""COMPUTED_VALUE"""),1490.54)</f>
        <v>1490.54</v>
      </c>
      <c r="E5442" s="1">
        <f>IFERROR(__xludf.DUMMYFUNCTION("""COMPUTED_VALUE"""),1492.89)</f>
        <v>1492.89</v>
      </c>
      <c r="F5442" s="1">
        <f>IFERROR(__xludf.DUMMYFUNCTION("""COMPUTED_VALUE"""),3.39852992E8)</f>
        <v>339852992</v>
      </c>
    </row>
    <row r="5443">
      <c r="A5443" s="2">
        <f>IFERROR(__xludf.DUMMYFUNCTION("""COMPUTED_VALUE"""),39260.666666666664)</f>
        <v>39260.66667</v>
      </c>
      <c r="B5443" s="1">
        <f>IFERROR(__xludf.DUMMYFUNCTION("""COMPUTED_VALUE"""),1492.62)</f>
        <v>1492.62</v>
      </c>
      <c r="C5443" s="1">
        <f>IFERROR(__xludf.DUMMYFUNCTION("""COMPUTED_VALUE"""),1506.8)</f>
        <v>1506.8</v>
      </c>
      <c r="D5443" s="1">
        <f>IFERROR(__xludf.DUMMYFUNCTION("""COMPUTED_VALUE"""),1484.18)</f>
        <v>1484.18</v>
      </c>
      <c r="E5443" s="1">
        <f>IFERROR(__xludf.DUMMYFUNCTION("""COMPUTED_VALUE"""),1506.34)</f>
        <v>1506.34</v>
      </c>
      <c r="F5443" s="1">
        <f>IFERROR(__xludf.DUMMYFUNCTION("""COMPUTED_VALUE"""),3.39815008E8)</f>
        <v>339815008</v>
      </c>
    </row>
    <row r="5444">
      <c r="A5444" s="2">
        <f>IFERROR(__xludf.DUMMYFUNCTION("""COMPUTED_VALUE"""),39261.666666666664)</f>
        <v>39261.66667</v>
      </c>
      <c r="B5444" s="1">
        <f>IFERROR(__xludf.DUMMYFUNCTION("""COMPUTED_VALUE"""),1506.32)</f>
        <v>1506.32</v>
      </c>
      <c r="C5444" s="1">
        <f>IFERROR(__xludf.DUMMYFUNCTION("""COMPUTED_VALUE"""),1514.84)</f>
        <v>1514.84</v>
      </c>
      <c r="D5444" s="1">
        <f>IFERROR(__xludf.DUMMYFUNCTION("""COMPUTED_VALUE"""),1503.41)</f>
        <v>1503.41</v>
      </c>
      <c r="E5444" s="1">
        <f>IFERROR(__xludf.DUMMYFUNCTION("""COMPUTED_VALUE"""),1505.71)</f>
        <v>1505.71</v>
      </c>
      <c r="F5444" s="1">
        <f>IFERROR(__xludf.DUMMYFUNCTION("""COMPUTED_VALUE"""),3.00671008E8)</f>
        <v>300671008</v>
      </c>
    </row>
    <row r="5445">
      <c r="A5445" s="2">
        <f>IFERROR(__xludf.DUMMYFUNCTION("""COMPUTED_VALUE"""),39262.666666666664)</f>
        <v>39262.66667</v>
      </c>
      <c r="B5445" s="1">
        <f>IFERROR(__xludf.DUMMYFUNCTION("""COMPUTED_VALUE"""),1505.7)</f>
        <v>1505.7</v>
      </c>
      <c r="C5445" s="1">
        <f>IFERROR(__xludf.DUMMYFUNCTION("""COMPUTED_VALUE"""),1517.53)</f>
        <v>1517.53</v>
      </c>
      <c r="D5445" s="1">
        <f>IFERROR(__xludf.DUMMYFUNCTION("""COMPUTED_VALUE"""),1493.61)</f>
        <v>1493.61</v>
      </c>
      <c r="E5445" s="1">
        <f>IFERROR(__xludf.DUMMYFUNCTION("""COMPUTED_VALUE"""),1503.35)</f>
        <v>1503.35</v>
      </c>
      <c r="F5445" s="1">
        <f>IFERROR(__xludf.DUMMYFUNCTION("""COMPUTED_VALUE"""),3.16540992E8)</f>
        <v>316540992</v>
      </c>
    </row>
    <row r="5446">
      <c r="A5446" s="2">
        <f>IFERROR(__xludf.DUMMYFUNCTION("""COMPUTED_VALUE"""),39265.666666666664)</f>
        <v>39265.66667</v>
      </c>
      <c r="B5446" s="1">
        <f>IFERROR(__xludf.DUMMYFUNCTION("""COMPUTED_VALUE"""),1504.66)</f>
        <v>1504.66</v>
      </c>
      <c r="C5446" s="1">
        <f>IFERROR(__xludf.DUMMYFUNCTION("""COMPUTED_VALUE"""),1519.45)</f>
        <v>1519.45</v>
      </c>
      <c r="D5446" s="1">
        <f>IFERROR(__xludf.DUMMYFUNCTION("""COMPUTED_VALUE"""),1504.66)</f>
        <v>1504.66</v>
      </c>
      <c r="E5446" s="1">
        <f>IFERROR(__xludf.DUMMYFUNCTION("""COMPUTED_VALUE"""),1519.43)</f>
        <v>1519.43</v>
      </c>
      <c r="F5446" s="1">
        <f>IFERROR(__xludf.DUMMYFUNCTION("""COMPUTED_VALUE"""),2.64499008E8)</f>
        <v>264499008</v>
      </c>
    </row>
    <row r="5447">
      <c r="A5447" s="2">
        <f>IFERROR(__xludf.DUMMYFUNCTION("""COMPUTED_VALUE"""),39266.666666666664)</f>
        <v>39266.66667</v>
      </c>
      <c r="B5447" s="1">
        <f>IFERROR(__xludf.DUMMYFUNCTION("""COMPUTED_VALUE"""),1519.12)</f>
        <v>1519.12</v>
      </c>
      <c r="C5447" s="1">
        <f>IFERROR(__xludf.DUMMYFUNCTION("""COMPUTED_VALUE"""),1526.01)</f>
        <v>1526.01</v>
      </c>
      <c r="D5447" s="1">
        <f>IFERROR(__xludf.DUMMYFUNCTION("""COMPUTED_VALUE"""),1519.12)</f>
        <v>1519.12</v>
      </c>
      <c r="E5447" s="1">
        <f>IFERROR(__xludf.DUMMYFUNCTION("""COMPUTED_VALUE"""),1524.87)</f>
        <v>1524.87</v>
      </c>
      <c r="F5447" s="1">
        <f>IFERROR(__xludf.DUMMYFUNCTION("""COMPUTED_VALUE"""),1.56079008E8)</f>
        <v>156079008</v>
      </c>
    </row>
    <row r="5448">
      <c r="A5448" s="2">
        <f>IFERROR(__xludf.DUMMYFUNCTION("""COMPUTED_VALUE"""),39268.666666666664)</f>
        <v>39268.66667</v>
      </c>
      <c r="B5448" s="1">
        <f>IFERROR(__xludf.DUMMYFUNCTION("""COMPUTED_VALUE"""),1524.86)</f>
        <v>1524.86</v>
      </c>
      <c r="C5448" s="1">
        <f>IFERROR(__xludf.DUMMYFUNCTION("""COMPUTED_VALUE"""),1526.57)</f>
        <v>1526.57</v>
      </c>
      <c r="D5448" s="1">
        <f>IFERROR(__xludf.DUMMYFUNCTION("""COMPUTED_VALUE"""),1517.72)</f>
        <v>1517.72</v>
      </c>
      <c r="E5448" s="1">
        <f>IFERROR(__xludf.DUMMYFUNCTION("""COMPUTED_VALUE"""),1525.4)</f>
        <v>1525.4</v>
      </c>
      <c r="F5448" s="1">
        <f>IFERROR(__xludf.DUMMYFUNCTION("""COMPUTED_VALUE"""),2.62295008E8)</f>
        <v>262295008</v>
      </c>
    </row>
    <row r="5449">
      <c r="A5449" s="2">
        <f>IFERROR(__xludf.DUMMYFUNCTION("""COMPUTED_VALUE"""),39269.666666666664)</f>
        <v>39269.66667</v>
      </c>
      <c r="B5449" s="1">
        <f>IFERROR(__xludf.DUMMYFUNCTION("""COMPUTED_VALUE"""),1524.96)</f>
        <v>1524.96</v>
      </c>
      <c r="C5449" s="1">
        <f>IFERROR(__xludf.DUMMYFUNCTION("""COMPUTED_VALUE"""),1532.4)</f>
        <v>1532.4</v>
      </c>
      <c r="D5449" s="1">
        <f>IFERROR(__xludf.DUMMYFUNCTION("""COMPUTED_VALUE"""),1520.47)</f>
        <v>1520.47</v>
      </c>
      <c r="E5449" s="1">
        <f>IFERROR(__xludf.DUMMYFUNCTION("""COMPUTED_VALUE"""),1530.44)</f>
        <v>1530.44</v>
      </c>
      <c r="F5449" s="1">
        <f>IFERROR(__xludf.DUMMYFUNCTION("""COMPUTED_VALUE"""),2.44152E8)</f>
        <v>244152000</v>
      </c>
    </row>
    <row r="5450">
      <c r="A5450" s="2">
        <f>IFERROR(__xludf.DUMMYFUNCTION("""COMPUTED_VALUE"""),39272.666666666664)</f>
        <v>39272.66667</v>
      </c>
      <c r="B5450" s="1">
        <f>IFERROR(__xludf.DUMMYFUNCTION("""COMPUTED_VALUE"""),1530.43)</f>
        <v>1530.43</v>
      </c>
      <c r="C5450" s="1">
        <f>IFERROR(__xludf.DUMMYFUNCTION("""COMPUTED_VALUE"""),1534.26)</f>
        <v>1534.26</v>
      </c>
      <c r="D5450" s="1">
        <f>IFERROR(__xludf.DUMMYFUNCTION("""COMPUTED_VALUE"""),1527.45)</f>
        <v>1527.45</v>
      </c>
      <c r="E5450" s="1">
        <f>IFERROR(__xludf.DUMMYFUNCTION("""COMPUTED_VALUE"""),1531.85)</f>
        <v>1531.85</v>
      </c>
      <c r="F5450" s="1">
        <f>IFERROR(__xludf.DUMMYFUNCTION("""COMPUTED_VALUE"""),2.71532992E8)</f>
        <v>271532992</v>
      </c>
    </row>
    <row r="5451">
      <c r="A5451" s="2">
        <f>IFERROR(__xludf.DUMMYFUNCTION("""COMPUTED_VALUE"""),39273.666666666664)</f>
        <v>39273.66667</v>
      </c>
      <c r="B5451" s="1">
        <f>IFERROR(__xludf.DUMMYFUNCTION("""COMPUTED_VALUE"""),1531.85)</f>
        <v>1531.85</v>
      </c>
      <c r="C5451" s="1">
        <f>IFERROR(__xludf.DUMMYFUNCTION("""COMPUTED_VALUE"""),1531.85)</f>
        <v>1531.85</v>
      </c>
      <c r="D5451" s="1">
        <f>IFERROR(__xludf.DUMMYFUNCTION("""COMPUTED_VALUE"""),1510.01)</f>
        <v>1510.01</v>
      </c>
      <c r="E5451" s="1">
        <f>IFERROR(__xludf.DUMMYFUNCTION("""COMPUTED_VALUE"""),1510.12)</f>
        <v>1510.12</v>
      </c>
      <c r="F5451" s="1">
        <f>IFERROR(__xludf.DUMMYFUNCTION("""COMPUTED_VALUE"""),3.24428E8)</f>
        <v>324428000</v>
      </c>
    </row>
    <row r="5452">
      <c r="A5452" s="2">
        <f>IFERROR(__xludf.DUMMYFUNCTION("""COMPUTED_VALUE"""),39274.666666666664)</f>
        <v>39274.66667</v>
      </c>
      <c r="B5452" s="1">
        <f>IFERROR(__xludf.DUMMYFUNCTION("""COMPUTED_VALUE"""),1509.93)</f>
        <v>1509.93</v>
      </c>
      <c r="C5452" s="1">
        <f>IFERROR(__xludf.DUMMYFUNCTION("""COMPUTED_VALUE"""),1519.34)</f>
        <v>1519.34</v>
      </c>
      <c r="D5452" s="1">
        <f>IFERROR(__xludf.DUMMYFUNCTION("""COMPUTED_VALUE"""),1506.1)</f>
        <v>1506.1</v>
      </c>
      <c r="E5452" s="1">
        <f>IFERROR(__xludf.DUMMYFUNCTION("""COMPUTED_VALUE"""),1518.76)</f>
        <v>1518.76</v>
      </c>
      <c r="F5452" s="1">
        <f>IFERROR(__xludf.DUMMYFUNCTION("""COMPUTED_VALUE"""),3.08292E8)</f>
        <v>308292000</v>
      </c>
    </row>
    <row r="5453">
      <c r="A5453" s="2">
        <f>IFERROR(__xludf.DUMMYFUNCTION("""COMPUTED_VALUE"""),39275.666666666664)</f>
        <v>39275.66667</v>
      </c>
      <c r="B5453" s="1">
        <f>IFERROR(__xludf.DUMMYFUNCTION("""COMPUTED_VALUE"""),1518.74)</f>
        <v>1518.74</v>
      </c>
      <c r="C5453" s="1">
        <f>IFERROR(__xludf.DUMMYFUNCTION("""COMPUTED_VALUE"""),1547.92)</f>
        <v>1547.92</v>
      </c>
      <c r="D5453" s="1">
        <f>IFERROR(__xludf.DUMMYFUNCTION("""COMPUTED_VALUE"""),1518.74)</f>
        <v>1518.74</v>
      </c>
      <c r="E5453" s="1">
        <f>IFERROR(__xludf.DUMMYFUNCTION("""COMPUTED_VALUE"""),1547.7)</f>
        <v>1547.7</v>
      </c>
      <c r="F5453" s="1">
        <f>IFERROR(__xludf.DUMMYFUNCTION("""COMPUTED_VALUE"""),3.4896E8)</f>
        <v>348960000</v>
      </c>
    </row>
    <row r="5454">
      <c r="A5454" s="2">
        <f>IFERROR(__xludf.DUMMYFUNCTION("""COMPUTED_VALUE"""),39276.666666666664)</f>
        <v>39276.66667</v>
      </c>
      <c r="B5454" s="1">
        <f>IFERROR(__xludf.DUMMYFUNCTION("""COMPUTED_VALUE"""),1547.68)</f>
        <v>1547.68</v>
      </c>
      <c r="C5454" s="1">
        <f>IFERROR(__xludf.DUMMYFUNCTION("""COMPUTED_VALUE"""),1555.1)</f>
        <v>1555.1</v>
      </c>
      <c r="D5454" s="1">
        <f>IFERROR(__xludf.DUMMYFUNCTION("""COMPUTED_VALUE"""),1544.85)</f>
        <v>1544.85</v>
      </c>
      <c r="E5454" s="1">
        <f>IFERROR(__xludf.DUMMYFUNCTION("""COMPUTED_VALUE"""),1552.5)</f>
        <v>1552.5</v>
      </c>
      <c r="F5454" s="1">
        <f>IFERROR(__xludf.DUMMYFUNCTION("""COMPUTED_VALUE"""),2.80112E8)</f>
        <v>280112000</v>
      </c>
    </row>
    <row r="5455">
      <c r="A5455" s="2">
        <f>IFERROR(__xludf.DUMMYFUNCTION("""COMPUTED_VALUE"""),39279.666666666664)</f>
        <v>39279.66667</v>
      </c>
      <c r="B5455" s="1">
        <f>IFERROR(__xludf.DUMMYFUNCTION("""COMPUTED_VALUE"""),1552.5)</f>
        <v>1552.5</v>
      </c>
      <c r="C5455" s="1">
        <f>IFERROR(__xludf.DUMMYFUNCTION("""COMPUTED_VALUE"""),1555.9)</f>
        <v>1555.9</v>
      </c>
      <c r="D5455" s="1">
        <f>IFERROR(__xludf.DUMMYFUNCTION("""COMPUTED_VALUE"""),1546.69)</f>
        <v>1546.69</v>
      </c>
      <c r="E5455" s="1">
        <f>IFERROR(__xludf.DUMMYFUNCTION("""COMPUTED_VALUE"""),1549.52)</f>
        <v>1549.52</v>
      </c>
      <c r="F5455" s="1">
        <f>IFERROR(__xludf.DUMMYFUNCTION("""COMPUTED_VALUE"""),2.70411008E8)</f>
        <v>270411008</v>
      </c>
    </row>
    <row r="5456">
      <c r="A5456" s="2">
        <f>IFERROR(__xludf.DUMMYFUNCTION("""COMPUTED_VALUE"""),39280.666666666664)</f>
        <v>39280.66667</v>
      </c>
      <c r="B5456" s="1">
        <f>IFERROR(__xludf.DUMMYFUNCTION("""COMPUTED_VALUE"""),1549.52)</f>
        <v>1549.52</v>
      </c>
      <c r="C5456" s="1">
        <f>IFERROR(__xludf.DUMMYFUNCTION("""COMPUTED_VALUE"""),1555.32)</f>
        <v>1555.32</v>
      </c>
      <c r="D5456" s="1">
        <f>IFERROR(__xludf.DUMMYFUNCTION("""COMPUTED_VALUE"""),1547.74)</f>
        <v>1547.74</v>
      </c>
      <c r="E5456" s="1">
        <f>IFERROR(__xludf.DUMMYFUNCTION("""COMPUTED_VALUE"""),1549.37)</f>
        <v>1549.37</v>
      </c>
      <c r="F5456" s="1">
        <f>IFERROR(__xludf.DUMMYFUNCTION("""COMPUTED_VALUE"""),3.00713984E8)</f>
        <v>300713984</v>
      </c>
    </row>
    <row r="5457">
      <c r="A5457" s="2">
        <f>IFERROR(__xludf.DUMMYFUNCTION("""COMPUTED_VALUE"""),39281.666666666664)</f>
        <v>39281.66667</v>
      </c>
      <c r="B5457" s="1">
        <f>IFERROR(__xludf.DUMMYFUNCTION("""COMPUTED_VALUE"""),1549.2)</f>
        <v>1549.2</v>
      </c>
      <c r="C5457" s="1">
        <f>IFERROR(__xludf.DUMMYFUNCTION("""COMPUTED_VALUE"""),1549.2)</f>
        <v>1549.2</v>
      </c>
      <c r="D5457" s="1">
        <f>IFERROR(__xludf.DUMMYFUNCTION("""COMPUTED_VALUE"""),1533.67)</f>
        <v>1533.67</v>
      </c>
      <c r="E5457" s="1">
        <f>IFERROR(__xludf.DUMMYFUNCTION("""COMPUTED_VALUE"""),1546.17)</f>
        <v>1546.17</v>
      </c>
      <c r="F5457" s="1">
        <f>IFERROR(__xludf.DUMMYFUNCTION("""COMPUTED_VALUE"""),3.60921984E8)</f>
        <v>360921984</v>
      </c>
    </row>
    <row r="5458">
      <c r="A5458" s="2">
        <f>IFERROR(__xludf.DUMMYFUNCTION("""COMPUTED_VALUE"""),39282.666666666664)</f>
        <v>39282.66667</v>
      </c>
      <c r="B5458" s="1">
        <f>IFERROR(__xludf.DUMMYFUNCTION("""COMPUTED_VALUE"""),1546.13)</f>
        <v>1546.13</v>
      </c>
      <c r="C5458" s="1">
        <f>IFERROR(__xludf.DUMMYFUNCTION("""COMPUTED_VALUE"""),1555.2)</f>
        <v>1555.2</v>
      </c>
      <c r="D5458" s="1">
        <f>IFERROR(__xludf.DUMMYFUNCTION("""COMPUTED_VALUE"""),1546.13)</f>
        <v>1546.13</v>
      </c>
      <c r="E5458" s="1">
        <f>IFERROR(__xludf.DUMMYFUNCTION("""COMPUTED_VALUE"""),1553.08)</f>
        <v>1553.08</v>
      </c>
      <c r="F5458" s="1">
        <f>IFERROR(__xludf.DUMMYFUNCTION("""COMPUTED_VALUE"""),3.25144992E8)</f>
        <v>325144992</v>
      </c>
    </row>
    <row r="5459">
      <c r="A5459" s="2">
        <f>IFERROR(__xludf.DUMMYFUNCTION("""COMPUTED_VALUE"""),39283.666666666664)</f>
        <v>39283.66667</v>
      </c>
      <c r="B5459" s="1">
        <f>IFERROR(__xludf.DUMMYFUNCTION("""COMPUTED_VALUE"""),1553.19)</f>
        <v>1553.19</v>
      </c>
      <c r="C5459" s="1">
        <f>IFERROR(__xludf.DUMMYFUNCTION("""COMPUTED_VALUE"""),1553.19)</f>
        <v>1553.19</v>
      </c>
      <c r="D5459" s="1">
        <f>IFERROR(__xludf.DUMMYFUNCTION("""COMPUTED_VALUE"""),1529.2)</f>
        <v>1529.2</v>
      </c>
      <c r="E5459" s="1">
        <f>IFERROR(__xludf.DUMMYFUNCTION("""COMPUTED_VALUE"""),1534.1)</f>
        <v>1534.1</v>
      </c>
      <c r="F5459" s="1">
        <f>IFERROR(__xludf.DUMMYFUNCTION("""COMPUTED_VALUE"""),3.74577984E8)</f>
        <v>374577984</v>
      </c>
    </row>
    <row r="5460">
      <c r="A5460" s="2">
        <f>IFERROR(__xludf.DUMMYFUNCTION("""COMPUTED_VALUE"""),39286.666666666664)</f>
        <v>39286.66667</v>
      </c>
      <c r="B5460" s="1">
        <f>IFERROR(__xludf.DUMMYFUNCTION("""COMPUTED_VALUE"""),1534.06)</f>
        <v>1534.06</v>
      </c>
      <c r="C5460" s="1">
        <f>IFERROR(__xludf.DUMMYFUNCTION("""COMPUTED_VALUE"""),1547.23)</f>
        <v>1547.23</v>
      </c>
      <c r="D5460" s="1">
        <f>IFERROR(__xludf.DUMMYFUNCTION("""COMPUTED_VALUE"""),1534.06)</f>
        <v>1534.06</v>
      </c>
      <c r="E5460" s="1">
        <f>IFERROR(__xludf.DUMMYFUNCTION("""COMPUTED_VALUE"""),1541.57)</f>
        <v>1541.57</v>
      </c>
      <c r="F5460" s="1">
        <f>IFERROR(__xludf.DUMMYFUNCTION("""COMPUTED_VALUE"""),3.10270016E8)</f>
        <v>310270016</v>
      </c>
    </row>
    <row r="5461">
      <c r="A5461" s="2">
        <f>IFERROR(__xludf.DUMMYFUNCTION("""COMPUTED_VALUE"""),39287.666666666664)</f>
        <v>39287.66667</v>
      </c>
      <c r="B5461" s="1">
        <f>IFERROR(__xludf.DUMMYFUNCTION("""COMPUTED_VALUE"""),1541.57)</f>
        <v>1541.57</v>
      </c>
      <c r="C5461" s="1">
        <f>IFERROR(__xludf.DUMMYFUNCTION("""COMPUTED_VALUE"""),1541.57)</f>
        <v>1541.57</v>
      </c>
      <c r="D5461" s="1">
        <f>IFERROR(__xludf.DUMMYFUNCTION("""COMPUTED_VALUE"""),1508.62)</f>
        <v>1508.62</v>
      </c>
      <c r="E5461" s="1">
        <f>IFERROR(__xludf.DUMMYFUNCTION("""COMPUTED_VALUE"""),1511.04)</f>
        <v>1511.04</v>
      </c>
      <c r="F5461" s="1">
        <f>IFERROR(__xludf.DUMMYFUNCTION("""COMPUTED_VALUE"""),4.11583008E8)</f>
        <v>411583008</v>
      </c>
    </row>
    <row r="5462">
      <c r="A5462" s="2">
        <f>IFERROR(__xludf.DUMMYFUNCTION("""COMPUTED_VALUE"""),39288.666666666664)</f>
        <v>39288.66667</v>
      </c>
      <c r="B5462" s="1">
        <f>IFERROR(__xludf.DUMMYFUNCTION("""COMPUTED_VALUE"""),1511.03)</f>
        <v>1511.03</v>
      </c>
      <c r="C5462" s="1">
        <f>IFERROR(__xludf.DUMMYFUNCTION("""COMPUTED_VALUE"""),1524.31)</f>
        <v>1524.31</v>
      </c>
      <c r="D5462" s="1">
        <f>IFERROR(__xludf.DUMMYFUNCTION("""COMPUTED_VALUE"""),1503.74)</f>
        <v>1503.74</v>
      </c>
      <c r="E5462" s="1">
        <f>IFERROR(__xludf.DUMMYFUNCTION("""COMPUTED_VALUE"""),1518.09)</f>
        <v>1518.09</v>
      </c>
      <c r="F5462" s="1">
        <f>IFERROR(__xludf.DUMMYFUNCTION("""COMPUTED_VALUE"""),4.2832E8)</f>
        <v>428320000</v>
      </c>
    </row>
    <row r="5463">
      <c r="A5463" s="2">
        <f>IFERROR(__xludf.DUMMYFUNCTION("""COMPUTED_VALUE"""),39289.666666666664)</f>
        <v>39289.66667</v>
      </c>
      <c r="B5463" s="1">
        <f>IFERROR(__xludf.DUMMYFUNCTION("""COMPUTED_VALUE"""),1518.09)</f>
        <v>1518.09</v>
      </c>
      <c r="C5463" s="1">
        <f>IFERROR(__xludf.DUMMYFUNCTION("""COMPUTED_VALUE"""),1518.09)</f>
        <v>1518.09</v>
      </c>
      <c r="D5463" s="1">
        <f>IFERROR(__xludf.DUMMYFUNCTION("""COMPUTED_VALUE"""),1465.3)</f>
        <v>1465.3</v>
      </c>
      <c r="E5463" s="1">
        <f>IFERROR(__xludf.DUMMYFUNCTION("""COMPUTED_VALUE"""),1482.66)</f>
        <v>1482.66</v>
      </c>
      <c r="F5463" s="1">
        <f>IFERROR(__xludf.DUMMYFUNCTION("""COMPUTED_VALUE"""),4.47255008E8)</f>
        <v>447255008</v>
      </c>
    </row>
    <row r="5464">
      <c r="A5464" s="2">
        <f>IFERROR(__xludf.DUMMYFUNCTION("""COMPUTED_VALUE"""),39290.666666666664)</f>
        <v>39290.66667</v>
      </c>
      <c r="B5464" s="1">
        <f>IFERROR(__xludf.DUMMYFUNCTION("""COMPUTED_VALUE"""),1482.44)</f>
        <v>1482.44</v>
      </c>
      <c r="C5464" s="1">
        <f>IFERROR(__xludf.DUMMYFUNCTION("""COMPUTED_VALUE"""),1488.37)</f>
        <v>1488.37</v>
      </c>
      <c r="D5464" s="1">
        <f>IFERROR(__xludf.DUMMYFUNCTION("""COMPUTED_VALUE"""),1458.95)</f>
        <v>1458.95</v>
      </c>
      <c r="E5464" s="1">
        <f>IFERROR(__xludf.DUMMYFUNCTION("""COMPUTED_VALUE"""),1458.95)</f>
        <v>1458.95</v>
      </c>
      <c r="F5464" s="1">
        <f>IFERROR(__xludf.DUMMYFUNCTION("""COMPUTED_VALUE"""),4.78464992E8)</f>
        <v>478464992</v>
      </c>
    </row>
    <row r="5465">
      <c r="A5465" s="2">
        <f>IFERROR(__xludf.DUMMYFUNCTION("""COMPUTED_VALUE"""),39293.666666666664)</f>
        <v>39293.66667</v>
      </c>
      <c r="B5465" s="1">
        <f>IFERROR(__xludf.DUMMYFUNCTION("""COMPUTED_VALUE"""),1461.04)</f>
        <v>1461.04</v>
      </c>
      <c r="C5465" s="1">
        <f>IFERROR(__xludf.DUMMYFUNCTION("""COMPUTED_VALUE"""),1477.88)</f>
        <v>1477.88</v>
      </c>
      <c r="D5465" s="1">
        <f>IFERROR(__xludf.DUMMYFUNCTION("""COMPUTED_VALUE"""),1454.39)</f>
        <v>1454.39</v>
      </c>
      <c r="E5465" s="1">
        <f>IFERROR(__xludf.DUMMYFUNCTION("""COMPUTED_VALUE"""),1473.91)</f>
        <v>1473.91</v>
      </c>
      <c r="F5465" s="1">
        <f>IFERROR(__xludf.DUMMYFUNCTION("""COMPUTED_VALUE"""),4.12878016E8)</f>
        <v>412878016</v>
      </c>
    </row>
    <row r="5466">
      <c r="A5466" s="2">
        <f>IFERROR(__xludf.DUMMYFUNCTION("""COMPUTED_VALUE"""),39294.666666666664)</f>
        <v>39294.66667</v>
      </c>
      <c r="B5466" s="1">
        <f>IFERROR(__xludf.DUMMYFUNCTION("""COMPUTED_VALUE"""),1473.9)</f>
        <v>1473.9</v>
      </c>
      <c r="C5466" s="1">
        <f>IFERROR(__xludf.DUMMYFUNCTION("""COMPUTED_VALUE"""),1488.3)</f>
        <v>1488.3</v>
      </c>
      <c r="D5466" s="1">
        <f>IFERROR(__xludf.DUMMYFUNCTION("""COMPUTED_VALUE"""),1454.25)</f>
        <v>1454.25</v>
      </c>
      <c r="E5466" s="1">
        <f>IFERROR(__xludf.DUMMYFUNCTION("""COMPUTED_VALUE"""),1455.27)</f>
        <v>1455.27</v>
      </c>
      <c r="F5466" s="1">
        <f>IFERROR(__xludf.DUMMYFUNCTION("""COMPUTED_VALUE"""),4.52452E8)</f>
        <v>452452000</v>
      </c>
    </row>
    <row r="5467">
      <c r="A5467" s="2">
        <f>IFERROR(__xludf.DUMMYFUNCTION("""COMPUTED_VALUE"""),39295.666666666664)</f>
        <v>39295.66667</v>
      </c>
      <c r="B5467" s="1">
        <f>IFERROR(__xludf.DUMMYFUNCTION("""COMPUTED_VALUE"""),1455.18)</f>
        <v>1455.18</v>
      </c>
      <c r="C5467" s="1">
        <f>IFERROR(__xludf.DUMMYFUNCTION("""COMPUTED_VALUE"""),1468.12)</f>
        <v>1468.12</v>
      </c>
      <c r="D5467" s="1">
        <f>IFERROR(__xludf.DUMMYFUNCTION("""COMPUTED_VALUE"""),1439.59)</f>
        <v>1439.59</v>
      </c>
      <c r="E5467" s="1">
        <f>IFERROR(__xludf.DUMMYFUNCTION("""COMPUTED_VALUE"""),1465.81)</f>
        <v>1465.81</v>
      </c>
      <c r="F5467" s="1">
        <f>IFERROR(__xludf.DUMMYFUNCTION("""COMPUTED_VALUE"""),5.25678016E8)</f>
        <v>525678016</v>
      </c>
    </row>
    <row r="5468">
      <c r="A5468" s="2">
        <f>IFERROR(__xludf.DUMMYFUNCTION("""COMPUTED_VALUE"""),39296.666666666664)</f>
        <v>39296.66667</v>
      </c>
      <c r="B5468" s="1">
        <f>IFERROR(__xludf.DUMMYFUNCTION("""COMPUTED_VALUE"""),1465.46)</f>
        <v>1465.46</v>
      </c>
      <c r="C5468" s="1">
        <f>IFERROR(__xludf.DUMMYFUNCTION("""COMPUTED_VALUE"""),1476.43)</f>
        <v>1476.43</v>
      </c>
      <c r="D5468" s="1">
        <f>IFERROR(__xludf.DUMMYFUNCTION("""COMPUTED_VALUE"""),1460.73)</f>
        <v>1460.73</v>
      </c>
      <c r="E5468" s="1">
        <f>IFERROR(__xludf.DUMMYFUNCTION("""COMPUTED_VALUE"""),1472.2)</f>
        <v>1472.2</v>
      </c>
      <c r="F5468" s="1">
        <f>IFERROR(__xludf.DUMMYFUNCTION("""COMPUTED_VALUE"""),4.36884992E8)</f>
        <v>436884992</v>
      </c>
    </row>
    <row r="5469">
      <c r="A5469" s="2">
        <f>IFERROR(__xludf.DUMMYFUNCTION("""COMPUTED_VALUE"""),39297.666666666664)</f>
        <v>39297.66667</v>
      </c>
      <c r="B5469" s="1">
        <f>IFERROR(__xludf.DUMMYFUNCTION("""COMPUTED_VALUE"""),1472.18)</f>
        <v>1472.18</v>
      </c>
      <c r="C5469" s="1">
        <f>IFERROR(__xludf.DUMMYFUNCTION("""COMPUTED_VALUE"""),1473.23)</f>
        <v>1473.23</v>
      </c>
      <c r="D5469" s="1">
        <f>IFERROR(__xludf.DUMMYFUNCTION("""COMPUTED_VALUE"""),1432.8)</f>
        <v>1432.8</v>
      </c>
      <c r="E5469" s="1">
        <f>IFERROR(__xludf.DUMMYFUNCTION("""COMPUTED_VALUE"""),1433.06)</f>
        <v>1433.06</v>
      </c>
      <c r="F5469" s="1">
        <f>IFERROR(__xludf.DUMMYFUNCTION("""COMPUTED_VALUE"""),4.27211008E8)</f>
        <v>427211008</v>
      </c>
    </row>
    <row r="5470">
      <c r="A5470" s="2">
        <f>IFERROR(__xludf.DUMMYFUNCTION("""COMPUTED_VALUE"""),39300.666666666664)</f>
        <v>39300.66667</v>
      </c>
      <c r="B5470" s="1">
        <f>IFERROR(__xludf.DUMMYFUNCTION("""COMPUTED_VALUE"""),1433.04)</f>
        <v>1433.04</v>
      </c>
      <c r="C5470" s="1">
        <f>IFERROR(__xludf.DUMMYFUNCTION("""COMPUTED_VALUE"""),1467.67)</f>
        <v>1467.67</v>
      </c>
      <c r="D5470" s="1">
        <f>IFERROR(__xludf.DUMMYFUNCTION("""COMPUTED_VALUE"""),1427.39)</f>
        <v>1427.39</v>
      </c>
      <c r="E5470" s="1">
        <f>IFERROR(__xludf.DUMMYFUNCTION("""COMPUTED_VALUE"""),1467.67)</f>
        <v>1467.67</v>
      </c>
      <c r="F5470" s="1">
        <f>IFERROR(__xludf.DUMMYFUNCTION("""COMPUTED_VALUE"""),5.0672E8)</f>
        <v>506720000</v>
      </c>
    </row>
    <row r="5471">
      <c r="A5471" s="2">
        <f>IFERROR(__xludf.DUMMYFUNCTION("""COMPUTED_VALUE"""),39301.666666666664)</f>
        <v>39301.66667</v>
      </c>
      <c r="B5471" s="1">
        <f>IFERROR(__xludf.DUMMYFUNCTION("""COMPUTED_VALUE"""),1467.62)</f>
        <v>1467.62</v>
      </c>
      <c r="C5471" s="1">
        <f>IFERROR(__xludf.DUMMYFUNCTION("""COMPUTED_VALUE"""),1488.3)</f>
        <v>1488.3</v>
      </c>
      <c r="D5471" s="1">
        <f>IFERROR(__xludf.DUMMYFUNCTION("""COMPUTED_VALUE"""),1456.06)</f>
        <v>1456.06</v>
      </c>
      <c r="E5471" s="1">
        <f>IFERROR(__xludf.DUMMYFUNCTION("""COMPUTED_VALUE"""),1476.71)</f>
        <v>1476.71</v>
      </c>
      <c r="F5471" s="1">
        <f>IFERROR(__xludf.DUMMYFUNCTION("""COMPUTED_VALUE"""),4.90939008E8)</f>
        <v>490939008</v>
      </c>
    </row>
    <row r="5472">
      <c r="A5472" s="2">
        <f>IFERROR(__xludf.DUMMYFUNCTION("""COMPUTED_VALUE"""),39302.666666666664)</f>
        <v>39302.66667</v>
      </c>
      <c r="B5472" s="1">
        <f>IFERROR(__xludf.DUMMYFUNCTION("""COMPUTED_VALUE"""),1476.22)</f>
        <v>1476.22</v>
      </c>
      <c r="C5472" s="1">
        <f>IFERROR(__xludf.DUMMYFUNCTION("""COMPUTED_VALUE"""),1503.89)</f>
        <v>1503.89</v>
      </c>
      <c r="D5472" s="1">
        <f>IFERROR(__xludf.DUMMYFUNCTION("""COMPUTED_VALUE"""),1476.22)</f>
        <v>1476.22</v>
      </c>
      <c r="E5472" s="1">
        <f>IFERROR(__xludf.DUMMYFUNCTION("""COMPUTED_VALUE"""),1497.49)</f>
        <v>1497.49</v>
      </c>
      <c r="F5472" s="1">
        <f>IFERROR(__xludf.DUMMYFUNCTION("""COMPUTED_VALUE"""),5.49955968E8)</f>
        <v>549955968</v>
      </c>
    </row>
    <row r="5473">
      <c r="A5473" s="2">
        <f>IFERROR(__xludf.DUMMYFUNCTION("""COMPUTED_VALUE"""),39303.666666666664)</f>
        <v>39303.66667</v>
      </c>
      <c r="B5473" s="1">
        <f>IFERROR(__xludf.DUMMYFUNCTION("""COMPUTED_VALUE"""),1497.21)</f>
        <v>1497.21</v>
      </c>
      <c r="C5473" s="1">
        <f>IFERROR(__xludf.DUMMYFUNCTION("""COMPUTED_VALUE"""),1497.21)</f>
        <v>1497.21</v>
      </c>
      <c r="D5473" s="1">
        <f>IFERROR(__xludf.DUMMYFUNCTION("""COMPUTED_VALUE"""),1453.09)</f>
        <v>1453.09</v>
      </c>
      <c r="E5473" s="1">
        <f>IFERROR(__xludf.DUMMYFUNCTION("""COMPUTED_VALUE"""),1453.09)</f>
        <v>1453.09</v>
      </c>
      <c r="F5473" s="1">
        <f>IFERROR(__xludf.DUMMYFUNCTION("""COMPUTED_VALUE"""),5.8896E8)</f>
        <v>588960000</v>
      </c>
    </row>
    <row r="5474">
      <c r="A5474" s="2">
        <f>IFERROR(__xludf.DUMMYFUNCTION("""COMPUTED_VALUE"""),39304.666666666664)</f>
        <v>39304.66667</v>
      </c>
      <c r="B5474" s="1">
        <f>IFERROR(__xludf.DUMMYFUNCTION("""COMPUTED_VALUE"""),1436.77)</f>
        <v>1436.77</v>
      </c>
      <c r="C5474" s="1">
        <f>IFERROR(__xludf.DUMMYFUNCTION("""COMPUTED_VALUE"""),1461.97)</f>
        <v>1461.97</v>
      </c>
      <c r="D5474" s="1">
        <f>IFERROR(__xludf.DUMMYFUNCTION("""COMPUTED_VALUE"""),1429.74)</f>
        <v>1429.74</v>
      </c>
      <c r="E5474" s="1">
        <f>IFERROR(__xludf.DUMMYFUNCTION("""COMPUTED_VALUE"""),1453.64)</f>
        <v>1453.64</v>
      </c>
      <c r="F5474" s="1">
        <f>IFERROR(__xludf.DUMMYFUNCTION("""COMPUTED_VALUE"""),5.34577984E8)</f>
        <v>534577984</v>
      </c>
    </row>
    <row r="5475">
      <c r="A5475" s="2">
        <f>IFERROR(__xludf.DUMMYFUNCTION("""COMPUTED_VALUE"""),39307.666666666664)</f>
        <v>39307.66667</v>
      </c>
      <c r="B5475" s="1">
        <f>IFERROR(__xludf.DUMMYFUNCTION("""COMPUTED_VALUE"""),1453.42)</f>
        <v>1453.42</v>
      </c>
      <c r="C5475" s="1">
        <f>IFERROR(__xludf.DUMMYFUNCTION("""COMPUTED_VALUE"""),1466.29)</f>
        <v>1466.29</v>
      </c>
      <c r="D5475" s="1">
        <f>IFERROR(__xludf.DUMMYFUNCTION("""COMPUTED_VALUE"""),1451.71)</f>
        <v>1451.71</v>
      </c>
      <c r="E5475" s="1">
        <f>IFERROR(__xludf.DUMMYFUNCTION("""COMPUTED_VALUE"""),1452.92)</f>
        <v>1452.92</v>
      </c>
      <c r="F5475" s="1">
        <f>IFERROR(__xludf.DUMMYFUNCTION("""COMPUTED_VALUE"""),3.69628E8)</f>
        <v>369628000</v>
      </c>
    </row>
    <row r="5476">
      <c r="A5476" s="2">
        <f>IFERROR(__xludf.DUMMYFUNCTION("""COMPUTED_VALUE"""),39308.666666666664)</f>
        <v>39308.66667</v>
      </c>
      <c r="B5476" s="1">
        <f>IFERROR(__xludf.DUMMYFUNCTION("""COMPUTED_VALUE"""),1452.87)</f>
        <v>1452.87</v>
      </c>
      <c r="C5476" s="1">
        <f>IFERROR(__xludf.DUMMYFUNCTION("""COMPUTED_VALUE"""),1456.74)</f>
        <v>1456.74</v>
      </c>
      <c r="D5476" s="1">
        <f>IFERROR(__xludf.DUMMYFUNCTION("""COMPUTED_VALUE"""),1426.2)</f>
        <v>1426.2</v>
      </c>
      <c r="E5476" s="1">
        <f>IFERROR(__xludf.DUMMYFUNCTION("""COMPUTED_VALUE"""),1426.54)</f>
        <v>1426.54</v>
      </c>
      <c r="F5476" s="1">
        <f>IFERROR(__xludf.DUMMYFUNCTION("""COMPUTED_VALUE"""),3.81463008E8)</f>
        <v>381463008</v>
      </c>
    </row>
    <row r="5477">
      <c r="A5477" s="2">
        <f>IFERROR(__xludf.DUMMYFUNCTION("""COMPUTED_VALUE"""),39309.666666666664)</f>
        <v>39309.66667</v>
      </c>
      <c r="B5477" s="1">
        <f>IFERROR(__xludf.DUMMYFUNCTION("""COMPUTED_VALUE"""),1426.15)</f>
        <v>1426.15</v>
      </c>
      <c r="C5477" s="1">
        <f>IFERROR(__xludf.DUMMYFUNCTION("""COMPUTED_VALUE"""),1440.78)</f>
        <v>1440.78</v>
      </c>
      <c r="D5477" s="1">
        <f>IFERROR(__xludf.DUMMYFUNCTION("""COMPUTED_VALUE"""),1404.36)</f>
        <v>1404.36</v>
      </c>
      <c r="E5477" s="1">
        <f>IFERROR(__xludf.DUMMYFUNCTION("""COMPUTED_VALUE"""),1406.7)</f>
        <v>1406.7</v>
      </c>
      <c r="F5477" s="1">
        <f>IFERROR(__xludf.DUMMYFUNCTION("""COMPUTED_VALUE"""),4.29092992E8)</f>
        <v>429092992</v>
      </c>
    </row>
    <row r="5478">
      <c r="A5478" s="2">
        <f>IFERROR(__xludf.DUMMYFUNCTION("""COMPUTED_VALUE"""),39310.666666666664)</f>
        <v>39310.66667</v>
      </c>
      <c r="B5478" s="1">
        <f>IFERROR(__xludf.DUMMYFUNCTION("""COMPUTED_VALUE"""),1406.64)</f>
        <v>1406.64</v>
      </c>
      <c r="C5478" s="1">
        <f>IFERROR(__xludf.DUMMYFUNCTION("""COMPUTED_VALUE"""),1415.74)</f>
        <v>1415.74</v>
      </c>
      <c r="D5478" s="1">
        <f>IFERROR(__xludf.DUMMYFUNCTION("""COMPUTED_VALUE"""),1370.69)</f>
        <v>1370.69</v>
      </c>
      <c r="E5478" s="1">
        <f>IFERROR(__xludf.DUMMYFUNCTION("""COMPUTED_VALUE"""),1411.27)</f>
        <v>1411.27</v>
      </c>
      <c r="F5478" s="1">
        <f>IFERROR(__xludf.DUMMYFUNCTION("""COMPUTED_VALUE"""),6.50929984E8)</f>
        <v>650929984</v>
      </c>
    </row>
    <row r="5479">
      <c r="A5479" s="2">
        <f>IFERROR(__xludf.DUMMYFUNCTION("""COMPUTED_VALUE"""),39311.666666666664)</f>
        <v>39311.66667</v>
      </c>
      <c r="B5479" s="1">
        <f>IFERROR(__xludf.DUMMYFUNCTION("""COMPUTED_VALUE"""),1411.26)</f>
        <v>1411.26</v>
      </c>
      <c r="C5479" s="1">
        <f>IFERROR(__xludf.DUMMYFUNCTION("""COMPUTED_VALUE"""),1450.15)</f>
        <v>1450.15</v>
      </c>
      <c r="D5479" s="1">
        <f>IFERROR(__xludf.DUMMYFUNCTION("""COMPUTED_VALUE"""),1411.26)</f>
        <v>1411.26</v>
      </c>
      <c r="E5479" s="1">
        <f>IFERROR(__xludf.DUMMYFUNCTION("""COMPUTED_VALUE"""),1445.94)</f>
        <v>1445.94</v>
      </c>
      <c r="F5479" s="1">
        <f>IFERROR(__xludf.DUMMYFUNCTION("""COMPUTED_VALUE"""),3.57004E8)</f>
        <v>357004000</v>
      </c>
    </row>
    <row r="5480">
      <c r="A5480" s="2">
        <f>IFERROR(__xludf.DUMMYFUNCTION("""COMPUTED_VALUE"""),39314.666666666664)</f>
        <v>39314.66667</v>
      </c>
      <c r="B5480" s="1">
        <f>IFERROR(__xludf.DUMMYFUNCTION("""COMPUTED_VALUE"""),1445.94)</f>
        <v>1445.94</v>
      </c>
      <c r="C5480" s="1">
        <f>IFERROR(__xludf.DUMMYFUNCTION("""COMPUTED_VALUE"""),1451.75)</f>
        <v>1451.75</v>
      </c>
      <c r="D5480" s="1">
        <f>IFERROR(__xludf.DUMMYFUNCTION("""COMPUTED_VALUE"""),1430.54)</f>
        <v>1430.54</v>
      </c>
      <c r="E5480" s="1">
        <f>IFERROR(__xludf.DUMMYFUNCTION("""COMPUTED_VALUE"""),1445.55)</f>
        <v>1445.55</v>
      </c>
      <c r="F5480" s="1">
        <f>IFERROR(__xludf.DUMMYFUNCTION("""COMPUTED_VALUE"""),3.32134016E8)</f>
        <v>332134016</v>
      </c>
    </row>
    <row r="5481">
      <c r="A5481" s="2">
        <f>IFERROR(__xludf.DUMMYFUNCTION("""COMPUTED_VALUE"""),39315.666666666664)</f>
        <v>39315.66667</v>
      </c>
      <c r="B5481" s="1">
        <f>IFERROR(__xludf.DUMMYFUNCTION("""COMPUTED_VALUE"""),1445.55)</f>
        <v>1445.55</v>
      </c>
      <c r="C5481" s="1">
        <f>IFERROR(__xludf.DUMMYFUNCTION("""COMPUTED_VALUE"""),1455.32)</f>
        <v>1455.32</v>
      </c>
      <c r="D5481" s="1">
        <f>IFERROR(__xludf.DUMMYFUNCTION("""COMPUTED_VALUE"""),1439.78)</f>
        <v>1439.78</v>
      </c>
      <c r="E5481" s="1">
        <f>IFERROR(__xludf.DUMMYFUNCTION("""COMPUTED_VALUE"""),1447.12)</f>
        <v>1447.12</v>
      </c>
      <c r="F5481" s="1">
        <f>IFERROR(__xludf.DUMMYFUNCTION("""COMPUTED_VALUE"""),3.01215008E8)</f>
        <v>301215008</v>
      </c>
    </row>
    <row r="5482">
      <c r="A5482" s="2">
        <f>IFERROR(__xludf.DUMMYFUNCTION("""COMPUTED_VALUE"""),39316.666666666664)</f>
        <v>39316.66667</v>
      </c>
      <c r="B5482" s="1">
        <f>IFERROR(__xludf.DUMMYFUNCTION("""COMPUTED_VALUE"""),1447.03)</f>
        <v>1447.03</v>
      </c>
      <c r="C5482" s="1">
        <f>IFERROR(__xludf.DUMMYFUNCTION("""COMPUTED_VALUE"""),1464.86)</f>
        <v>1464.86</v>
      </c>
      <c r="D5482" s="1">
        <f>IFERROR(__xludf.DUMMYFUNCTION("""COMPUTED_VALUE"""),1447.03)</f>
        <v>1447.03</v>
      </c>
      <c r="E5482" s="1">
        <f>IFERROR(__xludf.DUMMYFUNCTION("""COMPUTED_VALUE"""),1464.07)</f>
        <v>1464.07</v>
      </c>
      <c r="F5482" s="1">
        <f>IFERROR(__xludf.DUMMYFUNCTION("""COMPUTED_VALUE"""),3.30912E8)</f>
        <v>330912000</v>
      </c>
    </row>
    <row r="5483">
      <c r="A5483" s="2">
        <f>IFERROR(__xludf.DUMMYFUNCTION("""COMPUTED_VALUE"""),39317.666666666664)</f>
        <v>39317.66667</v>
      </c>
      <c r="B5483" s="1">
        <f>IFERROR(__xludf.DUMMYFUNCTION("""COMPUTED_VALUE"""),1464.05)</f>
        <v>1464.05</v>
      </c>
      <c r="C5483" s="1">
        <f>IFERROR(__xludf.DUMMYFUNCTION("""COMPUTED_VALUE"""),1472.06)</f>
        <v>1472.06</v>
      </c>
      <c r="D5483" s="1">
        <f>IFERROR(__xludf.DUMMYFUNCTION("""COMPUTED_VALUE"""),1453.88)</f>
        <v>1453.88</v>
      </c>
      <c r="E5483" s="1">
        <f>IFERROR(__xludf.DUMMYFUNCTION("""COMPUTED_VALUE"""),1462.5)</f>
        <v>1462.5</v>
      </c>
      <c r="F5483" s="1">
        <f>IFERROR(__xludf.DUMMYFUNCTION("""COMPUTED_VALUE"""),3.08439008E8)</f>
        <v>308439008</v>
      </c>
    </row>
    <row r="5484">
      <c r="A5484" s="2">
        <f>IFERROR(__xludf.DUMMYFUNCTION("""COMPUTED_VALUE"""),39318.666666666664)</f>
        <v>39318.66667</v>
      </c>
      <c r="B5484" s="1">
        <f>IFERROR(__xludf.DUMMYFUNCTION("""COMPUTED_VALUE"""),1462.34)</f>
        <v>1462.34</v>
      </c>
      <c r="C5484" s="1">
        <f>IFERROR(__xludf.DUMMYFUNCTION("""COMPUTED_VALUE"""),1479.4)</f>
        <v>1479.4</v>
      </c>
      <c r="D5484" s="1">
        <f>IFERROR(__xludf.DUMMYFUNCTION("""COMPUTED_VALUE"""),1460.54)</f>
        <v>1460.54</v>
      </c>
      <c r="E5484" s="1">
        <f>IFERROR(__xludf.DUMMYFUNCTION("""COMPUTED_VALUE"""),1479.37)</f>
        <v>1479.37</v>
      </c>
      <c r="F5484" s="1">
        <f>IFERROR(__xludf.DUMMYFUNCTION("""COMPUTED_VALUE"""),2.5414E8)</f>
        <v>254140000</v>
      </c>
    </row>
    <row r="5485">
      <c r="A5485" s="2">
        <f>IFERROR(__xludf.DUMMYFUNCTION("""COMPUTED_VALUE"""),39321.666666666664)</f>
        <v>39321.66667</v>
      </c>
      <c r="B5485" s="1">
        <f>IFERROR(__xludf.DUMMYFUNCTION("""COMPUTED_VALUE"""),1479.36)</f>
        <v>1479.36</v>
      </c>
      <c r="C5485" s="1">
        <f>IFERROR(__xludf.DUMMYFUNCTION("""COMPUTED_VALUE"""),1479.36)</f>
        <v>1479.36</v>
      </c>
      <c r="D5485" s="1">
        <f>IFERROR(__xludf.DUMMYFUNCTION("""COMPUTED_VALUE"""),1465.98)</f>
        <v>1465.98</v>
      </c>
      <c r="E5485" s="1">
        <f>IFERROR(__xludf.DUMMYFUNCTION("""COMPUTED_VALUE"""),1466.79)</f>
        <v>1466.79</v>
      </c>
      <c r="F5485" s="1">
        <f>IFERROR(__xludf.DUMMYFUNCTION("""COMPUTED_VALUE"""),2.40618E8)</f>
        <v>240618000</v>
      </c>
    </row>
    <row r="5486">
      <c r="A5486" s="2">
        <f>IFERROR(__xludf.DUMMYFUNCTION("""COMPUTED_VALUE"""),39322.666666666664)</f>
        <v>39322.66667</v>
      </c>
      <c r="B5486" s="1">
        <f>IFERROR(__xludf.DUMMYFUNCTION("""COMPUTED_VALUE"""),1466.72)</f>
        <v>1466.72</v>
      </c>
      <c r="C5486" s="1">
        <f>IFERROR(__xludf.DUMMYFUNCTION("""COMPUTED_VALUE"""),1466.72)</f>
        <v>1466.72</v>
      </c>
      <c r="D5486" s="1">
        <f>IFERROR(__xludf.DUMMYFUNCTION("""COMPUTED_VALUE"""),1432.01)</f>
        <v>1432.01</v>
      </c>
      <c r="E5486" s="1">
        <f>IFERROR(__xludf.DUMMYFUNCTION("""COMPUTED_VALUE"""),1432.36)</f>
        <v>1432.36</v>
      </c>
      <c r="F5486" s="1">
        <f>IFERROR(__xludf.DUMMYFUNCTION("""COMPUTED_VALUE"""),3.07808992E8)</f>
        <v>307808992</v>
      </c>
    </row>
    <row r="5487">
      <c r="A5487" s="2">
        <f>IFERROR(__xludf.DUMMYFUNCTION("""COMPUTED_VALUE"""),39323.666666666664)</f>
        <v>39323.66667</v>
      </c>
      <c r="B5487" s="1">
        <f>IFERROR(__xludf.DUMMYFUNCTION("""COMPUTED_VALUE"""),1432.01)</f>
        <v>1432.01</v>
      </c>
      <c r="C5487" s="1">
        <f>IFERROR(__xludf.DUMMYFUNCTION("""COMPUTED_VALUE"""),1463.76)</f>
        <v>1463.76</v>
      </c>
      <c r="D5487" s="1">
        <f>IFERROR(__xludf.DUMMYFUNCTION("""COMPUTED_VALUE"""),1432.01)</f>
        <v>1432.01</v>
      </c>
      <c r="E5487" s="1">
        <f>IFERROR(__xludf.DUMMYFUNCTION("""COMPUTED_VALUE"""),1463.76)</f>
        <v>1463.76</v>
      </c>
      <c r="F5487" s="1">
        <f>IFERROR(__xludf.DUMMYFUNCTION("""COMPUTED_VALUE"""),2.82407008E8)</f>
        <v>282407008</v>
      </c>
    </row>
    <row r="5488">
      <c r="A5488" s="2">
        <f>IFERROR(__xludf.DUMMYFUNCTION("""COMPUTED_VALUE"""),39324.666666666664)</f>
        <v>39324.66667</v>
      </c>
      <c r="B5488" s="1">
        <f>IFERROR(__xludf.DUMMYFUNCTION("""COMPUTED_VALUE"""),1463.67)</f>
        <v>1463.67</v>
      </c>
      <c r="C5488" s="1">
        <f>IFERROR(__xludf.DUMMYFUNCTION("""COMPUTED_VALUE"""),1468.43)</f>
        <v>1468.43</v>
      </c>
      <c r="D5488" s="1">
        <f>IFERROR(__xludf.DUMMYFUNCTION("""COMPUTED_VALUE"""),1451.25)</f>
        <v>1451.25</v>
      </c>
      <c r="E5488" s="1">
        <f>IFERROR(__xludf.DUMMYFUNCTION("""COMPUTED_VALUE"""),1457.64)</f>
        <v>1457.64</v>
      </c>
      <c r="F5488" s="1">
        <f>IFERROR(__xludf.DUMMYFUNCTION("""COMPUTED_VALUE"""),2.58296E8)</f>
        <v>258296000</v>
      </c>
    </row>
    <row r="5489">
      <c r="A5489" s="2">
        <f>IFERROR(__xludf.DUMMYFUNCTION("""COMPUTED_VALUE"""),39325.666666666664)</f>
        <v>39325.66667</v>
      </c>
      <c r="B5489" s="1">
        <f>IFERROR(__xludf.DUMMYFUNCTION("""COMPUTED_VALUE"""),1457.61)</f>
        <v>1457.61</v>
      </c>
      <c r="C5489" s="1">
        <f>IFERROR(__xludf.DUMMYFUNCTION("""COMPUTED_VALUE"""),1481.47)</f>
        <v>1481.47</v>
      </c>
      <c r="D5489" s="1">
        <f>IFERROR(__xludf.DUMMYFUNCTION("""COMPUTED_VALUE"""),1457.61)</f>
        <v>1457.61</v>
      </c>
      <c r="E5489" s="1">
        <f>IFERROR(__xludf.DUMMYFUNCTION("""COMPUTED_VALUE"""),1473.99)</f>
        <v>1473.99</v>
      </c>
      <c r="F5489" s="1">
        <f>IFERROR(__xludf.DUMMYFUNCTION("""COMPUTED_VALUE"""),2.73160992E8)</f>
        <v>273160992</v>
      </c>
    </row>
    <row r="5490">
      <c r="A5490" s="2">
        <f>IFERROR(__xludf.DUMMYFUNCTION("""COMPUTED_VALUE"""),39329.666666666664)</f>
        <v>39329.66667</v>
      </c>
      <c r="B5490" s="1">
        <f>IFERROR(__xludf.DUMMYFUNCTION("""COMPUTED_VALUE"""),1473.96)</f>
        <v>1473.96</v>
      </c>
      <c r="C5490" s="1">
        <f>IFERROR(__xludf.DUMMYFUNCTION("""COMPUTED_VALUE"""),1496.4)</f>
        <v>1496.4</v>
      </c>
      <c r="D5490" s="1">
        <f>IFERROR(__xludf.DUMMYFUNCTION("""COMPUTED_VALUE"""),1472.15)</f>
        <v>1472.15</v>
      </c>
      <c r="E5490" s="1">
        <f>IFERROR(__xludf.DUMMYFUNCTION("""COMPUTED_VALUE"""),1489.42)</f>
        <v>1489.42</v>
      </c>
      <c r="F5490" s="1">
        <f>IFERROR(__xludf.DUMMYFUNCTION("""COMPUTED_VALUE"""),2.7666E8)</f>
        <v>276660000</v>
      </c>
    </row>
    <row r="5491">
      <c r="A5491" s="2">
        <f>IFERROR(__xludf.DUMMYFUNCTION("""COMPUTED_VALUE"""),39330.666666666664)</f>
        <v>39330.66667</v>
      </c>
      <c r="B5491" s="1">
        <f>IFERROR(__xludf.DUMMYFUNCTION("""COMPUTED_VALUE"""),1488.76)</f>
        <v>1488.76</v>
      </c>
      <c r="C5491" s="1">
        <f>IFERROR(__xludf.DUMMYFUNCTION("""COMPUTED_VALUE"""),1488.76)</f>
        <v>1488.76</v>
      </c>
      <c r="D5491" s="1">
        <f>IFERROR(__xludf.DUMMYFUNCTION("""COMPUTED_VALUE"""),1466.34)</f>
        <v>1466.34</v>
      </c>
      <c r="E5491" s="1">
        <f>IFERROR(__xludf.DUMMYFUNCTION("""COMPUTED_VALUE"""),1472.29)</f>
        <v>1472.29</v>
      </c>
      <c r="F5491" s="1">
        <f>IFERROR(__xludf.DUMMYFUNCTION("""COMPUTED_VALUE"""),2.9916E8)</f>
        <v>299160000</v>
      </c>
    </row>
    <row r="5492">
      <c r="A5492" s="2">
        <f>IFERROR(__xludf.DUMMYFUNCTION("""COMPUTED_VALUE"""),39331.666666666664)</f>
        <v>39331.66667</v>
      </c>
      <c r="B5492" s="1">
        <f>IFERROR(__xludf.DUMMYFUNCTION("""COMPUTED_VALUE"""),1472.03)</f>
        <v>1472.03</v>
      </c>
      <c r="C5492" s="1">
        <f>IFERROR(__xludf.DUMMYFUNCTION("""COMPUTED_VALUE"""),1481.49)</f>
        <v>1481.49</v>
      </c>
      <c r="D5492" s="1">
        <f>IFERROR(__xludf.DUMMYFUNCTION("""COMPUTED_VALUE"""),1467.41)</f>
        <v>1467.41</v>
      </c>
      <c r="E5492" s="1">
        <f>IFERROR(__xludf.DUMMYFUNCTION("""COMPUTED_VALUE"""),1478.55)</f>
        <v>1478.55</v>
      </c>
      <c r="F5492" s="1">
        <f>IFERROR(__xludf.DUMMYFUNCTION("""COMPUTED_VALUE"""),2.45959008E8)</f>
        <v>245959008</v>
      </c>
    </row>
    <row r="5493">
      <c r="A5493" s="2">
        <f>IFERROR(__xludf.DUMMYFUNCTION("""COMPUTED_VALUE"""),39332.666666666664)</f>
        <v>39332.66667</v>
      </c>
      <c r="B5493" s="1">
        <f>IFERROR(__xludf.DUMMYFUNCTION("""COMPUTED_VALUE"""),1478.55)</f>
        <v>1478.55</v>
      </c>
      <c r="C5493" s="1">
        <f>IFERROR(__xludf.DUMMYFUNCTION("""COMPUTED_VALUE"""),1478.55)</f>
        <v>1478.55</v>
      </c>
      <c r="D5493" s="1">
        <f>IFERROR(__xludf.DUMMYFUNCTION("""COMPUTED_VALUE"""),1449.07)</f>
        <v>1449.07</v>
      </c>
      <c r="E5493" s="1">
        <f>IFERROR(__xludf.DUMMYFUNCTION("""COMPUTED_VALUE"""),1453.55)</f>
        <v>1453.55</v>
      </c>
      <c r="F5493" s="1">
        <f>IFERROR(__xludf.DUMMYFUNCTION("""COMPUTED_VALUE"""),3.19108E8)</f>
        <v>319108000</v>
      </c>
    </row>
    <row r="5494">
      <c r="A5494" s="2">
        <f>IFERROR(__xludf.DUMMYFUNCTION("""COMPUTED_VALUE"""),39335.666666666664)</f>
        <v>39335.66667</v>
      </c>
      <c r="B5494" s="1">
        <f>IFERROR(__xludf.DUMMYFUNCTION("""COMPUTED_VALUE"""),1453.5)</f>
        <v>1453.5</v>
      </c>
      <c r="C5494" s="1">
        <f>IFERROR(__xludf.DUMMYFUNCTION("""COMPUTED_VALUE"""),1462.25)</f>
        <v>1462.25</v>
      </c>
      <c r="D5494" s="1">
        <f>IFERROR(__xludf.DUMMYFUNCTION("""COMPUTED_VALUE"""),1439.29)</f>
        <v>1439.29</v>
      </c>
      <c r="E5494" s="1">
        <f>IFERROR(__xludf.DUMMYFUNCTION("""COMPUTED_VALUE"""),1451.7)</f>
        <v>1451.7</v>
      </c>
      <c r="F5494" s="1">
        <f>IFERROR(__xludf.DUMMYFUNCTION("""COMPUTED_VALUE"""),2.83572E8)</f>
        <v>283572000</v>
      </c>
    </row>
    <row r="5495">
      <c r="A5495" s="2">
        <f>IFERROR(__xludf.DUMMYFUNCTION("""COMPUTED_VALUE"""),39336.666666666664)</f>
        <v>39336.66667</v>
      </c>
      <c r="B5495" s="1">
        <f>IFERROR(__xludf.DUMMYFUNCTION("""COMPUTED_VALUE"""),1451.69)</f>
        <v>1451.69</v>
      </c>
      <c r="C5495" s="1">
        <f>IFERROR(__xludf.DUMMYFUNCTION("""COMPUTED_VALUE"""),1472.48)</f>
        <v>1472.48</v>
      </c>
      <c r="D5495" s="1">
        <f>IFERROR(__xludf.DUMMYFUNCTION("""COMPUTED_VALUE"""),1451.69)</f>
        <v>1451.69</v>
      </c>
      <c r="E5495" s="1">
        <f>IFERROR(__xludf.DUMMYFUNCTION("""COMPUTED_VALUE"""),1471.49)</f>
        <v>1471.49</v>
      </c>
      <c r="F5495" s="1">
        <f>IFERROR(__xludf.DUMMYFUNCTION("""COMPUTED_VALUE"""),3.01532992E8)</f>
        <v>301532992</v>
      </c>
    </row>
    <row r="5496">
      <c r="A5496" s="2">
        <f>IFERROR(__xludf.DUMMYFUNCTION("""COMPUTED_VALUE"""),39337.666666666664)</f>
        <v>39337.66667</v>
      </c>
      <c r="B5496" s="1">
        <f>IFERROR(__xludf.DUMMYFUNCTION("""COMPUTED_VALUE"""),1471.1)</f>
        <v>1471.1</v>
      </c>
      <c r="C5496" s="1">
        <f>IFERROR(__xludf.DUMMYFUNCTION("""COMPUTED_VALUE"""),1479.5)</f>
        <v>1479.5</v>
      </c>
      <c r="D5496" s="1">
        <f>IFERROR(__xludf.DUMMYFUNCTION("""COMPUTED_VALUE"""),1465.75)</f>
        <v>1465.75</v>
      </c>
      <c r="E5496" s="1">
        <f>IFERROR(__xludf.DUMMYFUNCTION("""COMPUTED_VALUE"""),1471.56)</f>
        <v>1471.56</v>
      </c>
      <c r="F5496" s="1">
        <f>IFERROR(__xludf.DUMMYFUNCTION("""COMPUTED_VALUE"""),2.88572E8)</f>
        <v>288572000</v>
      </c>
    </row>
    <row r="5497">
      <c r="A5497" s="2">
        <f>IFERROR(__xludf.DUMMYFUNCTION("""COMPUTED_VALUE"""),39338.666666666664)</f>
        <v>39338.66667</v>
      </c>
      <c r="B5497" s="1">
        <f>IFERROR(__xludf.DUMMYFUNCTION("""COMPUTED_VALUE"""),1471.47)</f>
        <v>1471.47</v>
      </c>
      <c r="C5497" s="1">
        <f>IFERROR(__xludf.DUMMYFUNCTION("""COMPUTED_VALUE"""),1489.58)</f>
        <v>1489.58</v>
      </c>
      <c r="D5497" s="1">
        <f>IFERROR(__xludf.DUMMYFUNCTION("""COMPUTED_VALUE"""),1471.47)</f>
        <v>1471.47</v>
      </c>
      <c r="E5497" s="1">
        <f>IFERROR(__xludf.DUMMYFUNCTION("""COMPUTED_VALUE"""),1483.95)</f>
        <v>1483.95</v>
      </c>
      <c r="F5497" s="1">
        <f>IFERROR(__xludf.DUMMYFUNCTION("""COMPUTED_VALUE"""),2.87708E8)</f>
        <v>287708000</v>
      </c>
    </row>
    <row r="5498">
      <c r="A5498" s="2">
        <f>IFERROR(__xludf.DUMMYFUNCTION("""COMPUTED_VALUE"""),39339.666666666664)</f>
        <v>39339.66667</v>
      </c>
      <c r="B5498" s="1">
        <f>IFERROR(__xludf.DUMMYFUNCTION("""COMPUTED_VALUE"""),1483.95)</f>
        <v>1483.95</v>
      </c>
      <c r="C5498" s="1">
        <f>IFERROR(__xludf.DUMMYFUNCTION("""COMPUTED_VALUE"""),1485.99)</f>
        <v>1485.99</v>
      </c>
      <c r="D5498" s="1">
        <f>IFERROR(__xludf.DUMMYFUNCTION("""COMPUTED_VALUE"""),1473.18)</f>
        <v>1473.18</v>
      </c>
      <c r="E5498" s="1">
        <f>IFERROR(__xludf.DUMMYFUNCTION("""COMPUTED_VALUE"""),1484.25)</f>
        <v>1484.25</v>
      </c>
      <c r="F5498" s="1">
        <f>IFERROR(__xludf.DUMMYFUNCTION("""COMPUTED_VALUE"""),2.64174E8)</f>
        <v>264174000</v>
      </c>
    </row>
    <row r="5499">
      <c r="A5499" s="2">
        <f>IFERROR(__xludf.DUMMYFUNCTION("""COMPUTED_VALUE"""),39342.666666666664)</f>
        <v>39342.66667</v>
      </c>
      <c r="B5499" s="1">
        <f>IFERROR(__xludf.DUMMYFUNCTION("""COMPUTED_VALUE"""),1484.24)</f>
        <v>1484.24</v>
      </c>
      <c r="C5499" s="1">
        <f>IFERROR(__xludf.DUMMYFUNCTION("""COMPUTED_VALUE"""),1484.24)</f>
        <v>1484.24</v>
      </c>
      <c r="D5499" s="1">
        <f>IFERROR(__xludf.DUMMYFUNCTION("""COMPUTED_VALUE"""),1471.82)</f>
        <v>1471.82</v>
      </c>
      <c r="E5499" s="1">
        <f>IFERROR(__xludf.DUMMYFUNCTION("""COMPUTED_VALUE"""),1476.65)</f>
        <v>1476.65</v>
      </c>
      <c r="F5499" s="1">
        <f>IFERROR(__xludf.DUMMYFUNCTION("""COMPUTED_VALUE"""),2.59839008E8)</f>
        <v>259839008</v>
      </c>
    </row>
    <row r="5500">
      <c r="A5500" s="2">
        <f>IFERROR(__xludf.DUMMYFUNCTION("""COMPUTED_VALUE"""),39343.666666666664)</f>
        <v>39343.66667</v>
      </c>
      <c r="B5500" s="1">
        <f>IFERROR(__xludf.DUMMYFUNCTION("""COMPUTED_VALUE"""),1476.63)</f>
        <v>1476.63</v>
      </c>
      <c r="C5500" s="1">
        <f>IFERROR(__xludf.DUMMYFUNCTION("""COMPUTED_VALUE"""),1519.89)</f>
        <v>1519.89</v>
      </c>
      <c r="D5500" s="1">
        <f>IFERROR(__xludf.DUMMYFUNCTION("""COMPUTED_VALUE"""),1476.63)</f>
        <v>1476.63</v>
      </c>
      <c r="E5500" s="1">
        <f>IFERROR(__xludf.DUMMYFUNCTION("""COMPUTED_VALUE"""),1519.78)</f>
        <v>1519.78</v>
      </c>
      <c r="F5500" s="1">
        <f>IFERROR(__xludf.DUMMYFUNCTION("""COMPUTED_VALUE"""),3.70894016E8)</f>
        <v>370894016</v>
      </c>
    </row>
    <row r="5501">
      <c r="A5501" s="2">
        <f>IFERROR(__xludf.DUMMYFUNCTION("""COMPUTED_VALUE"""),39344.666666666664)</f>
        <v>39344.66667</v>
      </c>
      <c r="B5501" s="1">
        <f>IFERROR(__xludf.DUMMYFUNCTION("""COMPUTED_VALUE"""),1519.75)</f>
        <v>1519.75</v>
      </c>
      <c r="C5501" s="1">
        <f>IFERROR(__xludf.DUMMYFUNCTION("""COMPUTED_VALUE"""),1538.74)</f>
        <v>1538.74</v>
      </c>
      <c r="D5501" s="1">
        <f>IFERROR(__xludf.DUMMYFUNCTION("""COMPUTED_VALUE"""),1519.75)</f>
        <v>1519.75</v>
      </c>
      <c r="E5501" s="1">
        <f>IFERROR(__xludf.DUMMYFUNCTION("""COMPUTED_VALUE"""),1529.03)</f>
        <v>1529.03</v>
      </c>
      <c r="F5501" s="1">
        <f>IFERROR(__xludf.DUMMYFUNCTION("""COMPUTED_VALUE"""),3.84675008E8)</f>
        <v>384675008</v>
      </c>
    </row>
    <row r="5502">
      <c r="A5502" s="2">
        <f>IFERROR(__xludf.DUMMYFUNCTION("""COMPUTED_VALUE"""),39345.666666666664)</f>
        <v>39345.66667</v>
      </c>
      <c r="B5502" s="1">
        <f>IFERROR(__xludf.DUMMYFUNCTION("""COMPUTED_VALUE"""),1528.69)</f>
        <v>1528.69</v>
      </c>
      <c r="C5502" s="1">
        <f>IFERROR(__xludf.DUMMYFUNCTION("""COMPUTED_VALUE"""),1529.14)</f>
        <v>1529.14</v>
      </c>
      <c r="D5502" s="1">
        <f>IFERROR(__xludf.DUMMYFUNCTION("""COMPUTED_VALUE"""),1516.42)</f>
        <v>1516.42</v>
      </c>
      <c r="E5502" s="1">
        <f>IFERROR(__xludf.DUMMYFUNCTION("""COMPUTED_VALUE"""),1518.75)</f>
        <v>1518.75</v>
      </c>
      <c r="F5502" s="1">
        <f>IFERROR(__xludf.DUMMYFUNCTION("""COMPUTED_VALUE"""),2.95769984E8)</f>
        <v>295769984</v>
      </c>
    </row>
    <row r="5503">
      <c r="A5503" s="2">
        <f>IFERROR(__xludf.DUMMYFUNCTION("""COMPUTED_VALUE"""),39346.666666666664)</f>
        <v>39346.66667</v>
      </c>
      <c r="B5503" s="1">
        <f>IFERROR(__xludf.DUMMYFUNCTION("""COMPUTED_VALUE"""),1518.75)</f>
        <v>1518.75</v>
      </c>
      <c r="C5503" s="1">
        <f>IFERROR(__xludf.DUMMYFUNCTION("""COMPUTED_VALUE"""),1530.89)</f>
        <v>1530.89</v>
      </c>
      <c r="D5503" s="1">
        <f>IFERROR(__xludf.DUMMYFUNCTION("""COMPUTED_VALUE"""),1518.75)</f>
        <v>1518.75</v>
      </c>
      <c r="E5503" s="1">
        <f>IFERROR(__xludf.DUMMYFUNCTION("""COMPUTED_VALUE"""),1525.75)</f>
        <v>1525.75</v>
      </c>
      <c r="F5503" s="1">
        <f>IFERROR(__xludf.DUMMYFUNCTION("""COMPUTED_VALUE"""),3.67945984E8)</f>
        <v>367945984</v>
      </c>
    </row>
    <row r="5504">
      <c r="A5504" s="2">
        <f>IFERROR(__xludf.DUMMYFUNCTION("""COMPUTED_VALUE"""),39349.666666666664)</f>
        <v>39349.66667</v>
      </c>
      <c r="B5504" s="1">
        <f>IFERROR(__xludf.DUMMYFUNCTION("""COMPUTED_VALUE"""),1525.75)</f>
        <v>1525.75</v>
      </c>
      <c r="C5504" s="1">
        <f>IFERROR(__xludf.DUMMYFUNCTION("""COMPUTED_VALUE"""),1530.18)</f>
        <v>1530.18</v>
      </c>
      <c r="D5504" s="1">
        <f>IFERROR(__xludf.DUMMYFUNCTION("""COMPUTED_VALUE"""),1516.15)</f>
        <v>1516.15</v>
      </c>
      <c r="E5504" s="1">
        <f>IFERROR(__xludf.DUMMYFUNCTION("""COMPUTED_VALUE"""),1517.73)</f>
        <v>1517.73</v>
      </c>
      <c r="F5504" s="1">
        <f>IFERROR(__xludf.DUMMYFUNCTION("""COMPUTED_VALUE"""),3.13131008E8)</f>
        <v>313131008</v>
      </c>
    </row>
    <row r="5505">
      <c r="A5505" s="2">
        <f>IFERROR(__xludf.DUMMYFUNCTION("""COMPUTED_VALUE"""),39350.666666666664)</f>
        <v>39350.66667</v>
      </c>
      <c r="B5505" s="1">
        <f>IFERROR(__xludf.DUMMYFUNCTION("""COMPUTED_VALUE"""),1516.34)</f>
        <v>1516.34</v>
      </c>
      <c r="C5505" s="1">
        <f>IFERROR(__xludf.DUMMYFUNCTION("""COMPUTED_VALUE"""),1518.27)</f>
        <v>1518.27</v>
      </c>
      <c r="D5505" s="1">
        <f>IFERROR(__xludf.DUMMYFUNCTION("""COMPUTED_VALUE"""),1507.13)</f>
        <v>1507.13</v>
      </c>
      <c r="E5505" s="1">
        <f>IFERROR(__xludf.DUMMYFUNCTION("""COMPUTED_VALUE"""),1517.21)</f>
        <v>1517.21</v>
      </c>
      <c r="F5505" s="1">
        <f>IFERROR(__xludf.DUMMYFUNCTION("""COMPUTED_VALUE"""),3.18776992E8)</f>
        <v>318776992</v>
      </c>
    </row>
    <row r="5506">
      <c r="A5506" s="2">
        <f>IFERROR(__xludf.DUMMYFUNCTION("""COMPUTED_VALUE"""),39351.666666666664)</f>
        <v>39351.66667</v>
      </c>
      <c r="B5506" s="1">
        <f>IFERROR(__xludf.DUMMYFUNCTION("""COMPUTED_VALUE"""),1518.62)</f>
        <v>1518.62</v>
      </c>
      <c r="C5506" s="1">
        <f>IFERROR(__xludf.DUMMYFUNCTION("""COMPUTED_VALUE"""),1529.39)</f>
        <v>1529.39</v>
      </c>
      <c r="D5506" s="1">
        <f>IFERROR(__xludf.DUMMYFUNCTION("""COMPUTED_VALUE"""),1518.62)</f>
        <v>1518.62</v>
      </c>
      <c r="E5506" s="1">
        <f>IFERROR(__xludf.DUMMYFUNCTION("""COMPUTED_VALUE"""),1525.42)</f>
        <v>1525.42</v>
      </c>
      <c r="F5506" s="1">
        <f>IFERROR(__xludf.DUMMYFUNCTION("""COMPUTED_VALUE"""),3.23739008E8)</f>
        <v>323739008</v>
      </c>
    </row>
    <row r="5507">
      <c r="A5507" s="2">
        <f>IFERROR(__xludf.DUMMYFUNCTION("""COMPUTED_VALUE"""),39352.666666666664)</f>
        <v>39352.66667</v>
      </c>
      <c r="B5507" s="1">
        <f>IFERROR(__xludf.DUMMYFUNCTION("""COMPUTED_VALUE"""),1527.32)</f>
        <v>1527.32</v>
      </c>
      <c r="C5507" s="1">
        <f>IFERROR(__xludf.DUMMYFUNCTION("""COMPUTED_VALUE"""),1532.46)</f>
        <v>1532.46</v>
      </c>
      <c r="D5507" s="1">
        <f>IFERROR(__xludf.DUMMYFUNCTION("""COMPUTED_VALUE"""),1525.81)</f>
        <v>1525.81</v>
      </c>
      <c r="E5507" s="1">
        <f>IFERROR(__xludf.DUMMYFUNCTION("""COMPUTED_VALUE"""),1531.38)</f>
        <v>1531.38</v>
      </c>
      <c r="F5507" s="1">
        <f>IFERROR(__xludf.DUMMYFUNCTION("""COMPUTED_VALUE"""),2.87217984E8)</f>
        <v>287217984</v>
      </c>
    </row>
    <row r="5508">
      <c r="A5508" s="2">
        <f>IFERROR(__xludf.DUMMYFUNCTION("""COMPUTED_VALUE"""),39353.666666666664)</f>
        <v>39353.66667</v>
      </c>
      <c r="B5508" s="1">
        <f>IFERROR(__xludf.DUMMYFUNCTION("""COMPUTED_VALUE"""),1531.24)</f>
        <v>1531.24</v>
      </c>
      <c r="C5508" s="1">
        <f>IFERROR(__xludf.DUMMYFUNCTION("""COMPUTED_VALUE"""),1533.74)</f>
        <v>1533.74</v>
      </c>
      <c r="D5508" s="1">
        <f>IFERROR(__xludf.DUMMYFUNCTION("""COMPUTED_VALUE"""),1521.99)</f>
        <v>1521.99</v>
      </c>
      <c r="E5508" s="1">
        <f>IFERROR(__xludf.DUMMYFUNCTION("""COMPUTED_VALUE"""),1526.75)</f>
        <v>1526.75</v>
      </c>
      <c r="F5508" s="1">
        <f>IFERROR(__xludf.DUMMYFUNCTION("""COMPUTED_VALUE"""),2.92535008E8)</f>
        <v>292535008</v>
      </c>
    </row>
    <row r="5509">
      <c r="A5509" s="2">
        <f>IFERROR(__xludf.DUMMYFUNCTION("""COMPUTED_VALUE"""),39356.666666666664)</f>
        <v>39356.66667</v>
      </c>
      <c r="B5509" s="1">
        <f>IFERROR(__xludf.DUMMYFUNCTION("""COMPUTED_VALUE"""),1527.29)</f>
        <v>1527.29</v>
      </c>
      <c r="C5509" s="1">
        <f>IFERROR(__xludf.DUMMYFUNCTION("""COMPUTED_VALUE"""),1549.02)</f>
        <v>1549.02</v>
      </c>
      <c r="D5509" s="1">
        <f>IFERROR(__xludf.DUMMYFUNCTION("""COMPUTED_VALUE"""),1527.25)</f>
        <v>1527.25</v>
      </c>
      <c r="E5509" s="1">
        <f>IFERROR(__xludf.DUMMYFUNCTION("""COMPUTED_VALUE"""),1547.04)</f>
        <v>1547.04</v>
      </c>
      <c r="F5509" s="1">
        <f>IFERROR(__xludf.DUMMYFUNCTION("""COMPUTED_VALUE"""),3.28199008E8)</f>
        <v>328199008</v>
      </c>
    </row>
    <row r="5510">
      <c r="A5510" s="2">
        <f>IFERROR(__xludf.DUMMYFUNCTION("""COMPUTED_VALUE"""),39357.666666666664)</f>
        <v>39357.66667</v>
      </c>
      <c r="B5510" s="1">
        <f>IFERROR(__xludf.DUMMYFUNCTION("""COMPUTED_VALUE"""),1546.73)</f>
        <v>1546.73</v>
      </c>
      <c r="C5510" s="1">
        <f>IFERROR(__xludf.DUMMYFUNCTION("""COMPUTED_VALUE"""),1548.01)</f>
        <v>1548.01</v>
      </c>
      <c r="D5510" s="1">
        <f>IFERROR(__xludf.DUMMYFUNCTION("""COMPUTED_VALUE"""),1540.37)</f>
        <v>1540.37</v>
      </c>
      <c r="E5510" s="1">
        <f>IFERROR(__xludf.DUMMYFUNCTION("""COMPUTED_VALUE"""),1546.63)</f>
        <v>1546.63</v>
      </c>
      <c r="F5510" s="1">
        <f>IFERROR(__xludf.DUMMYFUNCTION("""COMPUTED_VALUE"""),3.10191008E8)</f>
        <v>310191008</v>
      </c>
    </row>
    <row r="5511">
      <c r="A5511" s="2">
        <f>IFERROR(__xludf.DUMMYFUNCTION("""COMPUTED_VALUE"""),39358.666666666664)</f>
        <v>39358.66667</v>
      </c>
      <c r="B5511" s="1">
        <f>IFERROR(__xludf.DUMMYFUNCTION("""COMPUTED_VALUE"""),1545.8)</f>
        <v>1545.8</v>
      </c>
      <c r="C5511" s="1">
        <f>IFERROR(__xludf.DUMMYFUNCTION("""COMPUTED_VALUE"""),1545.84)</f>
        <v>1545.84</v>
      </c>
      <c r="D5511" s="1">
        <f>IFERROR(__xludf.DUMMYFUNCTION("""COMPUTED_VALUE"""),1536.34)</f>
        <v>1536.34</v>
      </c>
      <c r="E5511" s="1">
        <f>IFERROR(__xludf.DUMMYFUNCTION("""COMPUTED_VALUE"""),1539.59)</f>
        <v>1539.59</v>
      </c>
      <c r="F5511" s="1">
        <f>IFERROR(__xludf.DUMMYFUNCTION("""COMPUTED_VALUE"""),3.06532E8)</f>
        <v>306532000</v>
      </c>
    </row>
    <row r="5512">
      <c r="A5512" s="2">
        <f>IFERROR(__xludf.DUMMYFUNCTION("""COMPUTED_VALUE"""),39359.666666666664)</f>
        <v>39359.66667</v>
      </c>
      <c r="B5512" s="1">
        <f>IFERROR(__xludf.DUMMYFUNCTION("""COMPUTED_VALUE"""),1539.91)</f>
        <v>1539.91</v>
      </c>
      <c r="C5512" s="1">
        <f>IFERROR(__xludf.DUMMYFUNCTION("""COMPUTED_VALUE"""),1544.02)</f>
        <v>1544.02</v>
      </c>
      <c r="D5512" s="1">
        <f>IFERROR(__xludf.DUMMYFUNCTION("""COMPUTED_VALUE"""),1537.63)</f>
        <v>1537.63</v>
      </c>
      <c r="E5512" s="1">
        <f>IFERROR(__xludf.DUMMYFUNCTION("""COMPUTED_VALUE"""),1542.84)</f>
        <v>1542.84</v>
      </c>
      <c r="F5512" s="1">
        <f>IFERROR(__xludf.DUMMYFUNCTION("""COMPUTED_VALUE"""),2.69043008E8)</f>
        <v>269043008</v>
      </c>
    </row>
    <row r="5513">
      <c r="A5513" s="2">
        <f>IFERROR(__xludf.DUMMYFUNCTION("""COMPUTED_VALUE"""),39360.666666666664)</f>
        <v>39360.66667</v>
      </c>
      <c r="B5513" s="1">
        <f>IFERROR(__xludf.DUMMYFUNCTION("""COMPUTED_VALUE"""),1543.84)</f>
        <v>1543.84</v>
      </c>
      <c r="C5513" s="1">
        <f>IFERROR(__xludf.DUMMYFUNCTION("""COMPUTED_VALUE"""),1561.91)</f>
        <v>1561.91</v>
      </c>
      <c r="D5513" s="1">
        <f>IFERROR(__xludf.DUMMYFUNCTION("""COMPUTED_VALUE"""),1543.84)</f>
        <v>1543.84</v>
      </c>
      <c r="E5513" s="1">
        <f>IFERROR(__xludf.DUMMYFUNCTION("""COMPUTED_VALUE"""),1557.59)</f>
        <v>1557.59</v>
      </c>
      <c r="F5513" s="1">
        <f>IFERROR(__xludf.DUMMYFUNCTION("""COMPUTED_VALUE"""),2.91903008E8)</f>
        <v>291903008</v>
      </c>
    </row>
    <row r="5514">
      <c r="A5514" s="2">
        <f>IFERROR(__xludf.DUMMYFUNCTION("""COMPUTED_VALUE"""),39363.666666666664)</f>
        <v>39363.66667</v>
      </c>
      <c r="B5514" s="1">
        <f>IFERROR(__xludf.DUMMYFUNCTION("""COMPUTED_VALUE"""),1556.51)</f>
        <v>1556.51</v>
      </c>
      <c r="C5514" s="1">
        <f>IFERROR(__xludf.DUMMYFUNCTION("""COMPUTED_VALUE"""),1556.51)</f>
        <v>1556.51</v>
      </c>
      <c r="D5514" s="1">
        <f>IFERROR(__xludf.DUMMYFUNCTION("""COMPUTED_VALUE"""),1549.0)</f>
        <v>1549</v>
      </c>
      <c r="E5514" s="1">
        <f>IFERROR(__xludf.DUMMYFUNCTION("""COMPUTED_VALUE"""),1552.58)</f>
        <v>1552.58</v>
      </c>
      <c r="F5514" s="1">
        <f>IFERROR(__xludf.DUMMYFUNCTION("""COMPUTED_VALUE"""),2.04064992E8)</f>
        <v>204064992</v>
      </c>
    </row>
    <row r="5515">
      <c r="A5515" s="2">
        <f>IFERROR(__xludf.DUMMYFUNCTION("""COMPUTED_VALUE"""),39364.666666666664)</f>
        <v>39364.66667</v>
      </c>
      <c r="B5515" s="1">
        <f>IFERROR(__xludf.DUMMYFUNCTION("""COMPUTED_VALUE"""),1554.23)</f>
        <v>1554.23</v>
      </c>
      <c r="C5515" s="1">
        <f>IFERROR(__xludf.DUMMYFUNCTION("""COMPUTED_VALUE"""),1565.26)</f>
        <v>1565.26</v>
      </c>
      <c r="D5515" s="1">
        <f>IFERROR(__xludf.DUMMYFUNCTION("""COMPUTED_VALUE"""),1551.82)</f>
        <v>1551.82</v>
      </c>
      <c r="E5515" s="1">
        <f>IFERROR(__xludf.DUMMYFUNCTION("""COMPUTED_VALUE"""),1565.15)</f>
        <v>1565.15</v>
      </c>
      <c r="F5515" s="1">
        <f>IFERROR(__xludf.DUMMYFUNCTION("""COMPUTED_VALUE"""),2.93204E8)</f>
        <v>293204000</v>
      </c>
    </row>
    <row r="5516">
      <c r="A5516" s="2">
        <f>IFERROR(__xludf.DUMMYFUNCTION("""COMPUTED_VALUE"""),39365.666666666664)</f>
        <v>39365.66667</v>
      </c>
      <c r="B5516" s="1">
        <f>IFERROR(__xludf.DUMMYFUNCTION("""COMPUTED_VALUE"""),1564.98)</f>
        <v>1564.98</v>
      </c>
      <c r="C5516" s="1">
        <f>IFERROR(__xludf.DUMMYFUNCTION("""COMPUTED_VALUE"""),1565.42)</f>
        <v>1565.42</v>
      </c>
      <c r="D5516" s="1">
        <f>IFERROR(__xludf.DUMMYFUNCTION("""COMPUTED_VALUE"""),1555.46)</f>
        <v>1555.46</v>
      </c>
      <c r="E5516" s="1">
        <f>IFERROR(__xludf.DUMMYFUNCTION("""COMPUTED_VALUE"""),1562.47)</f>
        <v>1562.47</v>
      </c>
      <c r="F5516" s="1">
        <f>IFERROR(__xludf.DUMMYFUNCTION("""COMPUTED_VALUE"""),3.04476E8)</f>
        <v>304476000</v>
      </c>
    </row>
    <row r="5517">
      <c r="A5517" s="2">
        <f>IFERROR(__xludf.DUMMYFUNCTION("""COMPUTED_VALUE"""),39366.666666666664)</f>
        <v>39366.66667</v>
      </c>
      <c r="B5517" s="1">
        <f>IFERROR(__xludf.DUMMYFUNCTION("""COMPUTED_VALUE"""),1564.72)</f>
        <v>1564.72</v>
      </c>
      <c r="C5517" s="1">
        <f>IFERROR(__xludf.DUMMYFUNCTION("""COMPUTED_VALUE"""),1576.09)</f>
        <v>1576.09</v>
      </c>
      <c r="D5517" s="1">
        <f>IFERROR(__xludf.DUMMYFUNCTION("""COMPUTED_VALUE"""),1546.72)</f>
        <v>1546.72</v>
      </c>
      <c r="E5517" s="1">
        <f>IFERROR(__xludf.DUMMYFUNCTION("""COMPUTED_VALUE"""),1554.41)</f>
        <v>1554.41</v>
      </c>
      <c r="F5517" s="1">
        <f>IFERROR(__xludf.DUMMYFUNCTION("""COMPUTED_VALUE"""),3.91126016E8)</f>
        <v>391126016</v>
      </c>
    </row>
    <row r="5518">
      <c r="A5518" s="2">
        <f>IFERROR(__xludf.DUMMYFUNCTION("""COMPUTED_VALUE"""),39367.666666666664)</f>
        <v>39367.66667</v>
      </c>
      <c r="B5518" s="1">
        <f>IFERROR(__xludf.DUMMYFUNCTION("""COMPUTED_VALUE"""),1555.41)</f>
        <v>1555.41</v>
      </c>
      <c r="C5518" s="1">
        <f>IFERROR(__xludf.DUMMYFUNCTION("""COMPUTED_VALUE"""),1563.03)</f>
        <v>1563.03</v>
      </c>
      <c r="D5518" s="1">
        <f>IFERROR(__xludf.DUMMYFUNCTION("""COMPUTED_VALUE"""),1554.09)</f>
        <v>1554.09</v>
      </c>
      <c r="E5518" s="1">
        <f>IFERROR(__xludf.DUMMYFUNCTION("""COMPUTED_VALUE"""),1561.8)</f>
        <v>1561.8</v>
      </c>
      <c r="F5518" s="1">
        <f>IFERROR(__xludf.DUMMYFUNCTION("""COMPUTED_VALUE"""),2.78868992E8)</f>
        <v>278868992</v>
      </c>
    </row>
    <row r="5519">
      <c r="A5519" s="2">
        <f>IFERROR(__xludf.DUMMYFUNCTION("""COMPUTED_VALUE"""),39370.666666666664)</f>
        <v>39370.66667</v>
      </c>
      <c r="B5519" s="1">
        <f>IFERROR(__xludf.DUMMYFUNCTION("""COMPUTED_VALUE"""),1562.25)</f>
        <v>1562.25</v>
      </c>
      <c r="C5519" s="1">
        <f>IFERROR(__xludf.DUMMYFUNCTION("""COMPUTED_VALUE"""),1564.74)</f>
        <v>1564.74</v>
      </c>
      <c r="D5519" s="1">
        <f>IFERROR(__xludf.DUMMYFUNCTION("""COMPUTED_VALUE"""),1540.81)</f>
        <v>1540.81</v>
      </c>
      <c r="E5519" s="1">
        <f>IFERROR(__xludf.DUMMYFUNCTION("""COMPUTED_VALUE"""),1548.71)</f>
        <v>1548.71</v>
      </c>
      <c r="F5519" s="1">
        <f>IFERROR(__xludf.DUMMYFUNCTION("""COMPUTED_VALUE"""),3.13928992E8)</f>
        <v>313928992</v>
      </c>
    </row>
    <row r="5520">
      <c r="A5520" s="2">
        <f>IFERROR(__xludf.DUMMYFUNCTION("""COMPUTED_VALUE"""),39371.666666666664)</f>
        <v>39371.66667</v>
      </c>
      <c r="B5520" s="1">
        <f>IFERROR(__xludf.DUMMYFUNCTION("""COMPUTED_VALUE"""),1547.11)</f>
        <v>1547.11</v>
      </c>
      <c r="C5520" s="1">
        <f>IFERROR(__xludf.DUMMYFUNCTION("""COMPUTED_VALUE"""),1547.11)</f>
        <v>1547.11</v>
      </c>
      <c r="D5520" s="1">
        <f>IFERROR(__xludf.DUMMYFUNCTION("""COMPUTED_VALUE"""),1536.29)</f>
        <v>1536.29</v>
      </c>
      <c r="E5520" s="1">
        <f>IFERROR(__xludf.DUMMYFUNCTION("""COMPUTED_VALUE"""),1538.53)</f>
        <v>1538.53</v>
      </c>
      <c r="F5520" s="1">
        <f>IFERROR(__xludf.DUMMYFUNCTION("""COMPUTED_VALUE"""),3.23456E8)</f>
        <v>323456000</v>
      </c>
    </row>
    <row r="5521">
      <c r="A5521" s="2">
        <f>IFERROR(__xludf.DUMMYFUNCTION("""COMPUTED_VALUE"""),39372.666666666664)</f>
        <v>39372.66667</v>
      </c>
      <c r="B5521" s="1">
        <f>IFERROR(__xludf.DUMMYFUNCTION("""COMPUTED_VALUE"""),1544.44)</f>
        <v>1544.44</v>
      </c>
      <c r="C5521" s="1">
        <f>IFERROR(__xludf.DUMMYFUNCTION("""COMPUTED_VALUE"""),1550.66)</f>
        <v>1550.66</v>
      </c>
      <c r="D5521" s="1">
        <f>IFERROR(__xludf.DUMMYFUNCTION("""COMPUTED_VALUE"""),1526.01)</f>
        <v>1526.01</v>
      </c>
      <c r="E5521" s="1">
        <f>IFERROR(__xludf.DUMMYFUNCTION("""COMPUTED_VALUE"""),1541.24)</f>
        <v>1541.24</v>
      </c>
      <c r="F5521" s="1">
        <f>IFERROR(__xludf.DUMMYFUNCTION("""COMPUTED_VALUE"""),3.63807008E8)</f>
        <v>363807008</v>
      </c>
    </row>
    <row r="5522">
      <c r="A5522" s="2">
        <f>IFERROR(__xludf.DUMMYFUNCTION("""COMPUTED_VALUE"""),39373.666666666664)</f>
        <v>39373.66667</v>
      </c>
      <c r="B5522" s="1">
        <f>IFERROR(__xludf.DUMMYFUNCTION("""COMPUTED_VALUE"""),1539.29)</f>
        <v>1539.29</v>
      </c>
      <c r="C5522" s="1">
        <f>IFERROR(__xludf.DUMMYFUNCTION("""COMPUTED_VALUE"""),1542.79)</f>
        <v>1542.79</v>
      </c>
      <c r="D5522" s="1">
        <f>IFERROR(__xludf.DUMMYFUNCTION("""COMPUTED_VALUE"""),1531.76)</f>
        <v>1531.76</v>
      </c>
      <c r="E5522" s="1">
        <f>IFERROR(__xludf.DUMMYFUNCTION("""COMPUTED_VALUE"""),1540.08)</f>
        <v>1540.08</v>
      </c>
      <c r="F5522" s="1">
        <f>IFERROR(__xludf.DUMMYFUNCTION("""COMPUTED_VALUE"""),3.20320992E8)</f>
        <v>320320992</v>
      </c>
    </row>
    <row r="5523">
      <c r="A5523" s="2">
        <f>IFERROR(__xludf.DUMMYFUNCTION("""COMPUTED_VALUE"""),39374.666666666664)</f>
        <v>39374.66667</v>
      </c>
      <c r="B5523" s="1">
        <f>IFERROR(__xludf.DUMMYFUNCTION("""COMPUTED_VALUE"""),1540.0)</f>
        <v>1540</v>
      </c>
      <c r="C5523" s="1">
        <f>IFERROR(__xludf.DUMMYFUNCTION("""COMPUTED_VALUE"""),1540.0)</f>
        <v>1540</v>
      </c>
      <c r="D5523" s="1">
        <f>IFERROR(__xludf.DUMMYFUNCTION("""COMPUTED_VALUE"""),1500.26)</f>
        <v>1500.26</v>
      </c>
      <c r="E5523" s="1">
        <f>IFERROR(__xludf.DUMMYFUNCTION("""COMPUTED_VALUE"""),1500.63)</f>
        <v>1500.63</v>
      </c>
      <c r="F5523" s="1">
        <f>IFERROR(__xludf.DUMMYFUNCTION("""COMPUTED_VALUE"""),4.16096992E8)</f>
        <v>416096992</v>
      </c>
    </row>
    <row r="5524">
      <c r="A5524" s="2">
        <f>IFERROR(__xludf.DUMMYFUNCTION("""COMPUTED_VALUE"""),39377.666666666664)</f>
        <v>39377.66667</v>
      </c>
      <c r="B5524" s="1">
        <f>IFERROR(__xludf.DUMMYFUNCTION("""COMPUTED_VALUE"""),1497.79)</f>
        <v>1497.79</v>
      </c>
      <c r="C5524" s="1">
        <f>IFERROR(__xludf.DUMMYFUNCTION("""COMPUTED_VALUE"""),1508.06)</f>
        <v>1508.06</v>
      </c>
      <c r="D5524" s="1">
        <f>IFERROR(__xludf.DUMMYFUNCTION("""COMPUTED_VALUE"""),1490.4)</f>
        <v>1490.4</v>
      </c>
      <c r="E5524" s="1">
        <f>IFERROR(__xludf.DUMMYFUNCTION("""COMPUTED_VALUE"""),1506.33)</f>
        <v>1506.33</v>
      </c>
      <c r="F5524" s="1">
        <f>IFERROR(__xludf.DUMMYFUNCTION("""COMPUTED_VALUE"""),3.47183008E8)</f>
        <v>347183008</v>
      </c>
    </row>
    <row r="5525">
      <c r="A5525" s="2">
        <f>IFERROR(__xludf.DUMMYFUNCTION("""COMPUTED_VALUE"""),39378.666666666664)</f>
        <v>39378.66667</v>
      </c>
      <c r="B5525" s="1">
        <f>IFERROR(__xludf.DUMMYFUNCTION("""COMPUTED_VALUE"""),1509.3)</f>
        <v>1509.3</v>
      </c>
      <c r="C5525" s="1">
        <f>IFERROR(__xludf.DUMMYFUNCTION("""COMPUTED_VALUE"""),1520.01)</f>
        <v>1520.01</v>
      </c>
      <c r="D5525" s="1">
        <f>IFERROR(__xludf.DUMMYFUNCTION("""COMPUTED_VALUE"""),1503.61)</f>
        <v>1503.61</v>
      </c>
      <c r="E5525" s="1">
        <f>IFERROR(__xludf.DUMMYFUNCTION("""COMPUTED_VALUE"""),1519.59)</f>
        <v>1519.59</v>
      </c>
      <c r="F5525" s="1">
        <f>IFERROR(__xludf.DUMMYFUNCTION("""COMPUTED_VALUE"""),3.30912E8)</f>
        <v>330912000</v>
      </c>
    </row>
    <row r="5526">
      <c r="A5526" s="2">
        <f>IFERROR(__xludf.DUMMYFUNCTION("""COMPUTED_VALUE"""),39379.666666666664)</f>
        <v>39379.66667</v>
      </c>
      <c r="B5526" s="1">
        <f>IFERROR(__xludf.DUMMYFUNCTION("""COMPUTED_VALUE"""),1516.61)</f>
        <v>1516.61</v>
      </c>
      <c r="C5526" s="1">
        <f>IFERROR(__xludf.DUMMYFUNCTION("""COMPUTED_VALUE"""),1517.23)</f>
        <v>1517.23</v>
      </c>
      <c r="D5526" s="1">
        <f>IFERROR(__xludf.DUMMYFUNCTION("""COMPUTED_VALUE"""),1489.85)</f>
        <v>1489.85</v>
      </c>
      <c r="E5526" s="1">
        <f>IFERROR(__xludf.DUMMYFUNCTION("""COMPUTED_VALUE"""),1515.88)</f>
        <v>1515.88</v>
      </c>
      <c r="F5526" s="1">
        <f>IFERROR(__xludf.DUMMYFUNCTION("""COMPUTED_VALUE"""),4.00329984E8)</f>
        <v>400329984</v>
      </c>
    </row>
    <row r="5527">
      <c r="A5527" s="2">
        <f>IFERROR(__xludf.DUMMYFUNCTION("""COMPUTED_VALUE"""),39380.666666666664)</f>
        <v>39380.66667</v>
      </c>
      <c r="B5527" s="1">
        <f>IFERROR(__xludf.DUMMYFUNCTION("""COMPUTED_VALUE"""),1516.15)</f>
        <v>1516.15</v>
      </c>
      <c r="C5527" s="1">
        <f>IFERROR(__xludf.DUMMYFUNCTION("""COMPUTED_VALUE"""),1523.24)</f>
        <v>1523.24</v>
      </c>
      <c r="D5527" s="1">
        <f>IFERROR(__xludf.DUMMYFUNCTION("""COMPUTED_VALUE"""),1500.46)</f>
        <v>1500.46</v>
      </c>
      <c r="E5527" s="1">
        <f>IFERROR(__xludf.DUMMYFUNCTION("""COMPUTED_VALUE"""),1514.4)</f>
        <v>1514.4</v>
      </c>
      <c r="F5527" s="1">
        <f>IFERROR(__xludf.DUMMYFUNCTION("""COMPUTED_VALUE"""),4.18396E8)</f>
        <v>418396000</v>
      </c>
    </row>
    <row r="5528">
      <c r="A5528" s="2">
        <f>IFERROR(__xludf.DUMMYFUNCTION("""COMPUTED_VALUE"""),39381.666666666664)</f>
        <v>39381.66667</v>
      </c>
      <c r="B5528" s="1">
        <f>IFERROR(__xludf.DUMMYFUNCTION("""COMPUTED_VALUE"""),1523.51)</f>
        <v>1523.51</v>
      </c>
      <c r="C5528" s="1">
        <f>IFERROR(__xludf.DUMMYFUNCTION("""COMPUTED_VALUE"""),1535.53)</f>
        <v>1535.53</v>
      </c>
      <c r="D5528" s="1">
        <f>IFERROR(__xludf.DUMMYFUNCTION("""COMPUTED_VALUE"""),1520.18)</f>
        <v>1520.18</v>
      </c>
      <c r="E5528" s="1">
        <f>IFERROR(__xludf.DUMMYFUNCTION("""COMPUTED_VALUE"""),1535.28)</f>
        <v>1535.28</v>
      </c>
      <c r="F5528" s="1">
        <f>IFERROR(__xludf.DUMMYFUNCTION("""COMPUTED_VALUE"""),3.61212E8)</f>
        <v>361212000</v>
      </c>
    </row>
    <row r="5529">
      <c r="A5529" s="2">
        <f>IFERROR(__xludf.DUMMYFUNCTION("""COMPUTED_VALUE"""),39384.666666666664)</f>
        <v>39384.66667</v>
      </c>
      <c r="B5529" s="1">
        <f>IFERROR(__xludf.DUMMYFUNCTION("""COMPUTED_VALUE"""),1536.92)</f>
        <v>1536.92</v>
      </c>
      <c r="C5529" s="1">
        <f>IFERROR(__xludf.DUMMYFUNCTION("""COMPUTED_VALUE"""),1544.67)</f>
        <v>1544.67</v>
      </c>
      <c r="D5529" s="1">
        <f>IFERROR(__xludf.DUMMYFUNCTION("""COMPUTED_VALUE"""),1536.43)</f>
        <v>1536.43</v>
      </c>
      <c r="E5529" s="1">
        <f>IFERROR(__xludf.DUMMYFUNCTION("""COMPUTED_VALUE"""),1540.98)</f>
        <v>1540.98</v>
      </c>
      <c r="F5529" s="1">
        <f>IFERROR(__xludf.DUMMYFUNCTION("""COMPUTED_VALUE"""),3.12448E8)</f>
        <v>312448000</v>
      </c>
    </row>
    <row r="5530">
      <c r="A5530" s="2">
        <f>IFERROR(__xludf.DUMMYFUNCTION("""COMPUTED_VALUE"""),39385.666666666664)</f>
        <v>39385.66667</v>
      </c>
      <c r="B5530" s="1">
        <f>IFERROR(__xludf.DUMMYFUNCTION("""COMPUTED_VALUE"""),1539.42)</f>
        <v>1539.42</v>
      </c>
      <c r="C5530" s="1">
        <f>IFERROR(__xludf.DUMMYFUNCTION("""COMPUTED_VALUE"""),1539.42)</f>
        <v>1539.42</v>
      </c>
      <c r="D5530" s="1">
        <f>IFERROR(__xludf.DUMMYFUNCTION("""COMPUTED_VALUE"""),1529.55)</f>
        <v>1529.55</v>
      </c>
      <c r="E5530" s="1">
        <f>IFERROR(__xludf.DUMMYFUNCTION("""COMPUTED_VALUE"""),1531.02)</f>
        <v>1531.02</v>
      </c>
      <c r="F5530" s="1">
        <f>IFERROR(__xludf.DUMMYFUNCTION("""COMPUTED_VALUE"""),3.21252E8)</f>
        <v>321252000</v>
      </c>
    </row>
    <row r="5531">
      <c r="A5531" s="2">
        <f>IFERROR(__xludf.DUMMYFUNCTION("""COMPUTED_VALUE"""),39386.666666666664)</f>
        <v>39386.66667</v>
      </c>
      <c r="B5531" s="1">
        <f>IFERROR(__xludf.DUMMYFUNCTION("""COMPUTED_VALUE"""),1532.15)</f>
        <v>1532.15</v>
      </c>
      <c r="C5531" s="1">
        <f>IFERROR(__xludf.DUMMYFUNCTION("""COMPUTED_VALUE"""),1552.76)</f>
        <v>1552.76</v>
      </c>
      <c r="D5531" s="1">
        <f>IFERROR(__xludf.DUMMYFUNCTION("""COMPUTED_VALUE"""),1529.4)</f>
        <v>1529.4</v>
      </c>
      <c r="E5531" s="1">
        <f>IFERROR(__xludf.DUMMYFUNCTION("""COMPUTED_VALUE"""),1549.38)</f>
        <v>1549.38</v>
      </c>
      <c r="F5531" s="1">
        <f>IFERROR(__xludf.DUMMYFUNCTION("""COMPUTED_VALUE"""),3.95307008E8)</f>
        <v>395307008</v>
      </c>
    </row>
    <row r="5532">
      <c r="A5532" s="2">
        <f>IFERROR(__xludf.DUMMYFUNCTION("""COMPUTED_VALUE"""),39387.666666666664)</f>
        <v>39387.66667</v>
      </c>
      <c r="B5532" s="1">
        <f>IFERROR(__xludf.DUMMYFUNCTION("""COMPUTED_VALUE"""),1545.79)</f>
        <v>1545.79</v>
      </c>
      <c r="C5532" s="1">
        <f>IFERROR(__xludf.DUMMYFUNCTION("""COMPUTED_VALUE"""),1545.79)</f>
        <v>1545.79</v>
      </c>
      <c r="D5532" s="1">
        <f>IFERROR(__xludf.DUMMYFUNCTION("""COMPUTED_VALUE"""),1506.66)</f>
        <v>1506.66</v>
      </c>
      <c r="E5532" s="1">
        <f>IFERROR(__xludf.DUMMYFUNCTION("""COMPUTED_VALUE"""),1508.44)</f>
        <v>1508.44</v>
      </c>
      <c r="F5532" s="1">
        <f>IFERROR(__xludf.DUMMYFUNCTION("""COMPUTED_VALUE"""),4.24147008E8)</f>
        <v>424147008</v>
      </c>
    </row>
    <row r="5533">
      <c r="A5533" s="2">
        <f>IFERROR(__xludf.DUMMYFUNCTION("""COMPUTED_VALUE"""),39388.666666666664)</f>
        <v>39388.66667</v>
      </c>
      <c r="B5533" s="1">
        <f>IFERROR(__xludf.DUMMYFUNCTION("""COMPUTED_VALUE"""),1511.07)</f>
        <v>1511.07</v>
      </c>
      <c r="C5533" s="1">
        <f>IFERROR(__xludf.DUMMYFUNCTION("""COMPUTED_VALUE"""),1513.15)</f>
        <v>1513.15</v>
      </c>
      <c r="D5533" s="1">
        <f>IFERROR(__xludf.DUMMYFUNCTION("""COMPUTED_VALUE"""),1492.53)</f>
        <v>1492.53</v>
      </c>
      <c r="E5533" s="1">
        <f>IFERROR(__xludf.DUMMYFUNCTION("""COMPUTED_VALUE"""),1509.65)</f>
        <v>1509.65</v>
      </c>
      <c r="F5533" s="1">
        <f>IFERROR(__xludf.DUMMYFUNCTION("""COMPUTED_VALUE"""),4.28599008E8)</f>
        <v>428599008</v>
      </c>
    </row>
    <row r="5534">
      <c r="A5534" s="2">
        <f>IFERROR(__xludf.DUMMYFUNCTION("""COMPUTED_VALUE"""),39391.666666666664)</f>
        <v>39391.66667</v>
      </c>
      <c r="B5534" s="1">
        <f>IFERROR(__xludf.DUMMYFUNCTION("""COMPUTED_VALUE"""),1505.61)</f>
        <v>1505.61</v>
      </c>
      <c r="C5534" s="1">
        <f>IFERROR(__xludf.DUMMYFUNCTION("""COMPUTED_VALUE"""),1510.84)</f>
        <v>1510.84</v>
      </c>
      <c r="D5534" s="1">
        <f>IFERROR(__xludf.DUMMYFUNCTION("""COMPUTED_VALUE"""),1489.95)</f>
        <v>1489.95</v>
      </c>
      <c r="E5534" s="1">
        <f>IFERROR(__xludf.DUMMYFUNCTION("""COMPUTED_VALUE"""),1502.17)</f>
        <v>1502.17</v>
      </c>
      <c r="F5534" s="1">
        <f>IFERROR(__xludf.DUMMYFUNCTION("""COMPUTED_VALUE"""),3.81932992E8)</f>
        <v>381932992</v>
      </c>
    </row>
    <row r="5535">
      <c r="A5535" s="2">
        <f>IFERROR(__xludf.DUMMYFUNCTION("""COMPUTED_VALUE"""),39392.666666666664)</f>
        <v>39392.66667</v>
      </c>
      <c r="B5535" s="1">
        <f>IFERROR(__xludf.DUMMYFUNCTION("""COMPUTED_VALUE"""),1506.52)</f>
        <v>1506.52</v>
      </c>
      <c r="C5535" s="1">
        <f>IFERROR(__xludf.DUMMYFUNCTION("""COMPUTED_VALUE"""),1520.77)</f>
        <v>1520.77</v>
      </c>
      <c r="D5535" s="1">
        <f>IFERROR(__xludf.DUMMYFUNCTION("""COMPUTED_VALUE"""),1499.07)</f>
        <v>1499.07</v>
      </c>
      <c r="E5535" s="1">
        <f>IFERROR(__xludf.DUMMYFUNCTION("""COMPUTED_VALUE"""),1520.27)</f>
        <v>1520.27</v>
      </c>
      <c r="F5535" s="1">
        <f>IFERROR(__xludf.DUMMYFUNCTION("""COMPUTED_VALUE"""),3.87916E8)</f>
        <v>387916000</v>
      </c>
    </row>
    <row r="5536">
      <c r="A5536" s="2">
        <f>IFERROR(__xludf.DUMMYFUNCTION("""COMPUTED_VALUE"""),39393.666666666664)</f>
        <v>39393.66667</v>
      </c>
      <c r="B5536" s="1">
        <f>IFERROR(__xludf.DUMMYFUNCTION("""COMPUTED_VALUE"""),1515.46)</f>
        <v>1515.46</v>
      </c>
      <c r="C5536" s="1">
        <f>IFERROR(__xludf.DUMMYFUNCTION("""COMPUTED_VALUE"""),1515.46)</f>
        <v>1515.46</v>
      </c>
      <c r="D5536" s="1">
        <f>IFERROR(__xludf.DUMMYFUNCTION("""COMPUTED_VALUE"""),1475.04)</f>
        <v>1475.04</v>
      </c>
      <c r="E5536" s="1">
        <f>IFERROR(__xludf.DUMMYFUNCTION("""COMPUTED_VALUE"""),1475.62)</f>
        <v>1475.62</v>
      </c>
      <c r="F5536" s="1">
        <f>IFERROR(__xludf.DUMMYFUNCTION("""COMPUTED_VALUE"""),4.35316E8)</f>
        <v>435316000</v>
      </c>
    </row>
    <row r="5537">
      <c r="A5537" s="2">
        <f>IFERROR(__xludf.DUMMYFUNCTION("""COMPUTED_VALUE"""),39394.666666666664)</f>
        <v>39394.66667</v>
      </c>
      <c r="B5537" s="1">
        <f>IFERROR(__xludf.DUMMYFUNCTION("""COMPUTED_VALUE"""),1475.27)</f>
        <v>1475.27</v>
      </c>
      <c r="C5537" s="1">
        <f>IFERROR(__xludf.DUMMYFUNCTION("""COMPUTED_VALUE"""),1482.5)</f>
        <v>1482.5</v>
      </c>
      <c r="D5537" s="1">
        <f>IFERROR(__xludf.DUMMYFUNCTION("""COMPUTED_VALUE"""),1450.44)</f>
        <v>1450.44</v>
      </c>
      <c r="E5537" s="1">
        <f>IFERROR(__xludf.DUMMYFUNCTION("""COMPUTED_VALUE"""),1474.77)</f>
        <v>1474.77</v>
      </c>
      <c r="F5537" s="1">
        <f>IFERROR(__xludf.DUMMYFUNCTION("""COMPUTED_VALUE"""),5.43971968E8)</f>
        <v>543971968</v>
      </c>
    </row>
    <row r="5538">
      <c r="A5538" s="2">
        <f>IFERROR(__xludf.DUMMYFUNCTION("""COMPUTED_VALUE"""),39395.666666666664)</f>
        <v>39395.66667</v>
      </c>
      <c r="B5538" s="1">
        <f>IFERROR(__xludf.DUMMYFUNCTION("""COMPUTED_VALUE"""),1467.59)</f>
        <v>1467.59</v>
      </c>
      <c r="C5538" s="1">
        <f>IFERROR(__xludf.DUMMYFUNCTION("""COMPUTED_VALUE"""),1474.09)</f>
        <v>1474.09</v>
      </c>
      <c r="D5538" s="1">
        <f>IFERROR(__xludf.DUMMYFUNCTION("""COMPUTED_VALUE"""),1448.51)</f>
        <v>1448.51</v>
      </c>
      <c r="E5538" s="1">
        <f>IFERROR(__xludf.DUMMYFUNCTION("""COMPUTED_VALUE"""),1453.7)</f>
        <v>1453.7</v>
      </c>
      <c r="F5538" s="1">
        <f>IFERROR(__xludf.DUMMYFUNCTION("""COMPUTED_VALUE"""),4.58704992E8)</f>
        <v>458704992</v>
      </c>
    </row>
    <row r="5539">
      <c r="A5539" s="2">
        <f>IFERROR(__xludf.DUMMYFUNCTION("""COMPUTED_VALUE"""),39398.666666666664)</f>
        <v>39398.66667</v>
      </c>
      <c r="B5539" s="1">
        <f>IFERROR(__xludf.DUMMYFUNCTION("""COMPUTED_VALUE"""),1452.49)</f>
        <v>1452.49</v>
      </c>
      <c r="C5539" s="1">
        <f>IFERROR(__xludf.DUMMYFUNCTION("""COMPUTED_VALUE"""),1464.94)</f>
        <v>1464.94</v>
      </c>
      <c r="D5539" s="1">
        <f>IFERROR(__xludf.DUMMYFUNCTION("""COMPUTED_VALUE"""),1438.53)</f>
        <v>1438.53</v>
      </c>
      <c r="E5539" s="1">
        <f>IFERROR(__xludf.DUMMYFUNCTION("""COMPUTED_VALUE"""),1439.18)</f>
        <v>1439.18</v>
      </c>
      <c r="F5539" s="1">
        <f>IFERROR(__xludf.DUMMYFUNCTION("""COMPUTED_VALUE"""),4.19252E8)</f>
        <v>419252000</v>
      </c>
    </row>
    <row r="5540">
      <c r="A5540" s="2">
        <f>IFERROR(__xludf.DUMMYFUNCTION("""COMPUTED_VALUE"""),39399.666666666664)</f>
        <v>39399.66667</v>
      </c>
      <c r="B5540" s="1">
        <f>IFERROR(__xludf.DUMMYFUNCTION("""COMPUTED_VALUE"""),1443.88)</f>
        <v>1443.88</v>
      </c>
      <c r="C5540" s="1">
        <f>IFERROR(__xludf.DUMMYFUNCTION("""COMPUTED_VALUE"""),1481.37)</f>
        <v>1481.37</v>
      </c>
      <c r="D5540" s="1">
        <f>IFERROR(__xludf.DUMMYFUNCTION("""COMPUTED_VALUE"""),1443.88)</f>
        <v>1443.88</v>
      </c>
      <c r="E5540" s="1">
        <f>IFERROR(__xludf.DUMMYFUNCTION("""COMPUTED_VALUE"""),1481.05)</f>
        <v>1481.05</v>
      </c>
      <c r="F5540" s="1">
        <f>IFERROR(__xludf.DUMMYFUNCTION("""COMPUTED_VALUE"""),4.14131008E8)</f>
        <v>414131008</v>
      </c>
    </row>
    <row r="5541">
      <c r="A5541" s="2">
        <f>IFERROR(__xludf.DUMMYFUNCTION("""COMPUTED_VALUE"""),39400.666666666664)</f>
        <v>39400.66667</v>
      </c>
      <c r="B5541" s="1">
        <f>IFERROR(__xludf.DUMMYFUNCTION("""COMPUTED_VALUE"""),1487.48)</f>
        <v>1487.48</v>
      </c>
      <c r="C5541" s="1">
        <f>IFERROR(__xludf.DUMMYFUNCTION("""COMPUTED_VALUE"""),1491.35)</f>
        <v>1491.35</v>
      </c>
      <c r="D5541" s="1">
        <f>IFERROR(__xludf.DUMMYFUNCTION("""COMPUTED_VALUE"""),1466.47)</f>
        <v>1466.47</v>
      </c>
      <c r="E5541" s="1">
        <f>IFERROR(__xludf.DUMMYFUNCTION("""COMPUTED_VALUE"""),1470.58)</f>
        <v>1470.58</v>
      </c>
      <c r="F5541" s="1">
        <f>IFERROR(__xludf.DUMMYFUNCTION("""COMPUTED_VALUE"""),4.03147008E8)</f>
        <v>403147008</v>
      </c>
    </row>
    <row r="5542">
      <c r="A5542" s="2">
        <f>IFERROR(__xludf.DUMMYFUNCTION("""COMPUTED_VALUE"""),39401.666666666664)</f>
        <v>39401.66667</v>
      </c>
      <c r="B5542" s="1">
        <f>IFERROR(__xludf.DUMMYFUNCTION("""COMPUTED_VALUE"""),1466.73)</f>
        <v>1466.73</v>
      </c>
      <c r="C5542" s="1">
        <f>IFERROR(__xludf.DUMMYFUNCTION("""COMPUTED_VALUE"""),1472.42)</f>
        <v>1472.42</v>
      </c>
      <c r="D5542" s="1">
        <f>IFERROR(__xludf.DUMMYFUNCTION("""COMPUTED_VALUE"""),1443.8)</f>
        <v>1443.8</v>
      </c>
      <c r="E5542" s="1">
        <f>IFERROR(__xludf.DUMMYFUNCTION("""COMPUTED_VALUE"""),1451.15)</f>
        <v>1451.15</v>
      </c>
      <c r="F5542" s="1">
        <f>IFERROR(__xludf.DUMMYFUNCTION("""COMPUTED_VALUE"""),3.94100992E8)</f>
        <v>394100992</v>
      </c>
    </row>
    <row r="5543">
      <c r="A5543" s="2">
        <f>IFERROR(__xludf.DUMMYFUNCTION("""COMPUTED_VALUE"""),39402.666666666664)</f>
        <v>39402.66667</v>
      </c>
      <c r="B5543" s="1">
        <f>IFERROR(__xludf.DUMMYFUNCTION("""COMPUTED_VALUE"""),1456.38)</f>
        <v>1456.38</v>
      </c>
      <c r="C5543" s="1">
        <f>IFERROR(__xludf.DUMMYFUNCTION("""COMPUTED_VALUE"""),1462.18)</f>
        <v>1462.18</v>
      </c>
      <c r="D5543" s="1">
        <f>IFERROR(__xludf.DUMMYFUNCTION("""COMPUTED_VALUE"""),1444.3)</f>
        <v>1444.3</v>
      </c>
      <c r="E5543" s="1">
        <f>IFERROR(__xludf.DUMMYFUNCTION("""COMPUTED_VALUE"""),1458.74)</f>
        <v>1458.74</v>
      </c>
      <c r="F5543" s="1">
        <f>IFERROR(__xludf.DUMMYFUNCTION("""COMPUTED_VALUE"""),4.16887008E8)</f>
        <v>416887008</v>
      </c>
    </row>
    <row r="5544">
      <c r="A5544" s="2">
        <f>IFERROR(__xludf.DUMMYFUNCTION("""COMPUTED_VALUE"""),39405.666666666664)</f>
        <v>39405.66667</v>
      </c>
      <c r="B5544" s="1">
        <f>IFERROR(__xludf.DUMMYFUNCTION("""COMPUTED_VALUE"""),1456.7)</f>
        <v>1456.7</v>
      </c>
      <c r="C5544" s="1">
        <f>IFERROR(__xludf.DUMMYFUNCTION("""COMPUTED_VALUE"""),1456.7)</f>
        <v>1456.7</v>
      </c>
      <c r="D5544" s="1">
        <f>IFERROR(__xludf.DUMMYFUNCTION("""COMPUTED_VALUE"""),1430.42)</f>
        <v>1430.42</v>
      </c>
      <c r="E5544" s="1">
        <f>IFERROR(__xludf.DUMMYFUNCTION("""COMPUTED_VALUE"""),1433.27)</f>
        <v>1433.27</v>
      </c>
      <c r="F5544" s="1">
        <f>IFERROR(__xludf.DUMMYFUNCTION("""COMPUTED_VALUE"""),4.11964992E8)</f>
        <v>411964992</v>
      </c>
    </row>
    <row r="5545">
      <c r="A5545" s="2">
        <f>IFERROR(__xludf.DUMMYFUNCTION("""COMPUTED_VALUE"""),39406.666666666664)</f>
        <v>39406.66667</v>
      </c>
      <c r="B5545" s="1">
        <f>IFERROR(__xludf.DUMMYFUNCTION("""COMPUTED_VALUE"""),1434.13)</f>
        <v>1434.13</v>
      </c>
      <c r="C5545" s="1">
        <f>IFERROR(__xludf.DUMMYFUNCTION("""COMPUTED_VALUE"""),1452.22)</f>
        <v>1452.22</v>
      </c>
      <c r="D5545" s="1">
        <f>IFERROR(__xludf.DUMMYFUNCTION("""COMPUTED_VALUE"""),1419.28)</f>
        <v>1419.28</v>
      </c>
      <c r="E5545" s="1">
        <f>IFERROR(__xludf.DUMMYFUNCTION("""COMPUTED_VALUE"""),1439.7)</f>
        <v>1439.7</v>
      </c>
      <c r="F5545" s="1">
        <f>IFERROR(__xludf.DUMMYFUNCTION("""COMPUTED_VALUE"""),4.87515008E8)</f>
        <v>487515008</v>
      </c>
    </row>
    <row r="5546">
      <c r="A5546" s="2">
        <f>IFERROR(__xludf.DUMMYFUNCTION("""COMPUTED_VALUE"""),39407.666666666664)</f>
        <v>39407.66667</v>
      </c>
      <c r="B5546" s="1">
        <f>IFERROR(__xludf.DUMMYFUNCTION("""COMPUTED_VALUE"""),1434.71)</f>
        <v>1434.71</v>
      </c>
      <c r="C5546" s="1">
        <f>IFERROR(__xludf.DUMMYFUNCTION("""COMPUTED_VALUE"""),1436.37)</f>
        <v>1436.37</v>
      </c>
      <c r="D5546" s="1">
        <f>IFERROR(__xludf.DUMMYFUNCTION("""COMPUTED_VALUE"""),1415.64)</f>
        <v>1415.64</v>
      </c>
      <c r="E5546" s="1">
        <f>IFERROR(__xludf.DUMMYFUNCTION("""COMPUTED_VALUE"""),1416.77)</f>
        <v>1416.77</v>
      </c>
      <c r="F5546" s="1">
        <f>IFERROR(__xludf.DUMMYFUNCTION("""COMPUTED_VALUE"""),4.07623008E8)</f>
        <v>407623008</v>
      </c>
    </row>
    <row r="5547">
      <c r="A5547" s="2">
        <f>IFERROR(__xludf.DUMMYFUNCTION("""COMPUTED_VALUE"""),39409.666666666664)</f>
        <v>39409.66667</v>
      </c>
      <c r="B5547" s="1">
        <f>IFERROR(__xludf.DUMMYFUNCTION("""COMPUTED_VALUE"""),1417.62)</f>
        <v>1417.62</v>
      </c>
      <c r="C5547" s="1">
        <f>IFERROR(__xludf.DUMMYFUNCTION("""COMPUTED_VALUE"""),1440.86)</f>
        <v>1440.86</v>
      </c>
      <c r="D5547" s="1">
        <f>IFERROR(__xludf.DUMMYFUNCTION("""COMPUTED_VALUE"""),1417.62)</f>
        <v>1417.62</v>
      </c>
      <c r="E5547" s="1">
        <f>IFERROR(__xludf.DUMMYFUNCTION("""COMPUTED_VALUE"""),1440.7)</f>
        <v>1440.7</v>
      </c>
      <c r="F5547" s="1">
        <f>IFERROR(__xludf.DUMMYFUNCTION("""COMPUTED_VALUE"""),1.61272E8)</f>
        <v>161272000</v>
      </c>
    </row>
    <row r="5548">
      <c r="A5548" s="2">
        <f>IFERROR(__xludf.DUMMYFUNCTION("""COMPUTED_VALUE"""),39412.666666666664)</f>
        <v>39412.66667</v>
      </c>
      <c r="B5548" s="1">
        <f>IFERROR(__xludf.DUMMYFUNCTION("""COMPUTED_VALUE"""),1440.74)</f>
        <v>1440.74</v>
      </c>
      <c r="C5548" s="1">
        <f>IFERROR(__xludf.DUMMYFUNCTION("""COMPUTED_VALUE"""),1445.56)</f>
        <v>1445.56</v>
      </c>
      <c r="D5548" s="1">
        <f>IFERROR(__xludf.DUMMYFUNCTION("""COMPUTED_VALUE"""),1406.1)</f>
        <v>1406.1</v>
      </c>
      <c r="E5548" s="1">
        <f>IFERROR(__xludf.DUMMYFUNCTION("""COMPUTED_VALUE"""),1407.22)</f>
        <v>1407.22</v>
      </c>
      <c r="F5548" s="1">
        <f>IFERROR(__xludf.DUMMYFUNCTION("""COMPUTED_VALUE"""),3.70647008E8)</f>
        <v>370647008</v>
      </c>
    </row>
    <row r="5549">
      <c r="A5549" s="2">
        <f>IFERROR(__xludf.DUMMYFUNCTION("""COMPUTED_VALUE"""),39413.666666666664)</f>
        <v>39413.66667</v>
      </c>
      <c r="B5549" s="1">
        <f>IFERROR(__xludf.DUMMYFUNCTION("""COMPUTED_VALUE"""),1409.59)</f>
        <v>1409.59</v>
      </c>
      <c r="C5549" s="1">
        <f>IFERROR(__xludf.DUMMYFUNCTION("""COMPUTED_VALUE"""),1429.49)</f>
        <v>1429.49</v>
      </c>
      <c r="D5549" s="1">
        <f>IFERROR(__xludf.DUMMYFUNCTION("""COMPUTED_VALUE"""),1407.84)</f>
        <v>1407.84</v>
      </c>
      <c r="E5549" s="1">
        <f>IFERROR(__xludf.DUMMYFUNCTION("""COMPUTED_VALUE"""),1428.23)</f>
        <v>1428.23</v>
      </c>
      <c r="F5549" s="1">
        <f>IFERROR(__xludf.DUMMYFUNCTION("""COMPUTED_VALUE"""),4.32072E8)</f>
        <v>432072000</v>
      </c>
    </row>
    <row r="5550">
      <c r="A5550" s="2">
        <f>IFERROR(__xludf.DUMMYFUNCTION("""COMPUTED_VALUE"""),39414.666666666664)</f>
        <v>39414.66667</v>
      </c>
      <c r="B5550" s="1">
        <f>IFERROR(__xludf.DUMMYFUNCTION("""COMPUTED_VALUE"""),1432.95)</f>
        <v>1432.95</v>
      </c>
      <c r="C5550" s="1">
        <f>IFERROR(__xludf.DUMMYFUNCTION("""COMPUTED_VALUE"""),1471.62)</f>
        <v>1471.62</v>
      </c>
      <c r="D5550" s="1">
        <f>IFERROR(__xludf.DUMMYFUNCTION("""COMPUTED_VALUE"""),1432.95)</f>
        <v>1432.95</v>
      </c>
      <c r="E5550" s="1">
        <f>IFERROR(__xludf.DUMMYFUNCTION("""COMPUTED_VALUE"""),1469.02)</f>
        <v>1469.02</v>
      </c>
      <c r="F5550" s="1">
        <f>IFERROR(__xludf.DUMMYFUNCTION("""COMPUTED_VALUE"""),4.50801984E8)</f>
        <v>450801984</v>
      </c>
    </row>
    <row r="5551">
      <c r="A5551" s="2">
        <f>IFERROR(__xludf.DUMMYFUNCTION("""COMPUTED_VALUE"""),39415.666666666664)</f>
        <v>39415.66667</v>
      </c>
      <c r="B5551" s="1">
        <f>IFERROR(__xludf.DUMMYFUNCTION("""COMPUTED_VALUE"""),1467.41)</f>
        <v>1467.41</v>
      </c>
      <c r="C5551" s="1">
        <f>IFERROR(__xludf.DUMMYFUNCTION("""COMPUTED_VALUE"""),1473.81)</f>
        <v>1473.81</v>
      </c>
      <c r="D5551" s="1">
        <f>IFERROR(__xludf.DUMMYFUNCTION("""COMPUTED_VALUE"""),1458.36)</f>
        <v>1458.36</v>
      </c>
      <c r="E5551" s="1">
        <f>IFERROR(__xludf.DUMMYFUNCTION("""COMPUTED_VALUE"""),1469.72)</f>
        <v>1469.72</v>
      </c>
      <c r="F5551" s="1">
        <f>IFERROR(__xludf.DUMMYFUNCTION("""COMPUTED_VALUE"""),3.52472992E8)</f>
        <v>352472992</v>
      </c>
    </row>
    <row r="5552">
      <c r="A5552" s="2">
        <f>IFERROR(__xludf.DUMMYFUNCTION("""COMPUTED_VALUE"""),39416.666666666664)</f>
        <v>39416.66667</v>
      </c>
      <c r="B5552" s="1">
        <f>IFERROR(__xludf.DUMMYFUNCTION("""COMPUTED_VALUE"""),1471.83)</f>
        <v>1471.83</v>
      </c>
      <c r="C5552" s="1">
        <f>IFERROR(__xludf.DUMMYFUNCTION("""COMPUTED_VALUE"""),1488.94)</f>
        <v>1488.94</v>
      </c>
      <c r="D5552" s="1">
        <f>IFERROR(__xludf.DUMMYFUNCTION("""COMPUTED_VALUE"""),1470.89)</f>
        <v>1470.89</v>
      </c>
      <c r="E5552" s="1">
        <f>IFERROR(__xludf.DUMMYFUNCTION("""COMPUTED_VALUE"""),1481.14)</f>
        <v>1481.14</v>
      </c>
      <c r="F5552" s="1">
        <f>IFERROR(__xludf.DUMMYFUNCTION("""COMPUTED_VALUE"""),4.4222E8)</f>
        <v>442220000</v>
      </c>
    </row>
    <row r="5553">
      <c r="A5553" s="2">
        <f>IFERROR(__xludf.DUMMYFUNCTION("""COMPUTED_VALUE"""),39419.666666666664)</f>
        <v>39419.66667</v>
      </c>
      <c r="B5553" s="1">
        <f>IFERROR(__xludf.DUMMYFUNCTION("""COMPUTED_VALUE"""),1479.63)</f>
        <v>1479.63</v>
      </c>
      <c r="C5553" s="1">
        <f>IFERROR(__xludf.DUMMYFUNCTION("""COMPUTED_VALUE"""),1481.0)</f>
        <v>1481</v>
      </c>
      <c r="D5553" s="1">
        <f>IFERROR(__xludf.DUMMYFUNCTION("""COMPUTED_VALUE"""),1470.08)</f>
        <v>1470.08</v>
      </c>
      <c r="E5553" s="1">
        <f>IFERROR(__xludf.DUMMYFUNCTION("""COMPUTED_VALUE"""),1472.42)</f>
        <v>1472.42</v>
      </c>
      <c r="F5553" s="1">
        <f>IFERROR(__xludf.DUMMYFUNCTION("""COMPUTED_VALUE"""),3.32324992E8)</f>
        <v>332324992</v>
      </c>
    </row>
    <row r="5554">
      <c r="A5554" s="2">
        <f>IFERROR(__xludf.DUMMYFUNCTION("""COMPUTED_VALUE"""),39420.666666666664)</f>
        <v>39420.66667</v>
      </c>
      <c r="B5554" s="1">
        <f>IFERROR(__xludf.DUMMYFUNCTION("""COMPUTED_VALUE"""),1471.34)</f>
        <v>1471.34</v>
      </c>
      <c r="C5554" s="1">
        <f>IFERROR(__xludf.DUMMYFUNCTION("""COMPUTED_VALUE"""),1471.34)</f>
        <v>1471.34</v>
      </c>
      <c r="D5554" s="1">
        <f>IFERROR(__xludf.DUMMYFUNCTION("""COMPUTED_VALUE"""),1460.88)</f>
        <v>1460.88</v>
      </c>
      <c r="E5554" s="1">
        <f>IFERROR(__xludf.DUMMYFUNCTION("""COMPUTED_VALUE"""),1462.79)</f>
        <v>1462.79</v>
      </c>
      <c r="F5554" s="1">
        <f>IFERROR(__xludf.DUMMYFUNCTION("""COMPUTED_VALUE"""),3.34361984E8)</f>
        <v>334361984</v>
      </c>
    </row>
    <row r="5555">
      <c r="A5555" s="2">
        <f>IFERROR(__xludf.DUMMYFUNCTION("""COMPUTED_VALUE"""),39421.666666666664)</f>
        <v>39421.66667</v>
      </c>
      <c r="B5555" s="1">
        <f>IFERROR(__xludf.DUMMYFUNCTION("""COMPUTED_VALUE"""),1465.22)</f>
        <v>1465.22</v>
      </c>
      <c r="C5555" s="1">
        <f>IFERROR(__xludf.DUMMYFUNCTION("""COMPUTED_VALUE"""),1486.09)</f>
        <v>1486.09</v>
      </c>
      <c r="D5555" s="1">
        <f>IFERROR(__xludf.DUMMYFUNCTION("""COMPUTED_VALUE"""),1465.22)</f>
        <v>1465.22</v>
      </c>
      <c r="E5555" s="1">
        <f>IFERROR(__xludf.DUMMYFUNCTION("""COMPUTED_VALUE"""),1485.01)</f>
        <v>1485.01</v>
      </c>
      <c r="F5555" s="1">
        <f>IFERROR(__xludf.DUMMYFUNCTION("""COMPUTED_VALUE"""),3.66366016E8)</f>
        <v>366366016</v>
      </c>
    </row>
    <row r="5556">
      <c r="A5556" s="2">
        <f>IFERROR(__xludf.DUMMYFUNCTION("""COMPUTED_VALUE"""),39422.666666666664)</f>
        <v>39422.66667</v>
      </c>
      <c r="B5556" s="1">
        <f>IFERROR(__xludf.DUMMYFUNCTION("""COMPUTED_VALUE"""),1483.86)</f>
        <v>1483.86</v>
      </c>
      <c r="C5556" s="1">
        <f>IFERROR(__xludf.DUMMYFUNCTION("""COMPUTED_VALUE"""),1508.02)</f>
        <v>1508.02</v>
      </c>
      <c r="D5556" s="1">
        <f>IFERROR(__xludf.DUMMYFUNCTION("""COMPUTED_VALUE"""),1482.19)</f>
        <v>1482.19</v>
      </c>
      <c r="E5556" s="1">
        <f>IFERROR(__xludf.DUMMYFUNCTION("""COMPUTED_VALUE"""),1507.34)</f>
        <v>1507.34</v>
      </c>
      <c r="F5556" s="1">
        <f>IFERROR(__xludf.DUMMYFUNCTION("""COMPUTED_VALUE"""),3.56856992E8)</f>
        <v>356856992</v>
      </c>
    </row>
    <row r="5557">
      <c r="A5557" s="2">
        <f>IFERROR(__xludf.DUMMYFUNCTION("""COMPUTED_VALUE"""),39423.666666666664)</f>
        <v>39423.66667</v>
      </c>
      <c r="B5557" s="1">
        <f>IFERROR(__xludf.DUMMYFUNCTION("""COMPUTED_VALUE"""),1508.95)</f>
        <v>1508.95</v>
      </c>
      <c r="C5557" s="1">
        <f>IFERROR(__xludf.DUMMYFUNCTION("""COMPUTED_VALUE"""),1510.63)</f>
        <v>1510.63</v>
      </c>
      <c r="D5557" s="1">
        <f>IFERROR(__xludf.DUMMYFUNCTION("""COMPUTED_VALUE"""),1502.66)</f>
        <v>1502.66</v>
      </c>
      <c r="E5557" s="1">
        <f>IFERROR(__xludf.DUMMYFUNCTION("""COMPUTED_VALUE"""),1504.66)</f>
        <v>1504.66</v>
      </c>
      <c r="F5557" s="1">
        <f>IFERROR(__xludf.DUMMYFUNCTION("""COMPUTED_VALUE"""),3.17771008E8)</f>
        <v>317771008</v>
      </c>
    </row>
    <row r="5558">
      <c r="A5558" s="2">
        <f>IFERROR(__xludf.DUMMYFUNCTION("""COMPUTED_VALUE"""),39426.666666666664)</f>
        <v>39426.66667</v>
      </c>
      <c r="B5558" s="1">
        <f>IFERROR(__xludf.DUMMYFUNCTION("""COMPUTED_VALUE"""),1505.11)</f>
        <v>1505.11</v>
      </c>
      <c r="C5558" s="1">
        <f>IFERROR(__xludf.DUMMYFUNCTION("""COMPUTED_VALUE"""),1518.27)</f>
        <v>1518.27</v>
      </c>
      <c r="D5558" s="1">
        <f>IFERROR(__xludf.DUMMYFUNCTION("""COMPUTED_VALUE"""),1504.96)</f>
        <v>1504.96</v>
      </c>
      <c r="E5558" s="1">
        <f>IFERROR(__xludf.DUMMYFUNCTION("""COMPUTED_VALUE"""),1515.96)</f>
        <v>1515.96</v>
      </c>
      <c r="F5558" s="1">
        <f>IFERROR(__xludf.DUMMYFUNCTION("""COMPUTED_VALUE"""),2.91176E8)</f>
        <v>291176000</v>
      </c>
    </row>
    <row r="5559">
      <c r="A5559" s="2">
        <f>IFERROR(__xludf.DUMMYFUNCTION("""COMPUTED_VALUE"""),39427.666666666664)</f>
        <v>39427.66667</v>
      </c>
      <c r="B5559" s="1">
        <f>IFERROR(__xludf.DUMMYFUNCTION("""COMPUTED_VALUE"""),1516.68)</f>
        <v>1516.68</v>
      </c>
      <c r="C5559" s="1">
        <f>IFERROR(__xludf.DUMMYFUNCTION("""COMPUTED_VALUE"""),1523.57)</f>
        <v>1523.57</v>
      </c>
      <c r="D5559" s="1">
        <f>IFERROR(__xludf.DUMMYFUNCTION("""COMPUTED_VALUE"""),1475.99)</f>
        <v>1475.99</v>
      </c>
      <c r="E5559" s="1">
        <f>IFERROR(__xludf.DUMMYFUNCTION("""COMPUTED_VALUE"""),1477.65)</f>
        <v>1477.65</v>
      </c>
      <c r="F5559" s="1">
        <f>IFERROR(__xludf.DUMMYFUNCTION("""COMPUTED_VALUE"""),4.08017984E8)</f>
        <v>408017984</v>
      </c>
    </row>
    <row r="5560">
      <c r="A5560" s="2">
        <f>IFERROR(__xludf.DUMMYFUNCTION("""COMPUTED_VALUE"""),39428.666666666664)</f>
        <v>39428.66667</v>
      </c>
      <c r="B5560" s="1">
        <f>IFERROR(__xludf.DUMMYFUNCTION("""COMPUTED_VALUE"""),1487.58)</f>
        <v>1487.58</v>
      </c>
      <c r="C5560" s="1">
        <f>IFERROR(__xludf.DUMMYFUNCTION("""COMPUTED_VALUE"""),1511.96)</f>
        <v>1511.96</v>
      </c>
      <c r="D5560" s="1">
        <f>IFERROR(__xludf.DUMMYFUNCTION("""COMPUTED_VALUE"""),1468.23)</f>
        <v>1468.23</v>
      </c>
      <c r="E5560" s="1">
        <f>IFERROR(__xludf.DUMMYFUNCTION("""COMPUTED_VALUE"""),1486.59)</f>
        <v>1486.59</v>
      </c>
      <c r="F5560" s="1">
        <f>IFERROR(__xludf.DUMMYFUNCTION("""COMPUTED_VALUE"""),4.48212E8)</f>
        <v>448212000</v>
      </c>
    </row>
    <row r="5561">
      <c r="A5561" s="2">
        <f>IFERROR(__xludf.DUMMYFUNCTION("""COMPUTED_VALUE"""),39429.666666666664)</f>
        <v>39429.66667</v>
      </c>
      <c r="B5561" s="1">
        <f>IFERROR(__xludf.DUMMYFUNCTION("""COMPUTED_VALUE"""),1483.27)</f>
        <v>1483.27</v>
      </c>
      <c r="C5561" s="1">
        <f>IFERROR(__xludf.DUMMYFUNCTION("""COMPUTED_VALUE"""),1489.4)</f>
        <v>1489.4</v>
      </c>
      <c r="D5561" s="1">
        <f>IFERROR(__xludf.DUMMYFUNCTION("""COMPUTED_VALUE"""),1469.21)</f>
        <v>1469.21</v>
      </c>
      <c r="E5561" s="1">
        <f>IFERROR(__xludf.DUMMYFUNCTION("""COMPUTED_VALUE"""),1488.41)</f>
        <v>1488.41</v>
      </c>
      <c r="F5561" s="1">
        <f>IFERROR(__xludf.DUMMYFUNCTION("""COMPUTED_VALUE"""),3.63516992E8)</f>
        <v>363516992</v>
      </c>
    </row>
    <row r="5562">
      <c r="A5562" s="2">
        <f>IFERROR(__xludf.DUMMYFUNCTION("""COMPUTED_VALUE"""),39430.666666666664)</f>
        <v>39430.66667</v>
      </c>
      <c r="B5562" s="1">
        <f>IFERROR(__xludf.DUMMYFUNCTION("""COMPUTED_VALUE"""),1486.19)</f>
        <v>1486.19</v>
      </c>
      <c r="C5562" s="1">
        <f>IFERROR(__xludf.DUMMYFUNCTION("""COMPUTED_VALUE"""),1486.67)</f>
        <v>1486.67</v>
      </c>
      <c r="D5562" s="1">
        <f>IFERROR(__xludf.DUMMYFUNCTION("""COMPUTED_VALUE"""),1467.78)</f>
        <v>1467.78</v>
      </c>
      <c r="E5562" s="1">
        <f>IFERROR(__xludf.DUMMYFUNCTION("""COMPUTED_VALUE"""),1467.95)</f>
        <v>1467.95</v>
      </c>
      <c r="F5562" s="1">
        <f>IFERROR(__xludf.DUMMYFUNCTION("""COMPUTED_VALUE"""),3.40104992E8)</f>
        <v>340104992</v>
      </c>
    </row>
    <row r="5563">
      <c r="A5563" s="2">
        <f>IFERROR(__xludf.DUMMYFUNCTION("""COMPUTED_VALUE"""),39433.666666666664)</f>
        <v>39433.66667</v>
      </c>
      <c r="B5563" s="1">
        <f>IFERROR(__xludf.DUMMYFUNCTION("""COMPUTED_VALUE"""),1465.05)</f>
        <v>1465.05</v>
      </c>
      <c r="C5563" s="1">
        <f>IFERROR(__xludf.DUMMYFUNCTION("""COMPUTED_VALUE"""),1465.05)</f>
        <v>1465.05</v>
      </c>
      <c r="D5563" s="1">
        <f>IFERROR(__xludf.DUMMYFUNCTION("""COMPUTED_VALUE"""),1445.43)</f>
        <v>1445.43</v>
      </c>
      <c r="E5563" s="1">
        <f>IFERROR(__xludf.DUMMYFUNCTION("""COMPUTED_VALUE"""),1445.9)</f>
        <v>1445.9</v>
      </c>
      <c r="F5563" s="1">
        <f>IFERROR(__xludf.DUMMYFUNCTION("""COMPUTED_VALUE"""),3.56903008E8)</f>
        <v>356903008</v>
      </c>
    </row>
    <row r="5564">
      <c r="A5564" s="2">
        <f>IFERROR(__xludf.DUMMYFUNCTION("""COMPUTED_VALUE"""),39434.666666666664)</f>
        <v>39434.66667</v>
      </c>
      <c r="B5564" s="1">
        <f>IFERROR(__xludf.DUMMYFUNCTION("""COMPUTED_VALUE"""),1445.92)</f>
        <v>1445.92</v>
      </c>
      <c r="C5564" s="1">
        <f>IFERROR(__xludf.DUMMYFUNCTION("""COMPUTED_VALUE"""),1460.16)</f>
        <v>1460.16</v>
      </c>
      <c r="D5564" s="1">
        <f>IFERROR(__xludf.DUMMYFUNCTION("""COMPUTED_VALUE"""),1435.65)</f>
        <v>1435.65</v>
      </c>
      <c r="E5564" s="1">
        <f>IFERROR(__xludf.DUMMYFUNCTION("""COMPUTED_VALUE"""),1454.98)</f>
        <v>1454.98</v>
      </c>
      <c r="F5564" s="1">
        <f>IFERROR(__xludf.DUMMYFUNCTION("""COMPUTED_VALUE"""),3.72368992E8)</f>
        <v>372368992</v>
      </c>
    </row>
    <row r="5565">
      <c r="A5565" s="2">
        <f>IFERROR(__xludf.DUMMYFUNCTION("""COMPUTED_VALUE"""),39435.666666666664)</f>
        <v>39435.66667</v>
      </c>
      <c r="B5565" s="1">
        <f>IFERROR(__xludf.DUMMYFUNCTION("""COMPUTED_VALUE"""),1454.7)</f>
        <v>1454.7</v>
      </c>
      <c r="C5565" s="1">
        <f>IFERROR(__xludf.DUMMYFUNCTION("""COMPUTED_VALUE"""),1464.42)</f>
        <v>1464.42</v>
      </c>
      <c r="D5565" s="1">
        <f>IFERROR(__xludf.DUMMYFUNCTION("""COMPUTED_VALUE"""),1445.31)</f>
        <v>1445.31</v>
      </c>
      <c r="E5565" s="1">
        <f>IFERROR(__xludf.DUMMYFUNCTION("""COMPUTED_VALUE"""),1453.0)</f>
        <v>1453</v>
      </c>
      <c r="F5565" s="1">
        <f>IFERROR(__xludf.DUMMYFUNCTION("""COMPUTED_VALUE"""),3.40129984E8)</f>
        <v>340129984</v>
      </c>
    </row>
    <row r="5566">
      <c r="A5566" s="2">
        <f>IFERROR(__xludf.DUMMYFUNCTION("""COMPUTED_VALUE"""),39436.666666666664)</f>
        <v>39436.66667</v>
      </c>
      <c r="B5566" s="1">
        <f>IFERROR(__xludf.DUMMYFUNCTION("""COMPUTED_VALUE"""),1456.42)</f>
        <v>1456.42</v>
      </c>
      <c r="C5566" s="1">
        <f>IFERROR(__xludf.DUMMYFUNCTION("""COMPUTED_VALUE"""),1461.53)</f>
        <v>1461.53</v>
      </c>
      <c r="D5566" s="1">
        <f>IFERROR(__xludf.DUMMYFUNCTION("""COMPUTED_VALUE"""),1447.22)</f>
        <v>1447.22</v>
      </c>
      <c r="E5566" s="1">
        <f>IFERROR(__xludf.DUMMYFUNCTION("""COMPUTED_VALUE"""),1460.12)</f>
        <v>1460.12</v>
      </c>
      <c r="F5566" s="1">
        <f>IFERROR(__xludf.DUMMYFUNCTION("""COMPUTED_VALUE"""),3.52688992E8)</f>
        <v>352688992</v>
      </c>
    </row>
    <row r="5567">
      <c r="A5567" s="2">
        <f>IFERROR(__xludf.DUMMYFUNCTION("""COMPUTED_VALUE"""),39437.666666666664)</f>
        <v>39437.66667</v>
      </c>
      <c r="B5567" s="1">
        <f>IFERROR(__xludf.DUMMYFUNCTION("""COMPUTED_VALUE"""),1463.19)</f>
        <v>1463.19</v>
      </c>
      <c r="C5567" s="1">
        <f>IFERROR(__xludf.DUMMYFUNCTION("""COMPUTED_VALUE"""),1485.4)</f>
        <v>1485.4</v>
      </c>
      <c r="D5567" s="1">
        <f>IFERROR(__xludf.DUMMYFUNCTION("""COMPUTED_VALUE"""),1463.19)</f>
        <v>1463.19</v>
      </c>
      <c r="E5567" s="1">
        <f>IFERROR(__xludf.DUMMYFUNCTION("""COMPUTED_VALUE"""),1484.46)</f>
        <v>1484.46</v>
      </c>
      <c r="F5567" s="1">
        <f>IFERROR(__xludf.DUMMYFUNCTION("""COMPUTED_VALUE"""),4.50859008E8)</f>
        <v>450859008</v>
      </c>
    </row>
    <row r="5568">
      <c r="A5568" s="2">
        <f>IFERROR(__xludf.DUMMYFUNCTION("""COMPUTED_VALUE"""),39440.666666666664)</f>
        <v>39440.66667</v>
      </c>
      <c r="B5568" s="1">
        <f>IFERROR(__xludf.DUMMYFUNCTION("""COMPUTED_VALUE"""),1484.55)</f>
        <v>1484.55</v>
      </c>
      <c r="C5568" s="1">
        <f>IFERROR(__xludf.DUMMYFUNCTION("""COMPUTED_VALUE"""),1497.63)</f>
        <v>1497.63</v>
      </c>
      <c r="D5568" s="1">
        <f>IFERROR(__xludf.DUMMYFUNCTION("""COMPUTED_VALUE"""),1484.55)</f>
        <v>1484.55</v>
      </c>
      <c r="E5568" s="1">
        <f>IFERROR(__xludf.DUMMYFUNCTION("""COMPUTED_VALUE"""),1496.45)</f>
        <v>1496.45</v>
      </c>
      <c r="F5568" s="1">
        <f>IFERROR(__xludf.DUMMYFUNCTION("""COMPUTED_VALUE"""),1.26742E8)</f>
        <v>126742000</v>
      </c>
    </row>
    <row r="5569">
      <c r="A5569" s="2">
        <f>IFERROR(__xludf.DUMMYFUNCTION("""COMPUTED_VALUE"""),39442.666666666664)</f>
        <v>39442.66667</v>
      </c>
      <c r="B5569" s="1">
        <f>IFERROR(__xludf.DUMMYFUNCTION("""COMPUTED_VALUE"""),1495.12)</f>
        <v>1495.12</v>
      </c>
      <c r="C5569" s="1">
        <f>IFERROR(__xludf.DUMMYFUNCTION("""COMPUTED_VALUE"""),1498.85)</f>
        <v>1498.85</v>
      </c>
      <c r="D5569" s="1">
        <f>IFERROR(__xludf.DUMMYFUNCTION("""COMPUTED_VALUE"""),1488.2)</f>
        <v>1488.2</v>
      </c>
      <c r="E5569" s="1">
        <f>IFERROR(__xludf.DUMMYFUNCTION("""COMPUTED_VALUE"""),1497.66)</f>
        <v>1497.66</v>
      </c>
      <c r="F5569" s="1">
        <f>IFERROR(__xludf.DUMMYFUNCTION("""COMPUTED_VALUE"""),2.0105E8)</f>
        <v>201050000</v>
      </c>
    </row>
    <row r="5570">
      <c r="A5570" s="2">
        <f>IFERROR(__xludf.DUMMYFUNCTION("""COMPUTED_VALUE"""),39443.666666666664)</f>
        <v>39443.66667</v>
      </c>
      <c r="B5570" s="1">
        <f>IFERROR(__xludf.DUMMYFUNCTION("""COMPUTED_VALUE"""),1495.05)</f>
        <v>1495.05</v>
      </c>
      <c r="C5570" s="1">
        <f>IFERROR(__xludf.DUMMYFUNCTION("""COMPUTED_VALUE"""),1495.05)</f>
        <v>1495.05</v>
      </c>
      <c r="D5570" s="1">
        <f>IFERROR(__xludf.DUMMYFUNCTION("""COMPUTED_VALUE"""),1475.86)</f>
        <v>1475.86</v>
      </c>
      <c r="E5570" s="1">
        <f>IFERROR(__xludf.DUMMYFUNCTION("""COMPUTED_VALUE"""),1476.27)</f>
        <v>1476.27</v>
      </c>
      <c r="F5570" s="1">
        <f>IFERROR(__xludf.DUMMYFUNCTION("""COMPUTED_VALUE"""),2.36576992E8)</f>
        <v>236576992</v>
      </c>
    </row>
    <row r="5571">
      <c r="A5571" s="2">
        <f>IFERROR(__xludf.DUMMYFUNCTION("""COMPUTED_VALUE"""),39444.666666666664)</f>
        <v>39444.66667</v>
      </c>
      <c r="B5571" s="1">
        <f>IFERROR(__xludf.DUMMYFUNCTION("""COMPUTED_VALUE"""),1479.83)</f>
        <v>1479.83</v>
      </c>
      <c r="C5571" s="1">
        <f>IFERROR(__xludf.DUMMYFUNCTION("""COMPUTED_VALUE"""),1487.84)</f>
        <v>1487.84</v>
      </c>
      <c r="D5571" s="1">
        <f>IFERROR(__xludf.DUMMYFUNCTION("""COMPUTED_VALUE"""),1471.7)</f>
        <v>1471.7</v>
      </c>
      <c r="E5571" s="1">
        <f>IFERROR(__xludf.DUMMYFUNCTION("""COMPUTED_VALUE"""),1478.49)</f>
        <v>1478.49</v>
      </c>
      <c r="F5571" s="1">
        <f>IFERROR(__xludf.DUMMYFUNCTION("""COMPUTED_VALUE"""),2.42051008E8)</f>
        <v>242051008</v>
      </c>
    </row>
    <row r="5572">
      <c r="A5572" s="2">
        <f>IFERROR(__xludf.DUMMYFUNCTION("""COMPUTED_VALUE"""),39447.666666666664)</f>
        <v>39447.66667</v>
      </c>
      <c r="B5572" s="1">
        <f>IFERROR(__xludf.DUMMYFUNCTION("""COMPUTED_VALUE"""),1475.25)</f>
        <v>1475.25</v>
      </c>
      <c r="C5572" s="1">
        <f>IFERROR(__xludf.DUMMYFUNCTION("""COMPUTED_VALUE"""),1475.83)</f>
        <v>1475.83</v>
      </c>
      <c r="D5572" s="1">
        <f>IFERROR(__xludf.DUMMYFUNCTION("""COMPUTED_VALUE"""),1465.13)</f>
        <v>1465.13</v>
      </c>
      <c r="E5572" s="1">
        <f>IFERROR(__xludf.DUMMYFUNCTION("""COMPUTED_VALUE"""),1468.36)</f>
        <v>1468.36</v>
      </c>
      <c r="F5572" s="1">
        <f>IFERROR(__xludf.DUMMYFUNCTION("""COMPUTED_VALUE"""),2.44088E8)</f>
        <v>244088000</v>
      </c>
    </row>
    <row r="5573">
      <c r="A5573" s="2">
        <f>IFERROR(__xludf.DUMMYFUNCTION("""COMPUTED_VALUE"""),39449.666666666664)</f>
        <v>39449.66667</v>
      </c>
      <c r="B5573" s="1">
        <f>IFERROR(__xludf.DUMMYFUNCTION("""COMPUTED_VALUE"""),1467.97)</f>
        <v>1467.97</v>
      </c>
      <c r="C5573" s="1">
        <f>IFERROR(__xludf.DUMMYFUNCTION("""COMPUTED_VALUE"""),1471.77)</f>
        <v>1471.77</v>
      </c>
      <c r="D5573" s="1">
        <f>IFERROR(__xludf.DUMMYFUNCTION("""COMPUTED_VALUE"""),1442.07)</f>
        <v>1442.07</v>
      </c>
      <c r="E5573" s="1">
        <f>IFERROR(__xludf.DUMMYFUNCTION("""COMPUTED_VALUE"""),1447.16)</f>
        <v>1447.16</v>
      </c>
      <c r="F5573" s="1">
        <f>IFERROR(__xludf.DUMMYFUNCTION("""COMPUTED_VALUE"""),3.45264992E8)</f>
        <v>345264992</v>
      </c>
    </row>
    <row r="5574">
      <c r="A5574" s="2">
        <f>IFERROR(__xludf.DUMMYFUNCTION("""COMPUTED_VALUE"""),39450.666666666664)</f>
        <v>39450.66667</v>
      </c>
      <c r="B5574" s="1">
        <f>IFERROR(__xludf.DUMMYFUNCTION("""COMPUTED_VALUE"""),1447.55)</f>
        <v>1447.55</v>
      </c>
      <c r="C5574" s="1">
        <f>IFERROR(__xludf.DUMMYFUNCTION("""COMPUTED_VALUE"""),1456.8)</f>
        <v>1456.8</v>
      </c>
      <c r="D5574" s="1">
        <f>IFERROR(__xludf.DUMMYFUNCTION("""COMPUTED_VALUE"""),1443.73)</f>
        <v>1443.73</v>
      </c>
      <c r="E5574" s="1">
        <f>IFERROR(__xludf.DUMMYFUNCTION("""COMPUTED_VALUE"""),1447.16)</f>
        <v>1447.16</v>
      </c>
      <c r="F5574" s="1">
        <f>IFERROR(__xludf.DUMMYFUNCTION("""COMPUTED_VALUE"""),3.42950016E8)</f>
        <v>342950016</v>
      </c>
    </row>
    <row r="5575">
      <c r="A5575" s="2">
        <f>IFERROR(__xludf.DUMMYFUNCTION("""COMPUTED_VALUE"""),39451.666666666664)</f>
        <v>39451.66667</v>
      </c>
      <c r="B5575" s="1">
        <f>IFERROR(__xludf.DUMMYFUNCTION("""COMPUTED_VALUE"""),1444.01)</f>
        <v>1444.01</v>
      </c>
      <c r="C5575" s="1">
        <f>IFERROR(__xludf.DUMMYFUNCTION("""COMPUTED_VALUE"""),1444.01)</f>
        <v>1444.01</v>
      </c>
      <c r="D5575" s="1">
        <f>IFERROR(__xludf.DUMMYFUNCTION("""COMPUTED_VALUE"""),1411.19)</f>
        <v>1411.19</v>
      </c>
      <c r="E5575" s="1">
        <f>IFERROR(__xludf.DUMMYFUNCTION("""COMPUTED_VALUE"""),1411.63)</f>
        <v>1411.63</v>
      </c>
      <c r="F5575" s="1">
        <f>IFERROR(__xludf.DUMMYFUNCTION("""COMPUTED_VALUE"""),4.166E8)</f>
        <v>416600000</v>
      </c>
    </row>
    <row r="5576">
      <c r="A5576" s="2">
        <f>IFERROR(__xludf.DUMMYFUNCTION("""COMPUTED_VALUE"""),39454.666666666664)</f>
        <v>39454.66667</v>
      </c>
      <c r="B5576" s="1">
        <f>IFERROR(__xludf.DUMMYFUNCTION("""COMPUTED_VALUE"""),1414.07)</f>
        <v>1414.07</v>
      </c>
      <c r="C5576" s="1">
        <f>IFERROR(__xludf.DUMMYFUNCTION("""COMPUTED_VALUE"""),1423.87)</f>
        <v>1423.87</v>
      </c>
      <c r="D5576" s="1">
        <f>IFERROR(__xludf.DUMMYFUNCTION("""COMPUTED_VALUE"""),1403.45)</f>
        <v>1403.45</v>
      </c>
      <c r="E5576" s="1">
        <f>IFERROR(__xludf.DUMMYFUNCTION("""COMPUTED_VALUE"""),1416.18)</f>
        <v>1416.18</v>
      </c>
      <c r="F5576" s="1">
        <f>IFERROR(__xludf.DUMMYFUNCTION("""COMPUTED_VALUE"""),4.22126016E8)</f>
        <v>422126016</v>
      </c>
    </row>
    <row r="5577">
      <c r="A5577" s="2">
        <f>IFERROR(__xludf.DUMMYFUNCTION("""COMPUTED_VALUE"""),39455.666666666664)</f>
        <v>39455.66667</v>
      </c>
      <c r="B5577" s="1">
        <f>IFERROR(__xludf.DUMMYFUNCTION("""COMPUTED_VALUE"""),1415.71)</f>
        <v>1415.71</v>
      </c>
      <c r="C5577" s="1">
        <f>IFERROR(__xludf.DUMMYFUNCTION("""COMPUTED_VALUE"""),1430.28)</f>
        <v>1430.28</v>
      </c>
      <c r="D5577" s="1">
        <f>IFERROR(__xludf.DUMMYFUNCTION("""COMPUTED_VALUE"""),1388.3)</f>
        <v>1388.3</v>
      </c>
      <c r="E5577" s="1">
        <f>IFERROR(__xludf.DUMMYFUNCTION("""COMPUTED_VALUE"""),1390.19)</f>
        <v>1390.19</v>
      </c>
      <c r="F5577" s="1">
        <f>IFERROR(__xludf.DUMMYFUNCTION("""COMPUTED_VALUE"""),4.70539008E8)</f>
        <v>470539008</v>
      </c>
    </row>
    <row r="5578">
      <c r="A5578" s="2">
        <f>IFERROR(__xludf.DUMMYFUNCTION("""COMPUTED_VALUE"""),39456.666666666664)</f>
        <v>39456.66667</v>
      </c>
      <c r="B5578" s="1">
        <f>IFERROR(__xludf.DUMMYFUNCTION("""COMPUTED_VALUE"""),1390.25)</f>
        <v>1390.25</v>
      </c>
      <c r="C5578" s="1">
        <f>IFERROR(__xludf.DUMMYFUNCTION("""COMPUTED_VALUE"""),1409.19)</f>
        <v>1409.19</v>
      </c>
      <c r="D5578" s="1">
        <f>IFERROR(__xludf.DUMMYFUNCTION("""COMPUTED_VALUE"""),1378.7)</f>
        <v>1378.7</v>
      </c>
      <c r="E5578" s="1">
        <f>IFERROR(__xludf.DUMMYFUNCTION("""COMPUTED_VALUE"""),1409.13)</f>
        <v>1409.13</v>
      </c>
      <c r="F5578" s="1">
        <f>IFERROR(__xludf.DUMMYFUNCTION("""COMPUTED_VALUE"""),5.35103008E8)</f>
        <v>535103008</v>
      </c>
    </row>
    <row r="5579">
      <c r="A5579" s="2">
        <f>IFERROR(__xludf.DUMMYFUNCTION("""COMPUTED_VALUE"""),39457.666666666664)</f>
        <v>39457.66667</v>
      </c>
      <c r="B5579" s="1">
        <f>IFERROR(__xludf.DUMMYFUNCTION("""COMPUTED_VALUE"""),1406.78)</f>
        <v>1406.78</v>
      </c>
      <c r="C5579" s="1">
        <f>IFERROR(__xludf.DUMMYFUNCTION("""COMPUTED_VALUE"""),1429.09)</f>
        <v>1429.09</v>
      </c>
      <c r="D5579" s="1">
        <f>IFERROR(__xludf.DUMMYFUNCTION("""COMPUTED_VALUE"""),1395.31)</f>
        <v>1395.31</v>
      </c>
      <c r="E5579" s="1">
        <f>IFERROR(__xludf.DUMMYFUNCTION("""COMPUTED_VALUE"""),1420.33)</f>
        <v>1420.33</v>
      </c>
      <c r="F5579" s="1">
        <f>IFERROR(__xludf.DUMMYFUNCTION("""COMPUTED_VALUE"""),5.17048992E8)</f>
        <v>517048992</v>
      </c>
    </row>
    <row r="5580">
      <c r="A5580" s="2">
        <f>IFERROR(__xludf.DUMMYFUNCTION("""COMPUTED_VALUE"""),39458.666666666664)</f>
        <v>39458.66667</v>
      </c>
      <c r="B5580" s="1">
        <f>IFERROR(__xludf.DUMMYFUNCTION("""COMPUTED_VALUE"""),1419.91)</f>
        <v>1419.91</v>
      </c>
      <c r="C5580" s="1">
        <f>IFERROR(__xludf.DUMMYFUNCTION("""COMPUTED_VALUE"""),1419.91)</f>
        <v>1419.91</v>
      </c>
      <c r="D5580" s="1">
        <f>IFERROR(__xludf.DUMMYFUNCTION("""COMPUTED_VALUE"""),1394.83)</f>
        <v>1394.83</v>
      </c>
      <c r="E5580" s="1">
        <f>IFERROR(__xludf.DUMMYFUNCTION("""COMPUTED_VALUE"""),1401.02)</f>
        <v>1401.02</v>
      </c>
      <c r="F5580" s="1">
        <f>IFERROR(__xludf.DUMMYFUNCTION("""COMPUTED_VALUE"""),4.49584E8)</f>
        <v>449584000</v>
      </c>
    </row>
    <row r="5581">
      <c r="A5581" s="2">
        <f>IFERROR(__xludf.DUMMYFUNCTION("""COMPUTED_VALUE"""),39461.666666666664)</f>
        <v>39461.66667</v>
      </c>
      <c r="B5581" s="1">
        <f>IFERROR(__xludf.DUMMYFUNCTION("""COMPUTED_VALUE"""),1402.91)</f>
        <v>1402.91</v>
      </c>
      <c r="C5581" s="1">
        <f>IFERROR(__xludf.DUMMYFUNCTION("""COMPUTED_VALUE"""),1417.89)</f>
        <v>1417.89</v>
      </c>
      <c r="D5581" s="1">
        <f>IFERROR(__xludf.DUMMYFUNCTION("""COMPUTED_VALUE"""),1402.91)</f>
        <v>1402.91</v>
      </c>
      <c r="E5581" s="1">
        <f>IFERROR(__xludf.DUMMYFUNCTION("""COMPUTED_VALUE"""),1416.25)</f>
        <v>1416.25</v>
      </c>
      <c r="F5581" s="1">
        <f>IFERROR(__xludf.DUMMYFUNCTION("""COMPUTED_VALUE"""),3.68208992E8)</f>
        <v>368208992</v>
      </c>
    </row>
    <row r="5582">
      <c r="A5582" s="2">
        <f>IFERROR(__xludf.DUMMYFUNCTION("""COMPUTED_VALUE"""),39462.666666666664)</f>
        <v>39462.66667</v>
      </c>
      <c r="B5582" s="1">
        <f>IFERROR(__xludf.DUMMYFUNCTION("""COMPUTED_VALUE"""),1411.88)</f>
        <v>1411.88</v>
      </c>
      <c r="C5582" s="1">
        <f>IFERROR(__xludf.DUMMYFUNCTION("""COMPUTED_VALUE"""),1411.88)</f>
        <v>1411.88</v>
      </c>
      <c r="D5582" s="1">
        <f>IFERROR(__xludf.DUMMYFUNCTION("""COMPUTED_VALUE"""),1380.6)</f>
        <v>1380.6</v>
      </c>
      <c r="E5582" s="1">
        <f>IFERROR(__xludf.DUMMYFUNCTION("""COMPUTED_VALUE"""),1380.95)</f>
        <v>1380.95</v>
      </c>
      <c r="F5582" s="1">
        <f>IFERROR(__xludf.DUMMYFUNCTION("""COMPUTED_VALUE"""),4.60164E8)</f>
        <v>460164000</v>
      </c>
    </row>
    <row r="5583">
      <c r="A5583" s="2">
        <f>IFERROR(__xludf.DUMMYFUNCTION("""COMPUTED_VALUE"""),39463.666666666664)</f>
        <v>39463.66667</v>
      </c>
      <c r="B5583" s="1">
        <f>IFERROR(__xludf.DUMMYFUNCTION("""COMPUTED_VALUE"""),1377.41)</f>
        <v>1377.41</v>
      </c>
      <c r="C5583" s="1">
        <f>IFERROR(__xludf.DUMMYFUNCTION("""COMPUTED_VALUE"""),1391.99)</f>
        <v>1391.99</v>
      </c>
      <c r="D5583" s="1">
        <f>IFERROR(__xludf.DUMMYFUNCTION("""COMPUTED_VALUE"""),1364.43)</f>
        <v>1364.43</v>
      </c>
      <c r="E5583" s="1">
        <f>IFERROR(__xludf.DUMMYFUNCTION("""COMPUTED_VALUE"""),1373.2)</f>
        <v>1373.2</v>
      </c>
      <c r="F5583" s="1">
        <f>IFERROR(__xludf.DUMMYFUNCTION("""COMPUTED_VALUE"""),5.44062016E8)</f>
        <v>544062016</v>
      </c>
    </row>
    <row r="5584">
      <c r="A5584" s="2">
        <f>IFERROR(__xludf.DUMMYFUNCTION("""COMPUTED_VALUE"""),39464.666666666664)</f>
        <v>39464.66667</v>
      </c>
      <c r="B5584" s="1">
        <f>IFERROR(__xludf.DUMMYFUNCTION("""COMPUTED_VALUE"""),1374.79)</f>
        <v>1374.79</v>
      </c>
      <c r="C5584" s="1">
        <f>IFERROR(__xludf.DUMMYFUNCTION("""COMPUTED_VALUE"""),1377.72)</f>
        <v>1377.72</v>
      </c>
      <c r="D5584" s="1">
        <f>IFERROR(__xludf.DUMMYFUNCTION("""COMPUTED_VALUE"""),1330.67)</f>
        <v>1330.67</v>
      </c>
      <c r="E5584" s="1">
        <f>IFERROR(__xludf.DUMMYFUNCTION("""COMPUTED_VALUE"""),1333.25)</f>
        <v>1333.25</v>
      </c>
      <c r="F5584" s="1">
        <f>IFERROR(__xludf.DUMMYFUNCTION("""COMPUTED_VALUE"""),5.30312992E8)</f>
        <v>530312992</v>
      </c>
    </row>
    <row r="5585">
      <c r="A5585" s="2">
        <f>IFERROR(__xludf.DUMMYFUNCTION("""COMPUTED_VALUE"""),39465.666666666664)</f>
        <v>39465.66667</v>
      </c>
      <c r="B5585" s="1">
        <f>IFERROR(__xludf.DUMMYFUNCTION("""COMPUTED_VALUE"""),1336.61)</f>
        <v>1336.61</v>
      </c>
      <c r="C5585" s="1">
        <f>IFERROR(__xludf.DUMMYFUNCTION("""COMPUTED_VALUE"""),1350.28)</f>
        <v>1350.28</v>
      </c>
      <c r="D5585" s="1">
        <f>IFERROR(__xludf.DUMMYFUNCTION("""COMPUTED_VALUE"""),1312.51)</f>
        <v>1312.51</v>
      </c>
      <c r="E5585" s="1">
        <f>IFERROR(__xludf.DUMMYFUNCTION("""COMPUTED_VALUE"""),1325.19)</f>
        <v>1325.19</v>
      </c>
      <c r="F5585" s="1">
        <f>IFERROR(__xludf.DUMMYFUNCTION("""COMPUTED_VALUE"""),6.00483968E8)</f>
        <v>600483968</v>
      </c>
    </row>
    <row r="5586">
      <c r="A5586" s="2">
        <f>IFERROR(__xludf.DUMMYFUNCTION("""COMPUTED_VALUE"""),39469.666666666664)</f>
        <v>39469.66667</v>
      </c>
      <c r="B5586" s="1">
        <f>IFERROR(__xludf.DUMMYFUNCTION("""COMPUTED_VALUE"""),1312.94)</f>
        <v>1312.94</v>
      </c>
      <c r="C5586" s="1">
        <f>IFERROR(__xludf.DUMMYFUNCTION("""COMPUTED_VALUE"""),1322.09)</f>
        <v>1322.09</v>
      </c>
      <c r="D5586" s="1">
        <f>IFERROR(__xludf.DUMMYFUNCTION("""COMPUTED_VALUE"""),1274.29)</f>
        <v>1274.29</v>
      </c>
      <c r="E5586" s="1">
        <f>IFERROR(__xludf.DUMMYFUNCTION("""COMPUTED_VALUE"""),1310.5)</f>
        <v>1310.5</v>
      </c>
      <c r="F5586" s="1">
        <f>IFERROR(__xludf.DUMMYFUNCTION("""COMPUTED_VALUE"""),6.54468992E8)</f>
        <v>654468992</v>
      </c>
    </row>
    <row r="5587">
      <c r="A5587" s="2">
        <f>IFERROR(__xludf.DUMMYFUNCTION("""COMPUTED_VALUE"""),39470.666666666664)</f>
        <v>39470.66667</v>
      </c>
      <c r="B5587" s="1">
        <f>IFERROR(__xludf.DUMMYFUNCTION("""COMPUTED_VALUE"""),1310.41)</f>
        <v>1310.41</v>
      </c>
      <c r="C5587" s="1">
        <f>IFERROR(__xludf.DUMMYFUNCTION("""COMPUTED_VALUE"""),1339.09)</f>
        <v>1339.09</v>
      </c>
      <c r="D5587" s="1">
        <f>IFERROR(__xludf.DUMMYFUNCTION("""COMPUTED_VALUE"""),1270.05)</f>
        <v>1270.05</v>
      </c>
      <c r="E5587" s="1">
        <f>IFERROR(__xludf.DUMMYFUNCTION("""COMPUTED_VALUE"""),1338.6)</f>
        <v>1338.6</v>
      </c>
      <c r="F5587" s="1">
        <f>IFERROR(__xludf.DUMMYFUNCTION("""COMPUTED_VALUE"""),3.24168E8)</f>
        <v>324168000</v>
      </c>
    </row>
    <row r="5588">
      <c r="A5588" s="2">
        <f>IFERROR(__xludf.DUMMYFUNCTION("""COMPUTED_VALUE"""),39471.666666666664)</f>
        <v>39471.66667</v>
      </c>
      <c r="B5588" s="1">
        <f>IFERROR(__xludf.DUMMYFUNCTION("""COMPUTED_VALUE"""),1340.13)</f>
        <v>1340.13</v>
      </c>
      <c r="C5588" s="1">
        <f>IFERROR(__xludf.DUMMYFUNCTION("""COMPUTED_VALUE"""),1355.15)</f>
        <v>1355.15</v>
      </c>
      <c r="D5588" s="1">
        <f>IFERROR(__xludf.DUMMYFUNCTION("""COMPUTED_VALUE"""),1334.31)</f>
        <v>1334.31</v>
      </c>
      <c r="E5588" s="1">
        <f>IFERROR(__xludf.DUMMYFUNCTION("""COMPUTED_VALUE"""),1352.07)</f>
        <v>1352.07</v>
      </c>
      <c r="F5588" s="1">
        <f>IFERROR(__xludf.DUMMYFUNCTION("""COMPUTED_VALUE"""),5.73529984E8)</f>
        <v>573529984</v>
      </c>
    </row>
    <row r="5589">
      <c r="A5589" s="2">
        <f>IFERROR(__xludf.DUMMYFUNCTION("""COMPUTED_VALUE"""),39472.666666666664)</f>
        <v>39472.66667</v>
      </c>
      <c r="B5589" s="1">
        <f>IFERROR(__xludf.DUMMYFUNCTION("""COMPUTED_VALUE"""),1357.32)</f>
        <v>1357.32</v>
      </c>
      <c r="C5589" s="1">
        <f>IFERROR(__xludf.DUMMYFUNCTION("""COMPUTED_VALUE"""),1368.05)</f>
        <v>1368.05</v>
      </c>
      <c r="D5589" s="1">
        <f>IFERROR(__xludf.DUMMYFUNCTION("""COMPUTED_VALUE"""),1327.5)</f>
        <v>1327.5</v>
      </c>
      <c r="E5589" s="1">
        <f>IFERROR(__xludf.DUMMYFUNCTION("""COMPUTED_VALUE"""),1330.61)</f>
        <v>1330.61</v>
      </c>
      <c r="F5589" s="1">
        <f>IFERROR(__xludf.DUMMYFUNCTION("""COMPUTED_VALUE"""),4.88224992E8)</f>
        <v>488224992</v>
      </c>
    </row>
    <row r="5590">
      <c r="A5590" s="2">
        <f>IFERROR(__xludf.DUMMYFUNCTION("""COMPUTED_VALUE"""),39475.666666666664)</f>
        <v>39475.66667</v>
      </c>
      <c r="B5590" s="1">
        <f>IFERROR(__xludf.DUMMYFUNCTION("""COMPUTED_VALUE"""),1330.7)</f>
        <v>1330.7</v>
      </c>
      <c r="C5590" s="1">
        <f>IFERROR(__xludf.DUMMYFUNCTION("""COMPUTED_VALUE"""),1353.97)</f>
        <v>1353.97</v>
      </c>
      <c r="D5590" s="1">
        <f>IFERROR(__xludf.DUMMYFUNCTION("""COMPUTED_VALUE"""),1322.43)</f>
        <v>1322.43</v>
      </c>
      <c r="E5590" s="1">
        <f>IFERROR(__xludf.DUMMYFUNCTION("""COMPUTED_VALUE"""),1353.96)</f>
        <v>1353.96</v>
      </c>
      <c r="F5590" s="1">
        <f>IFERROR(__xludf.DUMMYFUNCTION("""COMPUTED_VALUE"""),4.10092992E8)</f>
        <v>410092992</v>
      </c>
    </row>
    <row r="5591">
      <c r="A5591" s="2">
        <f>IFERROR(__xludf.DUMMYFUNCTION("""COMPUTED_VALUE"""),39476.666666666664)</f>
        <v>39476.66667</v>
      </c>
      <c r="B5591" s="1">
        <f>IFERROR(__xludf.DUMMYFUNCTION("""COMPUTED_VALUE"""),1355.94)</f>
        <v>1355.94</v>
      </c>
      <c r="C5591" s="1">
        <f>IFERROR(__xludf.DUMMYFUNCTION("""COMPUTED_VALUE"""),1364.93)</f>
        <v>1364.93</v>
      </c>
      <c r="D5591" s="1">
        <f>IFERROR(__xludf.DUMMYFUNCTION("""COMPUTED_VALUE"""),1350.19)</f>
        <v>1350.19</v>
      </c>
      <c r="E5591" s="1">
        <f>IFERROR(__xludf.DUMMYFUNCTION("""COMPUTED_VALUE"""),1362.3)</f>
        <v>1362.3</v>
      </c>
      <c r="F5591" s="1">
        <f>IFERROR(__xludf.DUMMYFUNCTION("""COMPUTED_VALUE"""),4.23296E8)</f>
        <v>423296000</v>
      </c>
    </row>
    <row r="5592">
      <c r="A5592" s="2">
        <f>IFERROR(__xludf.DUMMYFUNCTION("""COMPUTED_VALUE"""),39477.666666666664)</f>
        <v>39477.66667</v>
      </c>
      <c r="B5592" s="1">
        <f>IFERROR(__xludf.DUMMYFUNCTION("""COMPUTED_VALUE"""),1362.22)</f>
        <v>1362.22</v>
      </c>
      <c r="C5592" s="1">
        <f>IFERROR(__xludf.DUMMYFUNCTION("""COMPUTED_VALUE"""),1385.86)</f>
        <v>1385.86</v>
      </c>
      <c r="D5592" s="1">
        <f>IFERROR(__xludf.DUMMYFUNCTION("""COMPUTED_VALUE"""),1352.95)</f>
        <v>1352.95</v>
      </c>
      <c r="E5592" s="1">
        <f>IFERROR(__xludf.DUMMYFUNCTION("""COMPUTED_VALUE"""),1355.81)</f>
        <v>1355.81</v>
      </c>
      <c r="F5592" s="1">
        <f>IFERROR(__xludf.DUMMYFUNCTION("""COMPUTED_VALUE"""),4.74276E8)</f>
        <v>474276000</v>
      </c>
    </row>
    <row r="5593">
      <c r="A5593" s="2">
        <f>IFERROR(__xludf.DUMMYFUNCTION("""COMPUTED_VALUE"""),39478.666666666664)</f>
        <v>39478.66667</v>
      </c>
      <c r="B5593" s="1">
        <f>IFERROR(__xludf.DUMMYFUNCTION("""COMPUTED_VALUE"""),1351.98)</f>
        <v>1351.98</v>
      </c>
      <c r="C5593" s="1">
        <f>IFERROR(__xludf.DUMMYFUNCTION("""COMPUTED_VALUE"""),1385.62)</f>
        <v>1385.62</v>
      </c>
      <c r="D5593" s="1">
        <f>IFERROR(__xludf.DUMMYFUNCTION("""COMPUTED_VALUE"""),1334.08)</f>
        <v>1334.08</v>
      </c>
      <c r="E5593" s="1">
        <f>IFERROR(__xludf.DUMMYFUNCTION("""COMPUTED_VALUE"""),1378.55)</f>
        <v>1378.55</v>
      </c>
      <c r="F5593" s="1">
        <f>IFERROR(__xludf.DUMMYFUNCTION("""COMPUTED_VALUE"""),4.97028992E8)</f>
        <v>497028992</v>
      </c>
    </row>
    <row r="5594">
      <c r="A5594" s="2">
        <f>IFERROR(__xludf.DUMMYFUNCTION("""COMPUTED_VALUE"""),39479.666666666664)</f>
        <v>39479.66667</v>
      </c>
      <c r="B5594" s="1">
        <f>IFERROR(__xludf.DUMMYFUNCTION("""COMPUTED_VALUE"""),1378.6)</f>
        <v>1378.6</v>
      </c>
      <c r="C5594" s="1">
        <f>IFERROR(__xludf.DUMMYFUNCTION("""COMPUTED_VALUE"""),1396.02)</f>
        <v>1396.02</v>
      </c>
      <c r="D5594" s="1">
        <f>IFERROR(__xludf.DUMMYFUNCTION("""COMPUTED_VALUE"""),1375.93)</f>
        <v>1375.93</v>
      </c>
      <c r="E5594" s="1">
        <f>IFERROR(__xludf.DUMMYFUNCTION("""COMPUTED_VALUE"""),1395.42)</f>
        <v>1395.42</v>
      </c>
      <c r="F5594" s="1">
        <f>IFERROR(__xludf.DUMMYFUNCTION("""COMPUTED_VALUE"""),4.65076992E8)</f>
        <v>465076992</v>
      </c>
    </row>
    <row r="5595">
      <c r="A5595" s="2">
        <f>IFERROR(__xludf.DUMMYFUNCTION("""COMPUTED_VALUE"""),39482.666666666664)</f>
        <v>39482.66667</v>
      </c>
      <c r="B5595" s="1">
        <f>IFERROR(__xludf.DUMMYFUNCTION("""COMPUTED_VALUE"""),1394.89)</f>
        <v>1394.89</v>
      </c>
      <c r="C5595" s="1">
        <f>IFERROR(__xludf.DUMMYFUNCTION("""COMPUTED_VALUE"""),1394.89)</f>
        <v>1394.89</v>
      </c>
      <c r="D5595" s="1">
        <f>IFERROR(__xludf.DUMMYFUNCTION("""COMPUTED_VALUE"""),1379.69)</f>
        <v>1379.69</v>
      </c>
      <c r="E5595" s="1">
        <f>IFERROR(__xludf.DUMMYFUNCTION("""COMPUTED_VALUE"""),1380.82)</f>
        <v>1380.82</v>
      </c>
      <c r="F5595" s="1">
        <f>IFERROR(__xludf.DUMMYFUNCTION("""COMPUTED_VALUE"""),3.49577984E8)</f>
        <v>349577984</v>
      </c>
    </row>
    <row r="5596">
      <c r="A5596" s="2">
        <f>IFERROR(__xludf.DUMMYFUNCTION("""COMPUTED_VALUE"""),39483.666666666664)</f>
        <v>39483.66667</v>
      </c>
      <c r="B5596" s="1">
        <f>IFERROR(__xludf.DUMMYFUNCTION("""COMPUTED_VALUE"""),1380.28)</f>
        <v>1380.28</v>
      </c>
      <c r="C5596" s="1">
        <f>IFERROR(__xludf.DUMMYFUNCTION("""COMPUTED_VALUE"""),1380.28)</f>
        <v>1380.28</v>
      </c>
      <c r="D5596" s="1">
        <f>IFERROR(__xludf.DUMMYFUNCTION("""COMPUTED_VALUE"""),1336.64)</f>
        <v>1336.64</v>
      </c>
      <c r="E5596" s="1">
        <f>IFERROR(__xludf.DUMMYFUNCTION("""COMPUTED_VALUE"""),1336.64)</f>
        <v>1336.64</v>
      </c>
      <c r="F5596" s="1">
        <f>IFERROR(__xludf.DUMMYFUNCTION("""COMPUTED_VALUE"""),4.31574016E8)</f>
        <v>431574016</v>
      </c>
    </row>
    <row r="5597">
      <c r="A5597" s="2">
        <f>IFERROR(__xludf.DUMMYFUNCTION("""COMPUTED_VALUE"""),39484.666666666664)</f>
        <v>39484.66667</v>
      </c>
      <c r="B5597" s="1">
        <f>IFERROR(__xludf.DUMMYFUNCTION("""COMPUTED_VALUE"""),1339.48)</f>
        <v>1339.48</v>
      </c>
      <c r="C5597" s="1">
        <f>IFERROR(__xludf.DUMMYFUNCTION("""COMPUTED_VALUE"""),1351.96)</f>
        <v>1351.96</v>
      </c>
      <c r="D5597" s="1">
        <f>IFERROR(__xludf.DUMMYFUNCTION("""COMPUTED_VALUE"""),1324.34)</f>
        <v>1324.34</v>
      </c>
      <c r="E5597" s="1">
        <f>IFERROR(__xludf.DUMMYFUNCTION("""COMPUTED_VALUE"""),1326.45)</f>
        <v>1326.45</v>
      </c>
      <c r="F5597" s="1">
        <f>IFERROR(__xludf.DUMMYFUNCTION("""COMPUTED_VALUE"""),4.00812E8)</f>
        <v>400812000</v>
      </c>
    </row>
    <row r="5598">
      <c r="A5598" s="2">
        <f>IFERROR(__xludf.DUMMYFUNCTION("""COMPUTED_VALUE"""),39485.666666666664)</f>
        <v>39485.66667</v>
      </c>
      <c r="B5598" s="1">
        <f>IFERROR(__xludf.DUMMYFUNCTION("""COMPUTED_VALUE"""),1324.01)</f>
        <v>1324.01</v>
      </c>
      <c r="C5598" s="1">
        <f>IFERROR(__xludf.DUMMYFUNCTION("""COMPUTED_VALUE"""),1347.16)</f>
        <v>1347.16</v>
      </c>
      <c r="D5598" s="1">
        <f>IFERROR(__xludf.DUMMYFUNCTION("""COMPUTED_VALUE"""),1316.75)</f>
        <v>1316.75</v>
      </c>
      <c r="E5598" s="1">
        <f>IFERROR(__xludf.DUMMYFUNCTION("""COMPUTED_VALUE"""),1336.91)</f>
        <v>1336.91</v>
      </c>
      <c r="F5598" s="1">
        <f>IFERROR(__xludf.DUMMYFUNCTION("""COMPUTED_VALUE"""),4.58916E8)</f>
        <v>458916000</v>
      </c>
    </row>
    <row r="5599">
      <c r="A5599" s="2">
        <f>IFERROR(__xludf.DUMMYFUNCTION("""COMPUTED_VALUE"""),39486.666666666664)</f>
        <v>39486.66667</v>
      </c>
      <c r="B5599" s="1">
        <f>IFERROR(__xludf.DUMMYFUNCTION("""COMPUTED_VALUE"""),1336.88)</f>
        <v>1336.88</v>
      </c>
      <c r="C5599" s="1">
        <f>IFERROR(__xludf.DUMMYFUNCTION("""COMPUTED_VALUE"""),1341.22)</f>
        <v>1341.22</v>
      </c>
      <c r="D5599" s="1">
        <f>IFERROR(__xludf.DUMMYFUNCTION("""COMPUTED_VALUE"""),1321.06)</f>
        <v>1321.06</v>
      </c>
      <c r="E5599" s="1">
        <f>IFERROR(__xludf.DUMMYFUNCTION("""COMPUTED_VALUE"""),1331.29)</f>
        <v>1331.29</v>
      </c>
      <c r="F5599" s="1">
        <f>IFERROR(__xludf.DUMMYFUNCTION("""COMPUTED_VALUE"""),3.76848992E8)</f>
        <v>376848992</v>
      </c>
    </row>
    <row r="5600">
      <c r="A5600" s="2">
        <f>IFERROR(__xludf.DUMMYFUNCTION("""COMPUTED_VALUE"""),39489.666666666664)</f>
        <v>39489.66667</v>
      </c>
      <c r="B5600" s="1">
        <f>IFERROR(__xludf.DUMMYFUNCTION("""COMPUTED_VALUE"""),1331.92)</f>
        <v>1331.92</v>
      </c>
      <c r="C5600" s="1">
        <f>IFERROR(__xludf.DUMMYFUNCTION("""COMPUTED_VALUE"""),1341.4)</f>
        <v>1341.4</v>
      </c>
      <c r="D5600" s="1">
        <f>IFERROR(__xludf.DUMMYFUNCTION("""COMPUTED_VALUE"""),1320.32)</f>
        <v>1320.32</v>
      </c>
      <c r="E5600" s="1">
        <f>IFERROR(__xludf.DUMMYFUNCTION("""COMPUTED_VALUE"""),1339.13)</f>
        <v>1339.13</v>
      </c>
      <c r="F5600" s="1">
        <f>IFERROR(__xludf.DUMMYFUNCTION("""COMPUTED_VALUE"""),3.59313984E8)</f>
        <v>359313984</v>
      </c>
    </row>
    <row r="5601">
      <c r="A5601" s="2">
        <f>IFERROR(__xludf.DUMMYFUNCTION("""COMPUTED_VALUE"""),39490.666666666664)</f>
        <v>39490.66667</v>
      </c>
      <c r="B5601" s="1">
        <f>IFERROR(__xludf.DUMMYFUNCTION("""COMPUTED_VALUE"""),1340.55)</f>
        <v>1340.55</v>
      </c>
      <c r="C5601" s="1">
        <f>IFERROR(__xludf.DUMMYFUNCTION("""COMPUTED_VALUE"""),1362.1)</f>
        <v>1362.1</v>
      </c>
      <c r="D5601" s="1">
        <f>IFERROR(__xludf.DUMMYFUNCTION("""COMPUTED_VALUE"""),1339.36)</f>
        <v>1339.36</v>
      </c>
      <c r="E5601" s="1">
        <f>IFERROR(__xludf.DUMMYFUNCTION("""COMPUTED_VALUE"""),1348.86)</f>
        <v>1348.86</v>
      </c>
      <c r="F5601" s="1">
        <f>IFERROR(__xludf.DUMMYFUNCTION("""COMPUTED_VALUE"""),4.04464E8)</f>
        <v>404464000</v>
      </c>
    </row>
    <row r="5602">
      <c r="A5602" s="2">
        <f>IFERROR(__xludf.DUMMYFUNCTION("""COMPUTED_VALUE"""),39491.666666666664)</f>
        <v>39491.66667</v>
      </c>
      <c r="B5602" s="1">
        <f>IFERROR(__xludf.DUMMYFUNCTION("""COMPUTED_VALUE"""),1353.12)</f>
        <v>1353.12</v>
      </c>
      <c r="C5602" s="1">
        <f>IFERROR(__xludf.DUMMYFUNCTION("""COMPUTED_VALUE"""),1369.23)</f>
        <v>1369.23</v>
      </c>
      <c r="D5602" s="1">
        <f>IFERROR(__xludf.DUMMYFUNCTION("""COMPUTED_VALUE"""),1350.78)</f>
        <v>1350.78</v>
      </c>
      <c r="E5602" s="1">
        <f>IFERROR(__xludf.DUMMYFUNCTION("""COMPUTED_VALUE"""),1367.21)</f>
        <v>1367.21</v>
      </c>
      <c r="F5602" s="1">
        <f>IFERROR(__xludf.DUMMYFUNCTION("""COMPUTED_VALUE"""),3.85641984E8)</f>
        <v>385641984</v>
      </c>
    </row>
    <row r="5603">
      <c r="A5603" s="2">
        <f>IFERROR(__xludf.DUMMYFUNCTION("""COMPUTED_VALUE"""),39492.666666666664)</f>
        <v>39492.66667</v>
      </c>
      <c r="B5603" s="1">
        <f>IFERROR(__xludf.DUMMYFUNCTION("""COMPUTED_VALUE"""),1367.33)</f>
        <v>1367.33</v>
      </c>
      <c r="C5603" s="1">
        <f>IFERROR(__xludf.DUMMYFUNCTION("""COMPUTED_VALUE"""),1368.16)</f>
        <v>1368.16</v>
      </c>
      <c r="D5603" s="1">
        <f>IFERROR(__xludf.DUMMYFUNCTION("""COMPUTED_VALUE"""),1347.31)</f>
        <v>1347.31</v>
      </c>
      <c r="E5603" s="1">
        <f>IFERROR(__xludf.DUMMYFUNCTION("""COMPUTED_VALUE"""),1348.86)</f>
        <v>1348.86</v>
      </c>
      <c r="F5603" s="1">
        <f>IFERROR(__xludf.DUMMYFUNCTION("""COMPUTED_VALUE"""),3.64476E8)</f>
        <v>364476000</v>
      </c>
    </row>
    <row r="5604">
      <c r="A5604" s="2">
        <f>IFERROR(__xludf.DUMMYFUNCTION("""COMPUTED_VALUE"""),39493.666666666664)</f>
        <v>39493.66667</v>
      </c>
      <c r="B5604" s="1">
        <f>IFERROR(__xludf.DUMMYFUNCTION("""COMPUTED_VALUE"""),1347.52)</f>
        <v>1347.52</v>
      </c>
      <c r="C5604" s="1">
        <f>IFERROR(__xludf.DUMMYFUNCTION("""COMPUTED_VALUE"""),1350.0)</f>
        <v>1350</v>
      </c>
      <c r="D5604" s="1">
        <f>IFERROR(__xludf.DUMMYFUNCTION("""COMPUTED_VALUE"""),1338.13)</f>
        <v>1338.13</v>
      </c>
      <c r="E5604" s="1">
        <f>IFERROR(__xludf.DUMMYFUNCTION("""COMPUTED_VALUE"""),1349.99)</f>
        <v>1349.99</v>
      </c>
      <c r="F5604" s="1">
        <f>IFERROR(__xludf.DUMMYFUNCTION("""COMPUTED_VALUE"""),3.58329984E8)</f>
        <v>358329984</v>
      </c>
    </row>
    <row r="5605">
      <c r="A5605" s="2">
        <f>IFERROR(__xludf.DUMMYFUNCTION("""COMPUTED_VALUE"""),39497.666666666664)</f>
        <v>39497.66667</v>
      </c>
      <c r="B5605" s="1">
        <f>IFERROR(__xludf.DUMMYFUNCTION("""COMPUTED_VALUE"""),1355.86)</f>
        <v>1355.86</v>
      </c>
      <c r="C5605" s="1">
        <f>IFERROR(__xludf.DUMMYFUNCTION("""COMPUTED_VALUE"""),1367.28)</f>
        <v>1367.28</v>
      </c>
      <c r="D5605" s="1">
        <f>IFERROR(__xludf.DUMMYFUNCTION("""COMPUTED_VALUE"""),1345.72)</f>
        <v>1345.72</v>
      </c>
      <c r="E5605" s="1">
        <f>IFERROR(__xludf.DUMMYFUNCTION("""COMPUTED_VALUE"""),1348.78)</f>
        <v>1348.78</v>
      </c>
      <c r="F5605" s="1">
        <f>IFERROR(__xludf.DUMMYFUNCTION("""COMPUTED_VALUE"""),3.61355008E8)</f>
        <v>361355008</v>
      </c>
    </row>
    <row r="5606">
      <c r="A5606" s="2">
        <f>IFERROR(__xludf.DUMMYFUNCTION("""COMPUTED_VALUE"""),39498.666666666664)</f>
        <v>39498.66667</v>
      </c>
      <c r="B5606" s="1">
        <f>IFERROR(__xludf.DUMMYFUNCTION("""COMPUTED_VALUE"""),1348.39)</f>
        <v>1348.39</v>
      </c>
      <c r="C5606" s="1">
        <f>IFERROR(__xludf.DUMMYFUNCTION("""COMPUTED_VALUE"""),1363.71)</f>
        <v>1363.71</v>
      </c>
      <c r="D5606" s="1">
        <f>IFERROR(__xludf.DUMMYFUNCTION("""COMPUTED_VALUE"""),1336.55)</f>
        <v>1336.55</v>
      </c>
      <c r="E5606" s="1">
        <f>IFERROR(__xludf.DUMMYFUNCTION("""COMPUTED_VALUE"""),1360.03)</f>
        <v>1360.03</v>
      </c>
      <c r="F5606" s="1">
        <f>IFERROR(__xludf.DUMMYFUNCTION("""COMPUTED_VALUE"""),3.87052E8)</f>
        <v>387052000</v>
      </c>
    </row>
    <row r="5607">
      <c r="A5607" s="2">
        <f>IFERROR(__xludf.DUMMYFUNCTION("""COMPUTED_VALUE"""),39499.666666666664)</f>
        <v>39499.66667</v>
      </c>
      <c r="B5607" s="1">
        <f>IFERROR(__xludf.DUMMYFUNCTION("""COMPUTED_VALUE"""),1362.21)</f>
        <v>1362.21</v>
      </c>
      <c r="C5607" s="1">
        <f>IFERROR(__xludf.DUMMYFUNCTION("""COMPUTED_VALUE"""),1367.94)</f>
        <v>1367.94</v>
      </c>
      <c r="D5607" s="1">
        <f>IFERROR(__xludf.DUMMYFUNCTION("""COMPUTED_VALUE"""),1339.34)</f>
        <v>1339.34</v>
      </c>
      <c r="E5607" s="1">
        <f>IFERROR(__xludf.DUMMYFUNCTION("""COMPUTED_VALUE"""),1342.53)</f>
        <v>1342.53</v>
      </c>
      <c r="F5607" s="1">
        <f>IFERROR(__xludf.DUMMYFUNCTION("""COMPUTED_VALUE"""),3.69665984E8)</f>
        <v>369665984</v>
      </c>
    </row>
    <row r="5608">
      <c r="A5608" s="2">
        <f>IFERROR(__xludf.DUMMYFUNCTION("""COMPUTED_VALUE"""),39500.666666666664)</f>
        <v>39500.66667</v>
      </c>
      <c r="B5608" s="1">
        <f>IFERROR(__xludf.DUMMYFUNCTION("""COMPUTED_VALUE"""),1344.22)</f>
        <v>1344.22</v>
      </c>
      <c r="C5608" s="1">
        <f>IFERROR(__xludf.DUMMYFUNCTION("""COMPUTED_VALUE"""),1354.3)</f>
        <v>1354.3</v>
      </c>
      <c r="D5608" s="1">
        <f>IFERROR(__xludf.DUMMYFUNCTION("""COMPUTED_VALUE"""),1327.04)</f>
        <v>1327.04</v>
      </c>
      <c r="E5608" s="1">
        <f>IFERROR(__xludf.DUMMYFUNCTION("""COMPUTED_VALUE"""),1353.14)</f>
        <v>1353.14</v>
      </c>
      <c r="F5608" s="1">
        <f>IFERROR(__xludf.DUMMYFUNCTION("""COMPUTED_VALUE"""),3.57265984E8)</f>
        <v>357265984</v>
      </c>
    </row>
    <row r="5609">
      <c r="A5609" s="2">
        <f>IFERROR(__xludf.DUMMYFUNCTION("""COMPUTED_VALUE"""),39503.666666666664)</f>
        <v>39503.66667</v>
      </c>
      <c r="B5609" s="1">
        <f>IFERROR(__xludf.DUMMYFUNCTION("""COMPUTED_VALUE"""),1352.75)</f>
        <v>1352.75</v>
      </c>
      <c r="C5609" s="1">
        <f>IFERROR(__xludf.DUMMYFUNCTION("""COMPUTED_VALUE"""),1374.36)</f>
        <v>1374.36</v>
      </c>
      <c r="D5609" s="1">
        <f>IFERROR(__xludf.DUMMYFUNCTION("""COMPUTED_VALUE"""),1346.03)</f>
        <v>1346.03</v>
      </c>
      <c r="E5609" s="1">
        <f>IFERROR(__xludf.DUMMYFUNCTION("""COMPUTED_VALUE"""),1371.8)</f>
        <v>1371.8</v>
      </c>
      <c r="F5609" s="1">
        <f>IFERROR(__xludf.DUMMYFUNCTION("""COMPUTED_VALUE"""),3.86635008E8)</f>
        <v>386635008</v>
      </c>
    </row>
    <row r="5610">
      <c r="A5610" s="2">
        <f>IFERROR(__xludf.DUMMYFUNCTION("""COMPUTED_VALUE"""),39504.666666666664)</f>
        <v>39504.66667</v>
      </c>
      <c r="B5610" s="1">
        <f>IFERROR(__xludf.DUMMYFUNCTION("""COMPUTED_VALUE"""),1371.76)</f>
        <v>1371.76</v>
      </c>
      <c r="C5610" s="1">
        <f>IFERROR(__xludf.DUMMYFUNCTION("""COMPUTED_VALUE"""),1387.34)</f>
        <v>1387.34</v>
      </c>
      <c r="D5610" s="1">
        <f>IFERROR(__xludf.DUMMYFUNCTION("""COMPUTED_VALUE"""),1363.29)</f>
        <v>1363.29</v>
      </c>
      <c r="E5610" s="1">
        <f>IFERROR(__xludf.DUMMYFUNCTION("""COMPUTED_VALUE"""),1381.29)</f>
        <v>1381.29</v>
      </c>
      <c r="F5610" s="1">
        <f>IFERROR(__xludf.DUMMYFUNCTION("""COMPUTED_VALUE"""),4.09606016E8)</f>
        <v>409606016</v>
      </c>
    </row>
    <row r="5611">
      <c r="A5611" s="2">
        <f>IFERROR(__xludf.DUMMYFUNCTION("""COMPUTED_VALUE"""),39505.666666666664)</f>
        <v>39505.66667</v>
      </c>
      <c r="B5611" s="1">
        <f>IFERROR(__xludf.DUMMYFUNCTION("""COMPUTED_VALUE"""),1378.95)</f>
        <v>1378.95</v>
      </c>
      <c r="C5611" s="1">
        <f>IFERROR(__xludf.DUMMYFUNCTION("""COMPUTED_VALUE"""),1388.34)</f>
        <v>1388.34</v>
      </c>
      <c r="D5611" s="1">
        <f>IFERROR(__xludf.DUMMYFUNCTION("""COMPUTED_VALUE"""),1372.0)</f>
        <v>1372</v>
      </c>
      <c r="E5611" s="1">
        <f>IFERROR(__xludf.DUMMYFUNCTION("""COMPUTED_VALUE"""),1380.02)</f>
        <v>1380.02</v>
      </c>
      <c r="F5611" s="1">
        <f>IFERROR(__xludf.DUMMYFUNCTION("""COMPUTED_VALUE"""),3.90470016E8)</f>
        <v>390470016</v>
      </c>
    </row>
    <row r="5612">
      <c r="A5612" s="2">
        <f>IFERROR(__xludf.DUMMYFUNCTION("""COMPUTED_VALUE"""),39506.666666666664)</f>
        <v>39506.66667</v>
      </c>
      <c r="B5612" s="1">
        <f>IFERROR(__xludf.DUMMYFUNCTION("""COMPUTED_VALUE"""),1378.16)</f>
        <v>1378.16</v>
      </c>
      <c r="C5612" s="1">
        <f>IFERROR(__xludf.DUMMYFUNCTION("""COMPUTED_VALUE"""),1378.16)</f>
        <v>1378.16</v>
      </c>
      <c r="D5612" s="1">
        <f>IFERROR(__xludf.DUMMYFUNCTION("""COMPUTED_VALUE"""),1363.16)</f>
        <v>1363.16</v>
      </c>
      <c r="E5612" s="1">
        <f>IFERROR(__xludf.DUMMYFUNCTION("""COMPUTED_VALUE"""),1367.68)</f>
        <v>1367.68</v>
      </c>
      <c r="F5612" s="1">
        <f>IFERROR(__xludf.DUMMYFUNCTION("""COMPUTED_VALUE"""),3.93857984E8)</f>
        <v>393857984</v>
      </c>
    </row>
    <row r="5613">
      <c r="A5613" s="2">
        <f>IFERROR(__xludf.DUMMYFUNCTION("""COMPUTED_VALUE"""),39507.666666666664)</f>
        <v>39507.66667</v>
      </c>
      <c r="B5613" s="1">
        <f>IFERROR(__xludf.DUMMYFUNCTION("""COMPUTED_VALUE"""),1364.07)</f>
        <v>1364.07</v>
      </c>
      <c r="C5613" s="1">
        <f>IFERROR(__xludf.DUMMYFUNCTION("""COMPUTED_VALUE"""),1364.07)</f>
        <v>1364.07</v>
      </c>
      <c r="D5613" s="1">
        <f>IFERROR(__xludf.DUMMYFUNCTION("""COMPUTED_VALUE"""),1325.42)</f>
        <v>1325.42</v>
      </c>
      <c r="E5613" s="1">
        <f>IFERROR(__xludf.DUMMYFUNCTION("""COMPUTED_VALUE"""),1330.63)</f>
        <v>1330.63</v>
      </c>
      <c r="F5613" s="1">
        <f>IFERROR(__xludf.DUMMYFUNCTION("""COMPUTED_VALUE"""),4.42672992E8)</f>
        <v>442672992</v>
      </c>
    </row>
    <row r="5614">
      <c r="A5614" s="2">
        <f>IFERROR(__xludf.DUMMYFUNCTION("""COMPUTED_VALUE"""),39510.666666666664)</f>
        <v>39510.66667</v>
      </c>
      <c r="B5614" s="1">
        <f>IFERROR(__xludf.DUMMYFUNCTION("""COMPUTED_VALUE"""),1330.45)</f>
        <v>1330.45</v>
      </c>
      <c r="C5614" s="1">
        <f>IFERROR(__xludf.DUMMYFUNCTION("""COMPUTED_VALUE"""),1335.13)</f>
        <v>1335.13</v>
      </c>
      <c r="D5614" s="1">
        <f>IFERROR(__xludf.DUMMYFUNCTION("""COMPUTED_VALUE"""),1320.04)</f>
        <v>1320.04</v>
      </c>
      <c r="E5614" s="1">
        <f>IFERROR(__xludf.DUMMYFUNCTION("""COMPUTED_VALUE"""),1331.34)</f>
        <v>1331.34</v>
      </c>
      <c r="F5614" s="1">
        <f>IFERROR(__xludf.DUMMYFUNCTION("""COMPUTED_VALUE"""),4.11756992E8)</f>
        <v>411756992</v>
      </c>
    </row>
    <row r="5615">
      <c r="A5615" s="2">
        <f>IFERROR(__xludf.DUMMYFUNCTION("""COMPUTED_VALUE"""),39511.666666666664)</f>
        <v>39511.66667</v>
      </c>
      <c r="B5615" s="1">
        <f>IFERROR(__xludf.DUMMYFUNCTION("""COMPUTED_VALUE"""),1329.58)</f>
        <v>1329.58</v>
      </c>
      <c r="C5615" s="1">
        <f>IFERROR(__xludf.DUMMYFUNCTION("""COMPUTED_VALUE"""),1331.03)</f>
        <v>1331.03</v>
      </c>
      <c r="D5615" s="1">
        <f>IFERROR(__xludf.DUMMYFUNCTION("""COMPUTED_VALUE"""),1307.39)</f>
        <v>1307.39</v>
      </c>
      <c r="E5615" s="1">
        <f>IFERROR(__xludf.DUMMYFUNCTION("""COMPUTED_VALUE"""),1326.75)</f>
        <v>1326.75</v>
      </c>
      <c r="F5615" s="1">
        <f>IFERROR(__xludf.DUMMYFUNCTION("""COMPUTED_VALUE"""),4.75718016E8)</f>
        <v>475718016</v>
      </c>
    </row>
    <row r="5616">
      <c r="A5616" s="2">
        <f>IFERROR(__xludf.DUMMYFUNCTION("""COMPUTED_VALUE"""),39512.666666666664)</f>
        <v>39512.66667</v>
      </c>
      <c r="B5616" s="1">
        <f>IFERROR(__xludf.DUMMYFUNCTION("""COMPUTED_VALUE"""),1327.69)</f>
        <v>1327.69</v>
      </c>
      <c r="C5616" s="1">
        <f>IFERROR(__xludf.DUMMYFUNCTION("""COMPUTED_VALUE"""),1344.19)</f>
        <v>1344.19</v>
      </c>
      <c r="D5616" s="1">
        <f>IFERROR(__xludf.DUMMYFUNCTION("""COMPUTED_VALUE"""),1320.22)</f>
        <v>1320.22</v>
      </c>
      <c r="E5616" s="1">
        <f>IFERROR(__xludf.DUMMYFUNCTION("""COMPUTED_VALUE"""),1333.7)</f>
        <v>1333.7</v>
      </c>
      <c r="F5616" s="1">
        <f>IFERROR(__xludf.DUMMYFUNCTION("""COMPUTED_VALUE"""),4.27771008E8)</f>
        <v>427771008</v>
      </c>
    </row>
    <row r="5617">
      <c r="A5617" s="2">
        <f>IFERROR(__xludf.DUMMYFUNCTION("""COMPUTED_VALUE"""),39513.666666666664)</f>
        <v>39513.66667</v>
      </c>
      <c r="B5617" s="1">
        <f>IFERROR(__xludf.DUMMYFUNCTION("""COMPUTED_VALUE"""),1332.2)</f>
        <v>1332.2</v>
      </c>
      <c r="C5617" s="1">
        <f>IFERROR(__xludf.DUMMYFUNCTION("""COMPUTED_VALUE"""),1332.2)</f>
        <v>1332.2</v>
      </c>
      <c r="D5617" s="1">
        <f>IFERROR(__xludf.DUMMYFUNCTION("""COMPUTED_VALUE"""),1303.42)</f>
        <v>1303.42</v>
      </c>
      <c r="E5617" s="1">
        <f>IFERROR(__xludf.DUMMYFUNCTION("""COMPUTED_VALUE"""),1304.34)</f>
        <v>1304.34</v>
      </c>
      <c r="F5617" s="1">
        <f>IFERROR(__xludf.DUMMYFUNCTION("""COMPUTED_VALUE"""),4.32345984E8)</f>
        <v>432345984</v>
      </c>
    </row>
    <row r="5618">
      <c r="A5618" s="2">
        <f>IFERROR(__xludf.DUMMYFUNCTION("""COMPUTED_VALUE"""),39514.666666666664)</f>
        <v>39514.66667</v>
      </c>
      <c r="B5618" s="1">
        <f>IFERROR(__xludf.DUMMYFUNCTION("""COMPUTED_VALUE"""),1301.53)</f>
        <v>1301.53</v>
      </c>
      <c r="C5618" s="1">
        <f>IFERROR(__xludf.DUMMYFUNCTION("""COMPUTED_VALUE"""),1313.24)</f>
        <v>1313.24</v>
      </c>
      <c r="D5618" s="1">
        <f>IFERROR(__xludf.DUMMYFUNCTION("""COMPUTED_VALUE"""),1282.43)</f>
        <v>1282.43</v>
      </c>
      <c r="E5618" s="1">
        <f>IFERROR(__xludf.DUMMYFUNCTION("""COMPUTED_VALUE"""),1293.37)</f>
        <v>1293.37</v>
      </c>
      <c r="F5618" s="1">
        <f>IFERROR(__xludf.DUMMYFUNCTION("""COMPUTED_VALUE"""),4.56540992E8)</f>
        <v>456540992</v>
      </c>
    </row>
    <row r="5619">
      <c r="A5619" s="2">
        <f>IFERROR(__xludf.DUMMYFUNCTION("""COMPUTED_VALUE"""),39517.666666666664)</f>
        <v>39517.66667</v>
      </c>
      <c r="B5619" s="1">
        <f>IFERROR(__xludf.DUMMYFUNCTION("""COMPUTED_VALUE"""),1293.16)</f>
        <v>1293.16</v>
      </c>
      <c r="C5619" s="1">
        <f>IFERROR(__xludf.DUMMYFUNCTION("""COMPUTED_VALUE"""),1295.01)</f>
        <v>1295.01</v>
      </c>
      <c r="D5619" s="1">
        <f>IFERROR(__xludf.DUMMYFUNCTION("""COMPUTED_VALUE"""),1272.66)</f>
        <v>1272.66</v>
      </c>
      <c r="E5619" s="1">
        <f>IFERROR(__xludf.DUMMYFUNCTION("""COMPUTED_VALUE"""),1273.37)</f>
        <v>1273.37</v>
      </c>
      <c r="F5619" s="1">
        <f>IFERROR(__xludf.DUMMYFUNCTION("""COMPUTED_VALUE"""),4.26124E8)</f>
        <v>426124000</v>
      </c>
    </row>
    <row r="5620">
      <c r="A5620" s="2">
        <f>IFERROR(__xludf.DUMMYFUNCTION("""COMPUTED_VALUE"""),39518.666666666664)</f>
        <v>39518.66667</v>
      </c>
      <c r="B5620" s="1">
        <f>IFERROR(__xludf.DUMMYFUNCTION("""COMPUTED_VALUE"""),1280.76)</f>
        <v>1280.76</v>
      </c>
      <c r="C5620" s="1">
        <f>IFERROR(__xludf.DUMMYFUNCTION("""COMPUTED_VALUE"""),1320.65)</f>
        <v>1320.65</v>
      </c>
      <c r="D5620" s="1">
        <f>IFERROR(__xludf.DUMMYFUNCTION("""COMPUTED_VALUE"""),1280.76)</f>
        <v>1280.76</v>
      </c>
      <c r="E5620" s="1">
        <f>IFERROR(__xludf.DUMMYFUNCTION("""COMPUTED_VALUE"""),1320.65)</f>
        <v>1320.65</v>
      </c>
      <c r="F5620" s="1">
        <f>IFERROR(__xludf.DUMMYFUNCTION("""COMPUTED_VALUE"""),5.10908E8)</f>
        <v>510908000</v>
      </c>
    </row>
    <row r="5621">
      <c r="A5621" s="2">
        <f>IFERROR(__xludf.DUMMYFUNCTION("""COMPUTED_VALUE"""),39519.666666666664)</f>
        <v>39519.66667</v>
      </c>
      <c r="B5621" s="1">
        <f>IFERROR(__xludf.DUMMYFUNCTION("""COMPUTED_VALUE"""),1321.13)</f>
        <v>1321.13</v>
      </c>
      <c r="C5621" s="1">
        <f>IFERROR(__xludf.DUMMYFUNCTION("""COMPUTED_VALUE"""),1333.26)</f>
        <v>1333.26</v>
      </c>
      <c r="D5621" s="1">
        <f>IFERROR(__xludf.DUMMYFUNCTION("""COMPUTED_VALUE"""),1307.86)</f>
        <v>1307.86</v>
      </c>
      <c r="E5621" s="1">
        <f>IFERROR(__xludf.DUMMYFUNCTION("""COMPUTED_VALUE"""),1308.77)</f>
        <v>1308.77</v>
      </c>
      <c r="F5621" s="1">
        <f>IFERROR(__xludf.DUMMYFUNCTION("""COMPUTED_VALUE"""),4.41428E8)</f>
        <v>441428000</v>
      </c>
    </row>
    <row r="5622">
      <c r="A5622" s="2">
        <f>IFERROR(__xludf.DUMMYFUNCTION("""COMPUTED_VALUE"""),39520.666666666664)</f>
        <v>39520.66667</v>
      </c>
      <c r="B5622" s="1">
        <f>IFERROR(__xludf.DUMMYFUNCTION("""COMPUTED_VALUE"""),1305.26)</f>
        <v>1305.26</v>
      </c>
      <c r="C5622" s="1">
        <f>IFERROR(__xludf.DUMMYFUNCTION("""COMPUTED_VALUE"""),1321.68)</f>
        <v>1321.68</v>
      </c>
      <c r="D5622" s="1">
        <f>IFERROR(__xludf.DUMMYFUNCTION("""COMPUTED_VALUE"""),1282.11)</f>
        <v>1282.11</v>
      </c>
      <c r="E5622" s="1">
        <f>IFERROR(__xludf.DUMMYFUNCTION("""COMPUTED_VALUE"""),1315.48)</f>
        <v>1315.48</v>
      </c>
      <c r="F5622" s="1">
        <f>IFERROR(__xludf.DUMMYFUNCTION("""COMPUTED_VALUE"""),5.07336E8)</f>
        <v>507336000</v>
      </c>
    </row>
    <row r="5623">
      <c r="A5623" s="2">
        <f>IFERROR(__xludf.DUMMYFUNCTION("""COMPUTED_VALUE"""),39521.666666666664)</f>
        <v>39521.66667</v>
      </c>
      <c r="B5623" s="1">
        <f>IFERROR(__xludf.DUMMYFUNCTION("""COMPUTED_VALUE"""),1316.05)</f>
        <v>1316.05</v>
      </c>
      <c r="C5623" s="1">
        <f>IFERROR(__xludf.DUMMYFUNCTION("""COMPUTED_VALUE"""),1321.47)</f>
        <v>1321.47</v>
      </c>
      <c r="D5623" s="1">
        <f>IFERROR(__xludf.DUMMYFUNCTION("""COMPUTED_VALUE"""),1274.86)</f>
        <v>1274.86</v>
      </c>
      <c r="E5623" s="1">
        <f>IFERROR(__xludf.DUMMYFUNCTION("""COMPUTED_VALUE"""),1288.14)</f>
        <v>1288.14</v>
      </c>
      <c r="F5623" s="1">
        <f>IFERROR(__xludf.DUMMYFUNCTION("""COMPUTED_VALUE"""),5.15377984E8)</f>
        <v>515377984</v>
      </c>
    </row>
    <row r="5624">
      <c r="A5624" s="2">
        <f>IFERROR(__xludf.DUMMYFUNCTION("""COMPUTED_VALUE"""),39524.666666666664)</f>
        <v>39524.66667</v>
      </c>
      <c r="B5624" s="1">
        <f>IFERROR(__xludf.DUMMYFUNCTION("""COMPUTED_VALUE"""),1283.21)</f>
        <v>1283.21</v>
      </c>
      <c r="C5624" s="1">
        <f>IFERROR(__xludf.DUMMYFUNCTION("""COMPUTED_VALUE"""),1287.5)</f>
        <v>1287.5</v>
      </c>
      <c r="D5624" s="1">
        <f>IFERROR(__xludf.DUMMYFUNCTION("""COMPUTED_VALUE"""),1256.98)</f>
        <v>1256.98</v>
      </c>
      <c r="E5624" s="1">
        <f>IFERROR(__xludf.DUMMYFUNCTION("""COMPUTED_VALUE"""),1276.6)</f>
        <v>1276.6</v>
      </c>
      <c r="F5624" s="1">
        <f>IFERROR(__xludf.DUMMYFUNCTION("""COMPUTED_VALUE"""),5.68300992E8)</f>
        <v>568300992</v>
      </c>
    </row>
    <row r="5625">
      <c r="A5625" s="2">
        <f>IFERROR(__xludf.DUMMYFUNCTION("""COMPUTED_VALUE"""),39525.666666666664)</f>
        <v>39525.66667</v>
      </c>
      <c r="B5625" s="1">
        <f>IFERROR(__xludf.DUMMYFUNCTION("""COMPUTED_VALUE"""),1277.16)</f>
        <v>1277.16</v>
      </c>
      <c r="C5625" s="1">
        <f>IFERROR(__xludf.DUMMYFUNCTION("""COMPUTED_VALUE"""),1330.74)</f>
        <v>1330.74</v>
      </c>
      <c r="D5625" s="1">
        <f>IFERROR(__xludf.DUMMYFUNCTION("""COMPUTED_VALUE"""),1277.16)</f>
        <v>1277.16</v>
      </c>
      <c r="E5625" s="1">
        <f>IFERROR(__xludf.DUMMYFUNCTION("""COMPUTED_VALUE"""),1330.74)</f>
        <v>1330.74</v>
      </c>
      <c r="F5625" s="1">
        <f>IFERROR(__xludf.DUMMYFUNCTION("""COMPUTED_VALUE"""),5.33563008E8)</f>
        <v>533563008</v>
      </c>
    </row>
    <row r="5626">
      <c r="A5626" s="2">
        <f>IFERROR(__xludf.DUMMYFUNCTION("""COMPUTED_VALUE"""),39526.666666666664)</f>
        <v>39526.66667</v>
      </c>
      <c r="B5626" s="1">
        <f>IFERROR(__xludf.DUMMYFUNCTION("""COMPUTED_VALUE"""),1330.97)</f>
        <v>1330.97</v>
      </c>
      <c r="C5626" s="1">
        <f>IFERROR(__xludf.DUMMYFUNCTION("""COMPUTED_VALUE"""),1341.51)</f>
        <v>1341.51</v>
      </c>
      <c r="D5626" s="1">
        <f>IFERROR(__xludf.DUMMYFUNCTION("""COMPUTED_VALUE"""),1298.42)</f>
        <v>1298.42</v>
      </c>
      <c r="E5626" s="1">
        <f>IFERROR(__xludf.DUMMYFUNCTION("""COMPUTED_VALUE"""),1298.42)</f>
        <v>1298.42</v>
      </c>
      <c r="F5626" s="1">
        <f>IFERROR(__xludf.DUMMYFUNCTION("""COMPUTED_VALUE"""),1.20383E8)</f>
        <v>120383000</v>
      </c>
    </row>
    <row r="5627">
      <c r="A5627" s="2">
        <f>IFERROR(__xludf.DUMMYFUNCTION("""COMPUTED_VALUE"""),39527.666666666664)</f>
        <v>39527.66667</v>
      </c>
      <c r="B5627" s="1">
        <f>IFERROR(__xludf.DUMMYFUNCTION("""COMPUTED_VALUE"""),1299.67)</f>
        <v>1299.67</v>
      </c>
      <c r="C5627" s="1">
        <f>IFERROR(__xludf.DUMMYFUNCTION("""COMPUTED_VALUE"""),1330.67)</f>
        <v>1330.67</v>
      </c>
      <c r="D5627" s="1">
        <f>IFERROR(__xludf.DUMMYFUNCTION("""COMPUTED_VALUE"""),1295.22)</f>
        <v>1295.22</v>
      </c>
      <c r="E5627" s="1">
        <f>IFERROR(__xludf.DUMMYFUNCTION("""COMPUTED_VALUE"""),1329.51)</f>
        <v>1329.51</v>
      </c>
      <c r="F5627" s="1">
        <f>IFERROR(__xludf.DUMMYFUNCTION("""COMPUTED_VALUE"""),6.14521984E8)</f>
        <v>614521984</v>
      </c>
    </row>
    <row r="5628">
      <c r="A5628" s="2">
        <f>IFERROR(__xludf.DUMMYFUNCTION("""COMPUTED_VALUE"""),39531.666666666664)</f>
        <v>39531.66667</v>
      </c>
      <c r="B5628" s="1">
        <f>IFERROR(__xludf.DUMMYFUNCTION("""COMPUTED_VALUE"""),1330.29)</f>
        <v>1330.29</v>
      </c>
      <c r="C5628" s="1">
        <f>IFERROR(__xludf.DUMMYFUNCTION("""COMPUTED_VALUE"""),1359.68)</f>
        <v>1359.68</v>
      </c>
      <c r="D5628" s="1">
        <f>IFERROR(__xludf.DUMMYFUNCTION("""COMPUTED_VALUE"""),1330.29)</f>
        <v>1330.29</v>
      </c>
      <c r="E5628" s="1">
        <f>IFERROR(__xludf.DUMMYFUNCTION("""COMPUTED_VALUE"""),1349.88)</f>
        <v>1349.88</v>
      </c>
      <c r="F5628" s="1">
        <f>IFERROR(__xludf.DUMMYFUNCTION("""COMPUTED_VALUE"""),4.499E8)</f>
        <v>449900000</v>
      </c>
    </row>
    <row r="5629">
      <c r="A5629" s="2">
        <f>IFERROR(__xludf.DUMMYFUNCTION("""COMPUTED_VALUE"""),39532.666666666664)</f>
        <v>39532.66667</v>
      </c>
      <c r="B5629" s="1">
        <f>IFERROR(__xludf.DUMMYFUNCTION("""COMPUTED_VALUE"""),1349.07)</f>
        <v>1349.07</v>
      </c>
      <c r="C5629" s="1">
        <f>IFERROR(__xludf.DUMMYFUNCTION("""COMPUTED_VALUE"""),1357.47)</f>
        <v>1357.47</v>
      </c>
      <c r="D5629" s="1">
        <f>IFERROR(__xludf.DUMMYFUNCTION("""COMPUTED_VALUE"""),1341.21)</f>
        <v>1341.21</v>
      </c>
      <c r="E5629" s="1">
        <f>IFERROR(__xludf.DUMMYFUNCTION("""COMPUTED_VALUE"""),1352.99)</f>
        <v>1352.99</v>
      </c>
      <c r="F5629" s="1">
        <f>IFERROR(__xludf.DUMMYFUNCTION("""COMPUTED_VALUE"""),4.14512E8)</f>
        <v>414512000</v>
      </c>
    </row>
    <row r="5630">
      <c r="A5630" s="2">
        <f>IFERROR(__xludf.DUMMYFUNCTION("""COMPUTED_VALUE"""),39533.666666666664)</f>
        <v>39533.66667</v>
      </c>
      <c r="B5630" s="1">
        <f>IFERROR(__xludf.DUMMYFUNCTION("""COMPUTED_VALUE"""),1350.16)</f>
        <v>1350.16</v>
      </c>
      <c r="C5630" s="1">
        <f>IFERROR(__xludf.DUMMYFUNCTION("""COMPUTED_VALUE"""),1350.16)</f>
        <v>1350.16</v>
      </c>
      <c r="D5630" s="1">
        <f>IFERROR(__xludf.DUMMYFUNCTION("""COMPUTED_VALUE"""),1336.41)</f>
        <v>1336.41</v>
      </c>
      <c r="E5630" s="1">
        <f>IFERROR(__xludf.DUMMYFUNCTION("""COMPUTED_VALUE"""),1341.13)</f>
        <v>1341.13</v>
      </c>
      <c r="F5630" s="1">
        <f>IFERROR(__xludf.DUMMYFUNCTION("""COMPUTED_VALUE"""),4.05567008E8)</f>
        <v>405567008</v>
      </c>
    </row>
    <row r="5631">
      <c r="A5631" s="2">
        <f>IFERROR(__xludf.DUMMYFUNCTION("""COMPUTED_VALUE"""),39534.666666666664)</f>
        <v>39534.66667</v>
      </c>
      <c r="B5631" s="1">
        <f>IFERROR(__xludf.DUMMYFUNCTION("""COMPUTED_VALUE"""),1340.34)</f>
        <v>1340.34</v>
      </c>
      <c r="C5631" s="1">
        <f>IFERROR(__xludf.DUMMYFUNCTION("""COMPUTED_VALUE"""),1345.62)</f>
        <v>1345.62</v>
      </c>
      <c r="D5631" s="1">
        <f>IFERROR(__xludf.DUMMYFUNCTION("""COMPUTED_VALUE"""),1325.66)</f>
        <v>1325.66</v>
      </c>
      <c r="E5631" s="1">
        <f>IFERROR(__xludf.DUMMYFUNCTION("""COMPUTED_VALUE"""),1325.76)</f>
        <v>1325.76</v>
      </c>
      <c r="F5631" s="1">
        <f>IFERROR(__xludf.DUMMYFUNCTION("""COMPUTED_VALUE"""),4.03792992E8)</f>
        <v>403792992</v>
      </c>
    </row>
    <row r="5632">
      <c r="A5632" s="2">
        <f>IFERROR(__xludf.DUMMYFUNCTION("""COMPUTED_VALUE"""),39535.666666666664)</f>
        <v>39535.66667</v>
      </c>
      <c r="B5632" s="1">
        <f>IFERROR(__xludf.DUMMYFUNCTION("""COMPUTED_VALUE"""),1327.02)</f>
        <v>1327.02</v>
      </c>
      <c r="C5632" s="1">
        <f>IFERROR(__xludf.DUMMYFUNCTION("""COMPUTED_VALUE"""),1334.87)</f>
        <v>1334.87</v>
      </c>
      <c r="D5632" s="1">
        <f>IFERROR(__xludf.DUMMYFUNCTION("""COMPUTED_VALUE"""),1312.95)</f>
        <v>1312.95</v>
      </c>
      <c r="E5632" s="1">
        <f>IFERROR(__xludf.DUMMYFUNCTION("""COMPUTED_VALUE"""),1315.22)</f>
        <v>1315.22</v>
      </c>
      <c r="F5632" s="1">
        <f>IFERROR(__xludf.DUMMYFUNCTION("""COMPUTED_VALUE"""),3.68697984E8)</f>
        <v>368697984</v>
      </c>
    </row>
    <row r="5633">
      <c r="A5633" s="2">
        <f>IFERROR(__xludf.DUMMYFUNCTION("""COMPUTED_VALUE"""),39538.666666666664)</f>
        <v>39538.66667</v>
      </c>
      <c r="B5633" s="1">
        <f>IFERROR(__xludf.DUMMYFUNCTION("""COMPUTED_VALUE"""),1315.92)</f>
        <v>1315.92</v>
      </c>
      <c r="C5633" s="1">
        <f>IFERROR(__xludf.DUMMYFUNCTION("""COMPUTED_VALUE"""),1328.52)</f>
        <v>1328.52</v>
      </c>
      <c r="D5633" s="1">
        <f>IFERROR(__xludf.DUMMYFUNCTION("""COMPUTED_VALUE"""),1312.81)</f>
        <v>1312.81</v>
      </c>
      <c r="E5633" s="1">
        <f>IFERROR(__xludf.DUMMYFUNCTION("""COMPUTED_VALUE"""),1322.7)</f>
        <v>1322.7</v>
      </c>
      <c r="F5633" s="1">
        <f>IFERROR(__xludf.DUMMYFUNCTION("""COMPUTED_VALUE"""),4.18899008E8)</f>
        <v>418899008</v>
      </c>
    </row>
    <row r="5634">
      <c r="A5634" s="2">
        <f>IFERROR(__xludf.DUMMYFUNCTION("""COMPUTED_VALUE"""),39539.666666666664)</f>
        <v>39539.66667</v>
      </c>
      <c r="B5634" s="1">
        <f>IFERROR(__xludf.DUMMYFUNCTION("""COMPUTED_VALUE"""),1326.41)</f>
        <v>1326.41</v>
      </c>
      <c r="C5634" s="1">
        <f>IFERROR(__xludf.DUMMYFUNCTION("""COMPUTED_VALUE"""),1370.18)</f>
        <v>1370.18</v>
      </c>
      <c r="D5634" s="1">
        <f>IFERROR(__xludf.DUMMYFUNCTION("""COMPUTED_VALUE"""),1326.41)</f>
        <v>1326.41</v>
      </c>
      <c r="E5634" s="1">
        <f>IFERROR(__xludf.DUMMYFUNCTION("""COMPUTED_VALUE"""),1370.18)</f>
        <v>1370.18</v>
      </c>
      <c r="F5634" s="1">
        <f>IFERROR(__xludf.DUMMYFUNCTION("""COMPUTED_VALUE"""),4.74512E8)</f>
        <v>474512000</v>
      </c>
    </row>
    <row r="5635">
      <c r="A5635" s="2">
        <f>IFERROR(__xludf.DUMMYFUNCTION("""COMPUTED_VALUE"""),39540.666666666664)</f>
        <v>39540.66667</v>
      </c>
      <c r="B5635" s="1">
        <f>IFERROR(__xludf.DUMMYFUNCTION("""COMPUTED_VALUE"""),1369.96)</f>
        <v>1369.96</v>
      </c>
      <c r="C5635" s="1">
        <f>IFERROR(__xludf.DUMMYFUNCTION("""COMPUTED_VALUE"""),1377.95)</f>
        <v>1377.95</v>
      </c>
      <c r="D5635" s="1">
        <f>IFERROR(__xludf.DUMMYFUNCTION("""COMPUTED_VALUE"""),1361.55)</f>
        <v>1361.55</v>
      </c>
      <c r="E5635" s="1">
        <f>IFERROR(__xludf.DUMMYFUNCTION("""COMPUTED_VALUE"""),1367.53)</f>
        <v>1367.53</v>
      </c>
      <c r="F5635" s="1">
        <f>IFERROR(__xludf.DUMMYFUNCTION("""COMPUTED_VALUE"""),4.32044E8)</f>
        <v>432044000</v>
      </c>
    </row>
    <row r="5636">
      <c r="A5636" s="2">
        <f>IFERROR(__xludf.DUMMYFUNCTION("""COMPUTED_VALUE"""),39541.666666666664)</f>
        <v>39541.66667</v>
      </c>
      <c r="B5636" s="1">
        <f>IFERROR(__xludf.DUMMYFUNCTION("""COMPUTED_VALUE"""),1365.69)</f>
        <v>1365.69</v>
      </c>
      <c r="C5636" s="1">
        <f>IFERROR(__xludf.DUMMYFUNCTION("""COMPUTED_VALUE"""),1375.66)</f>
        <v>1375.66</v>
      </c>
      <c r="D5636" s="1">
        <f>IFERROR(__xludf.DUMMYFUNCTION("""COMPUTED_VALUE"""),1358.68)</f>
        <v>1358.68</v>
      </c>
      <c r="E5636" s="1">
        <f>IFERROR(__xludf.DUMMYFUNCTION("""COMPUTED_VALUE"""),1369.31)</f>
        <v>1369.31</v>
      </c>
      <c r="F5636" s="1">
        <f>IFERROR(__xludf.DUMMYFUNCTION("""COMPUTED_VALUE"""),3.92009984E8)</f>
        <v>392009984</v>
      </c>
    </row>
    <row r="5637">
      <c r="A5637" s="2">
        <f>IFERROR(__xludf.DUMMYFUNCTION("""COMPUTED_VALUE"""),39542.666666666664)</f>
        <v>39542.66667</v>
      </c>
      <c r="B5637" s="1">
        <f>IFERROR(__xludf.DUMMYFUNCTION("""COMPUTED_VALUE"""),1369.85)</f>
        <v>1369.85</v>
      </c>
      <c r="C5637" s="1">
        <f>IFERROR(__xludf.DUMMYFUNCTION("""COMPUTED_VALUE"""),1380.76)</f>
        <v>1380.76</v>
      </c>
      <c r="D5637" s="1">
        <f>IFERROR(__xludf.DUMMYFUNCTION("""COMPUTED_VALUE"""),1362.83)</f>
        <v>1362.83</v>
      </c>
      <c r="E5637" s="1">
        <f>IFERROR(__xludf.DUMMYFUNCTION("""COMPUTED_VALUE"""),1370.4)</f>
        <v>1370.4</v>
      </c>
      <c r="F5637" s="1">
        <f>IFERROR(__xludf.DUMMYFUNCTION("""COMPUTED_VALUE"""),3.70310016E8)</f>
        <v>370310016</v>
      </c>
    </row>
    <row r="5638">
      <c r="A5638" s="2">
        <f>IFERROR(__xludf.DUMMYFUNCTION("""COMPUTED_VALUE"""),39545.666666666664)</f>
        <v>39545.66667</v>
      </c>
      <c r="B5638" s="1">
        <f>IFERROR(__xludf.DUMMYFUNCTION("""COMPUTED_VALUE"""),1373.69)</f>
        <v>1373.69</v>
      </c>
      <c r="C5638" s="1">
        <f>IFERROR(__xludf.DUMMYFUNCTION("""COMPUTED_VALUE"""),1386.74)</f>
        <v>1386.74</v>
      </c>
      <c r="D5638" s="1">
        <f>IFERROR(__xludf.DUMMYFUNCTION("""COMPUTED_VALUE"""),1369.02)</f>
        <v>1369.02</v>
      </c>
      <c r="E5638" s="1">
        <f>IFERROR(__xludf.DUMMYFUNCTION("""COMPUTED_VALUE"""),1372.54)</f>
        <v>1372.54</v>
      </c>
      <c r="F5638" s="1">
        <f>IFERROR(__xludf.DUMMYFUNCTION("""COMPUTED_VALUE"""),3.74777984E8)</f>
        <v>374777984</v>
      </c>
    </row>
    <row r="5639">
      <c r="A5639" s="2">
        <f>IFERROR(__xludf.DUMMYFUNCTION("""COMPUTED_VALUE"""),39546.666666666664)</f>
        <v>39546.66667</v>
      </c>
      <c r="B5639" s="1">
        <f>IFERROR(__xludf.DUMMYFUNCTION("""COMPUTED_VALUE"""),1370.16)</f>
        <v>1370.16</v>
      </c>
      <c r="C5639" s="1">
        <f>IFERROR(__xludf.DUMMYFUNCTION("""COMPUTED_VALUE"""),1370.16)</f>
        <v>1370.16</v>
      </c>
      <c r="D5639" s="1">
        <f>IFERROR(__xludf.DUMMYFUNCTION("""COMPUTED_VALUE"""),1360.62)</f>
        <v>1360.62</v>
      </c>
      <c r="E5639" s="1">
        <f>IFERROR(__xludf.DUMMYFUNCTION("""COMPUTED_VALUE"""),1365.54)</f>
        <v>1365.54</v>
      </c>
      <c r="F5639" s="1">
        <f>IFERROR(__xludf.DUMMYFUNCTION("""COMPUTED_VALUE"""),3.60249984E8)</f>
        <v>360249984</v>
      </c>
    </row>
    <row r="5640">
      <c r="A5640" s="2">
        <f>IFERROR(__xludf.DUMMYFUNCTION("""COMPUTED_VALUE"""),39547.666666666664)</f>
        <v>39547.66667</v>
      </c>
      <c r="B5640" s="1">
        <f>IFERROR(__xludf.DUMMYFUNCTION("""COMPUTED_VALUE"""),1365.5)</f>
        <v>1365.5</v>
      </c>
      <c r="C5640" s="1">
        <f>IFERROR(__xludf.DUMMYFUNCTION("""COMPUTED_VALUE"""),1368.39)</f>
        <v>1368.39</v>
      </c>
      <c r="D5640" s="1">
        <f>IFERROR(__xludf.DUMMYFUNCTION("""COMPUTED_VALUE"""),1349.97)</f>
        <v>1349.97</v>
      </c>
      <c r="E5640" s="1">
        <f>IFERROR(__xludf.DUMMYFUNCTION("""COMPUTED_VALUE"""),1354.49)</f>
        <v>1354.49</v>
      </c>
      <c r="F5640" s="1">
        <f>IFERROR(__xludf.DUMMYFUNCTION("""COMPUTED_VALUE"""),3.55667008E8)</f>
        <v>355667008</v>
      </c>
    </row>
    <row r="5641">
      <c r="A5641" s="2">
        <f>IFERROR(__xludf.DUMMYFUNCTION("""COMPUTED_VALUE"""),39548.666666666664)</f>
        <v>39548.66667</v>
      </c>
      <c r="B5641" s="1">
        <f>IFERROR(__xludf.DUMMYFUNCTION("""COMPUTED_VALUE"""),1355.37)</f>
        <v>1355.37</v>
      </c>
      <c r="C5641" s="1">
        <f>IFERROR(__xludf.DUMMYFUNCTION("""COMPUTED_VALUE"""),1367.24)</f>
        <v>1367.24</v>
      </c>
      <c r="D5641" s="1">
        <f>IFERROR(__xludf.DUMMYFUNCTION("""COMPUTED_VALUE"""),1350.11)</f>
        <v>1350.11</v>
      </c>
      <c r="E5641" s="1">
        <f>IFERROR(__xludf.DUMMYFUNCTION("""COMPUTED_VALUE"""),1360.55)</f>
        <v>1360.55</v>
      </c>
      <c r="F5641" s="1">
        <f>IFERROR(__xludf.DUMMYFUNCTION("""COMPUTED_VALUE"""),3.68615008E8)</f>
        <v>368615008</v>
      </c>
    </row>
    <row r="5642">
      <c r="A5642" s="2">
        <f>IFERROR(__xludf.DUMMYFUNCTION("""COMPUTED_VALUE"""),39549.666666666664)</f>
        <v>39549.66667</v>
      </c>
      <c r="B5642" s="1">
        <f>IFERROR(__xludf.DUMMYFUNCTION("""COMPUTED_VALUE"""),1357.98)</f>
        <v>1357.98</v>
      </c>
      <c r="C5642" s="1">
        <f>IFERROR(__xludf.DUMMYFUNCTION("""COMPUTED_VALUE"""),1357.98)</f>
        <v>1357.98</v>
      </c>
      <c r="D5642" s="1">
        <f>IFERROR(__xludf.DUMMYFUNCTION("""COMPUTED_VALUE"""),1331.21)</f>
        <v>1331.21</v>
      </c>
      <c r="E5642" s="1">
        <f>IFERROR(__xludf.DUMMYFUNCTION("""COMPUTED_VALUE"""),1332.83)</f>
        <v>1332.83</v>
      </c>
      <c r="F5642" s="1">
        <f>IFERROR(__xludf.DUMMYFUNCTION("""COMPUTED_VALUE"""),3.72379008E8)</f>
        <v>372379008</v>
      </c>
    </row>
    <row r="5643">
      <c r="A5643" s="2">
        <f>IFERROR(__xludf.DUMMYFUNCTION("""COMPUTED_VALUE"""),39552.666666666664)</f>
        <v>39552.66667</v>
      </c>
      <c r="B5643" s="1">
        <f>IFERROR(__xludf.DUMMYFUNCTION("""COMPUTED_VALUE"""),1332.2)</f>
        <v>1332.2</v>
      </c>
      <c r="C5643" s="1">
        <f>IFERROR(__xludf.DUMMYFUNCTION("""COMPUTED_VALUE"""),1335.64)</f>
        <v>1335.64</v>
      </c>
      <c r="D5643" s="1">
        <f>IFERROR(__xludf.DUMMYFUNCTION("""COMPUTED_VALUE"""),1326.16)</f>
        <v>1326.16</v>
      </c>
      <c r="E5643" s="1">
        <f>IFERROR(__xludf.DUMMYFUNCTION("""COMPUTED_VALUE"""),1328.32)</f>
        <v>1328.32</v>
      </c>
      <c r="F5643" s="1">
        <f>IFERROR(__xludf.DUMMYFUNCTION("""COMPUTED_VALUE"""),3.56502016E8)</f>
        <v>356502016</v>
      </c>
    </row>
    <row r="5644">
      <c r="A5644" s="2">
        <f>IFERROR(__xludf.DUMMYFUNCTION("""COMPUTED_VALUE"""),39553.666666666664)</f>
        <v>39553.66667</v>
      </c>
      <c r="B5644" s="1">
        <f>IFERROR(__xludf.DUMMYFUNCTION("""COMPUTED_VALUE"""),1331.72)</f>
        <v>1331.72</v>
      </c>
      <c r="C5644" s="1">
        <f>IFERROR(__xludf.DUMMYFUNCTION("""COMPUTED_VALUE"""),1337.72)</f>
        <v>1337.72</v>
      </c>
      <c r="D5644" s="1">
        <f>IFERROR(__xludf.DUMMYFUNCTION("""COMPUTED_VALUE"""),1324.35)</f>
        <v>1324.35</v>
      </c>
      <c r="E5644" s="1">
        <f>IFERROR(__xludf.DUMMYFUNCTION("""COMPUTED_VALUE"""),1334.43)</f>
        <v>1334.43</v>
      </c>
      <c r="F5644" s="1">
        <f>IFERROR(__xludf.DUMMYFUNCTION("""COMPUTED_VALUE"""),3.58123008E8)</f>
        <v>358123008</v>
      </c>
    </row>
    <row r="5645">
      <c r="A5645" s="2">
        <f>IFERROR(__xludf.DUMMYFUNCTION("""COMPUTED_VALUE"""),39554.666666666664)</f>
        <v>39554.66667</v>
      </c>
      <c r="B5645" s="1">
        <f>IFERROR(__xludf.DUMMYFUNCTION("""COMPUTED_VALUE"""),1337.02)</f>
        <v>1337.02</v>
      </c>
      <c r="C5645" s="1">
        <f>IFERROR(__xludf.DUMMYFUNCTION("""COMPUTED_VALUE"""),1365.49)</f>
        <v>1365.49</v>
      </c>
      <c r="D5645" s="1">
        <f>IFERROR(__xludf.DUMMYFUNCTION("""COMPUTED_VALUE"""),1337.02)</f>
        <v>1337.02</v>
      </c>
      <c r="E5645" s="1">
        <f>IFERROR(__xludf.DUMMYFUNCTION("""COMPUTED_VALUE"""),1364.71)</f>
        <v>1364.71</v>
      </c>
      <c r="F5645" s="1">
        <f>IFERROR(__xludf.DUMMYFUNCTION("""COMPUTED_VALUE"""),4.26036992E8)</f>
        <v>426036992</v>
      </c>
    </row>
    <row r="5646">
      <c r="A5646" s="2">
        <f>IFERROR(__xludf.DUMMYFUNCTION("""COMPUTED_VALUE"""),39555.666666666664)</f>
        <v>39555.66667</v>
      </c>
      <c r="B5646" s="1">
        <f>IFERROR(__xludf.DUMMYFUNCTION("""COMPUTED_VALUE"""),1363.37)</f>
        <v>1363.37</v>
      </c>
      <c r="C5646" s="1">
        <f>IFERROR(__xludf.DUMMYFUNCTION("""COMPUTED_VALUE"""),1368.6)</f>
        <v>1368.6</v>
      </c>
      <c r="D5646" s="1">
        <f>IFERROR(__xludf.DUMMYFUNCTION("""COMPUTED_VALUE"""),1357.25)</f>
        <v>1357.25</v>
      </c>
      <c r="E5646" s="1">
        <f>IFERROR(__xludf.DUMMYFUNCTION("""COMPUTED_VALUE"""),1365.56)</f>
        <v>1365.56</v>
      </c>
      <c r="F5646" s="1">
        <f>IFERROR(__xludf.DUMMYFUNCTION("""COMPUTED_VALUE"""),3.71388E8)</f>
        <v>371388000</v>
      </c>
    </row>
    <row r="5647">
      <c r="A5647" s="2">
        <f>IFERROR(__xludf.DUMMYFUNCTION("""COMPUTED_VALUE"""),39556.666666666664)</f>
        <v>39556.66667</v>
      </c>
      <c r="B5647" s="1">
        <f>IFERROR(__xludf.DUMMYFUNCTION("""COMPUTED_VALUE"""),1369.0)</f>
        <v>1369</v>
      </c>
      <c r="C5647" s="1">
        <f>IFERROR(__xludf.DUMMYFUNCTION("""COMPUTED_VALUE"""),1395.9)</f>
        <v>1395.9</v>
      </c>
      <c r="D5647" s="1">
        <f>IFERROR(__xludf.DUMMYFUNCTION("""COMPUTED_VALUE"""),1369.0)</f>
        <v>1369</v>
      </c>
      <c r="E5647" s="1">
        <f>IFERROR(__xludf.DUMMYFUNCTION("""COMPUTED_VALUE"""),1390.33)</f>
        <v>1390.33</v>
      </c>
      <c r="F5647" s="1">
        <f>IFERROR(__xludf.DUMMYFUNCTION("""COMPUTED_VALUE"""),4.22238016E8)</f>
        <v>422238016</v>
      </c>
    </row>
    <row r="5648">
      <c r="A5648" s="2">
        <f>IFERROR(__xludf.DUMMYFUNCTION("""COMPUTED_VALUE"""),39559.666666666664)</f>
        <v>39559.66667</v>
      </c>
      <c r="B5648" s="1">
        <f>IFERROR(__xludf.DUMMYFUNCTION("""COMPUTED_VALUE"""),1387.72)</f>
        <v>1387.72</v>
      </c>
      <c r="C5648" s="1">
        <f>IFERROR(__xludf.DUMMYFUNCTION("""COMPUTED_VALUE"""),1390.23)</f>
        <v>1390.23</v>
      </c>
      <c r="D5648" s="1">
        <f>IFERROR(__xludf.DUMMYFUNCTION("""COMPUTED_VALUE"""),1379.25)</f>
        <v>1379.25</v>
      </c>
      <c r="E5648" s="1">
        <f>IFERROR(__xludf.DUMMYFUNCTION("""COMPUTED_VALUE"""),1388.17)</f>
        <v>1388.17</v>
      </c>
      <c r="F5648" s="1">
        <f>IFERROR(__xludf.DUMMYFUNCTION("""COMPUTED_VALUE"""),3.42056992E8)</f>
        <v>342056992</v>
      </c>
    </row>
    <row r="5649">
      <c r="A5649" s="2">
        <f>IFERROR(__xludf.DUMMYFUNCTION("""COMPUTED_VALUE"""),39560.666666666664)</f>
        <v>39560.66667</v>
      </c>
      <c r="B5649" s="1">
        <f>IFERROR(__xludf.DUMMYFUNCTION("""COMPUTED_VALUE"""),1386.43)</f>
        <v>1386.43</v>
      </c>
      <c r="C5649" s="1">
        <f>IFERROR(__xludf.DUMMYFUNCTION("""COMPUTED_VALUE"""),1386.43)</f>
        <v>1386.43</v>
      </c>
      <c r="D5649" s="1">
        <f>IFERROR(__xludf.DUMMYFUNCTION("""COMPUTED_VALUE"""),1369.84)</f>
        <v>1369.84</v>
      </c>
      <c r="E5649" s="1">
        <f>IFERROR(__xludf.DUMMYFUNCTION("""COMPUTED_VALUE"""),1375.94)</f>
        <v>1375.94</v>
      </c>
      <c r="F5649" s="1">
        <f>IFERROR(__xludf.DUMMYFUNCTION("""COMPUTED_VALUE"""),3.82190016E8)</f>
        <v>382190016</v>
      </c>
    </row>
    <row r="5650">
      <c r="A5650" s="2">
        <f>IFERROR(__xludf.DUMMYFUNCTION("""COMPUTED_VALUE"""),39561.666666666664)</f>
        <v>39561.66667</v>
      </c>
      <c r="B5650" s="1">
        <f>IFERROR(__xludf.DUMMYFUNCTION("""COMPUTED_VALUE"""),1378.4)</f>
        <v>1378.4</v>
      </c>
      <c r="C5650" s="1">
        <f>IFERROR(__xludf.DUMMYFUNCTION("""COMPUTED_VALUE"""),1387.87)</f>
        <v>1387.87</v>
      </c>
      <c r="D5650" s="1">
        <f>IFERROR(__xludf.DUMMYFUNCTION("""COMPUTED_VALUE"""),1372.24)</f>
        <v>1372.24</v>
      </c>
      <c r="E5650" s="1">
        <f>IFERROR(__xludf.DUMMYFUNCTION("""COMPUTED_VALUE"""),1379.93)</f>
        <v>1379.93</v>
      </c>
      <c r="F5650" s="1">
        <f>IFERROR(__xludf.DUMMYFUNCTION("""COMPUTED_VALUE"""),4.10360992E8)</f>
        <v>410360992</v>
      </c>
    </row>
    <row r="5651">
      <c r="A5651" s="2">
        <f>IFERROR(__xludf.DUMMYFUNCTION("""COMPUTED_VALUE"""),39562.666666666664)</f>
        <v>39562.66667</v>
      </c>
      <c r="B5651" s="1">
        <f>IFERROR(__xludf.DUMMYFUNCTION("""COMPUTED_VALUE"""),1380.52)</f>
        <v>1380.52</v>
      </c>
      <c r="C5651" s="1">
        <f>IFERROR(__xludf.DUMMYFUNCTION("""COMPUTED_VALUE"""),1397.72)</f>
        <v>1397.72</v>
      </c>
      <c r="D5651" s="1">
        <f>IFERROR(__xludf.DUMMYFUNCTION("""COMPUTED_VALUE"""),1371.09)</f>
        <v>1371.09</v>
      </c>
      <c r="E5651" s="1">
        <f>IFERROR(__xludf.DUMMYFUNCTION("""COMPUTED_VALUE"""),1388.82)</f>
        <v>1388.82</v>
      </c>
      <c r="F5651" s="1">
        <f>IFERROR(__xludf.DUMMYFUNCTION("""COMPUTED_VALUE"""),4.46166016E8)</f>
        <v>446166016</v>
      </c>
    </row>
    <row r="5652">
      <c r="A5652" s="2">
        <f>IFERROR(__xludf.DUMMYFUNCTION("""COMPUTED_VALUE"""),39563.666666666664)</f>
        <v>39563.66667</v>
      </c>
      <c r="B5652" s="1">
        <f>IFERROR(__xludf.DUMMYFUNCTION("""COMPUTED_VALUE"""),1387.88)</f>
        <v>1387.88</v>
      </c>
      <c r="C5652" s="1">
        <f>IFERROR(__xludf.DUMMYFUNCTION("""COMPUTED_VALUE"""),1399.02)</f>
        <v>1399.02</v>
      </c>
      <c r="D5652" s="1">
        <f>IFERROR(__xludf.DUMMYFUNCTION("""COMPUTED_VALUE"""),1380.25)</f>
        <v>1380.25</v>
      </c>
      <c r="E5652" s="1">
        <f>IFERROR(__xludf.DUMMYFUNCTION("""COMPUTED_VALUE"""),1397.84)</f>
        <v>1397.84</v>
      </c>
      <c r="F5652" s="1">
        <f>IFERROR(__xludf.DUMMYFUNCTION("""COMPUTED_VALUE"""),3.89115008E8)</f>
        <v>389115008</v>
      </c>
    </row>
    <row r="5653">
      <c r="A5653" s="2">
        <f>IFERROR(__xludf.DUMMYFUNCTION("""COMPUTED_VALUE"""),39566.666666666664)</f>
        <v>39566.66667</v>
      </c>
      <c r="B5653" s="1">
        <f>IFERROR(__xludf.DUMMYFUNCTION("""COMPUTED_VALUE"""),1397.96)</f>
        <v>1397.96</v>
      </c>
      <c r="C5653" s="1">
        <f>IFERROR(__xludf.DUMMYFUNCTION("""COMPUTED_VALUE"""),1402.9)</f>
        <v>1402.9</v>
      </c>
      <c r="D5653" s="1">
        <f>IFERROR(__xludf.DUMMYFUNCTION("""COMPUTED_VALUE"""),1394.82)</f>
        <v>1394.82</v>
      </c>
      <c r="E5653" s="1">
        <f>IFERROR(__xludf.DUMMYFUNCTION("""COMPUTED_VALUE"""),1396.37)</f>
        <v>1396.37</v>
      </c>
      <c r="F5653" s="1">
        <f>IFERROR(__xludf.DUMMYFUNCTION("""COMPUTED_VALUE"""),3.607E8)</f>
        <v>360700000</v>
      </c>
    </row>
    <row r="5654">
      <c r="A5654" s="2">
        <f>IFERROR(__xludf.DUMMYFUNCTION("""COMPUTED_VALUE"""),39567.666666666664)</f>
        <v>39567.66667</v>
      </c>
      <c r="B5654" s="1">
        <f>IFERROR(__xludf.DUMMYFUNCTION("""COMPUTED_VALUE"""),1395.61)</f>
        <v>1395.61</v>
      </c>
      <c r="C5654" s="1">
        <f>IFERROR(__xludf.DUMMYFUNCTION("""COMPUTED_VALUE"""),1397.0)</f>
        <v>1397</v>
      </c>
      <c r="D5654" s="1">
        <f>IFERROR(__xludf.DUMMYFUNCTION("""COMPUTED_VALUE"""),1386.7)</f>
        <v>1386.7</v>
      </c>
      <c r="E5654" s="1">
        <f>IFERROR(__xludf.DUMMYFUNCTION("""COMPUTED_VALUE"""),1390.94)</f>
        <v>1390.94</v>
      </c>
      <c r="F5654" s="1">
        <f>IFERROR(__xludf.DUMMYFUNCTION("""COMPUTED_VALUE"""),3.81532E8)</f>
        <v>381532000</v>
      </c>
    </row>
    <row r="5655">
      <c r="A5655" s="2">
        <f>IFERROR(__xludf.DUMMYFUNCTION("""COMPUTED_VALUE"""),39568.666666666664)</f>
        <v>39568.66667</v>
      </c>
      <c r="B5655" s="1">
        <f>IFERROR(__xludf.DUMMYFUNCTION("""COMPUTED_VALUE"""),1391.22)</f>
        <v>1391.22</v>
      </c>
      <c r="C5655" s="1">
        <f>IFERROR(__xludf.DUMMYFUNCTION("""COMPUTED_VALUE"""),1404.57)</f>
        <v>1404.57</v>
      </c>
      <c r="D5655" s="1">
        <f>IFERROR(__xludf.DUMMYFUNCTION("""COMPUTED_VALUE"""),1384.27)</f>
        <v>1384.27</v>
      </c>
      <c r="E5655" s="1">
        <f>IFERROR(__xludf.DUMMYFUNCTION("""COMPUTED_VALUE"""),1385.59)</f>
        <v>1385.59</v>
      </c>
      <c r="F5655" s="1">
        <f>IFERROR(__xludf.DUMMYFUNCTION("""COMPUTED_VALUE"""),4.50888992E8)</f>
        <v>450888992</v>
      </c>
    </row>
    <row r="5656">
      <c r="A5656" s="2">
        <f>IFERROR(__xludf.DUMMYFUNCTION("""COMPUTED_VALUE"""),39569.666666666664)</f>
        <v>39569.66667</v>
      </c>
      <c r="B5656" s="1">
        <f>IFERROR(__xludf.DUMMYFUNCTION("""COMPUTED_VALUE"""),1385.97)</f>
        <v>1385.97</v>
      </c>
      <c r="C5656" s="1">
        <f>IFERROR(__xludf.DUMMYFUNCTION("""COMPUTED_VALUE"""),1409.94)</f>
        <v>1409.94</v>
      </c>
      <c r="D5656" s="1">
        <f>IFERROR(__xludf.DUMMYFUNCTION("""COMPUTED_VALUE"""),1383.07)</f>
        <v>1383.07</v>
      </c>
      <c r="E5656" s="1">
        <f>IFERROR(__xludf.DUMMYFUNCTION("""COMPUTED_VALUE"""),1409.34)</f>
        <v>1409.34</v>
      </c>
      <c r="F5656" s="1">
        <f>IFERROR(__xludf.DUMMYFUNCTION("""COMPUTED_VALUE"""),4.44878016E8)</f>
        <v>444878016</v>
      </c>
    </row>
    <row r="5657">
      <c r="A5657" s="2">
        <f>IFERROR(__xludf.DUMMYFUNCTION("""COMPUTED_VALUE"""),39570.666666666664)</f>
        <v>39570.66667</v>
      </c>
      <c r="B5657" s="1">
        <f>IFERROR(__xludf.DUMMYFUNCTION("""COMPUTED_VALUE"""),1409.16)</f>
        <v>1409.16</v>
      </c>
      <c r="C5657" s="1">
        <f>IFERROR(__xludf.DUMMYFUNCTION("""COMPUTED_VALUE"""),1422.53)</f>
        <v>1422.53</v>
      </c>
      <c r="D5657" s="1">
        <f>IFERROR(__xludf.DUMMYFUNCTION("""COMPUTED_VALUE"""),1406.35)</f>
        <v>1406.35</v>
      </c>
      <c r="E5657" s="1">
        <f>IFERROR(__xludf.DUMMYFUNCTION("""COMPUTED_VALUE"""),1413.9)</f>
        <v>1413.9</v>
      </c>
      <c r="F5657" s="1">
        <f>IFERROR(__xludf.DUMMYFUNCTION("""COMPUTED_VALUE"""),3.95303008E8)</f>
        <v>395303008</v>
      </c>
    </row>
    <row r="5658">
      <c r="A5658" s="2">
        <f>IFERROR(__xludf.DUMMYFUNCTION("""COMPUTED_VALUE"""),39573.666666666664)</f>
        <v>39573.66667</v>
      </c>
      <c r="B5658" s="1">
        <f>IFERROR(__xludf.DUMMYFUNCTION("""COMPUTED_VALUE"""),1415.34)</f>
        <v>1415.34</v>
      </c>
      <c r="C5658" s="1">
        <f>IFERROR(__xludf.DUMMYFUNCTION("""COMPUTED_VALUE"""),1415.34)</f>
        <v>1415.34</v>
      </c>
      <c r="D5658" s="1">
        <f>IFERROR(__xludf.DUMMYFUNCTION("""COMPUTED_VALUE"""),1404.37)</f>
        <v>1404.37</v>
      </c>
      <c r="E5658" s="1">
        <f>IFERROR(__xludf.DUMMYFUNCTION("""COMPUTED_VALUE"""),1407.49)</f>
        <v>1407.49</v>
      </c>
      <c r="F5658" s="1">
        <f>IFERROR(__xludf.DUMMYFUNCTION("""COMPUTED_VALUE"""),3.41008992E8)</f>
        <v>341008992</v>
      </c>
    </row>
    <row r="5659">
      <c r="A5659" s="2">
        <f>IFERROR(__xludf.DUMMYFUNCTION("""COMPUTED_VALUE"""),39574.666666666664)</f>
        <v>39574.66667</v>
      </c>
      <c r="B5659" s="1">
        <f>IFERROR(__xludf.DUMMYFUNCTION("""COMPUTED_VALUE"""),1405.6)</f>
        <v>1405.6</v>
      </c>
      <c r="C5659" s="1">
        <f>IFERROR(__xludf.DUMMYFUNCTION("""COMPUTED_VALUE"""),1421.11)</f>
        <v>1421.11</v>
      </c>
      <c r="D5659" s="1">
        <f>IFERROR(__xludf.DUMMYFUNCTION("""COMPUTED_VALUE"""),1397.1)</f>
        <v>1397.1</v>
      </c>
      <c r="E5659" s="1">
        <f>IFERROR(__xludf.DUMMYFUNCTION("""COMPUTED_VALUE"""),1418.26)</f>
        <v>1418.26</v>
      </c>
      <c r="F5659" s="1">
        <f>IFERROR(__xludf.DUMMYFUNCTION("""COMPUTED_VALUE"""),3.92409984E8)</f>
        <v>392409984</v>
      </c>
    </row>
    <row r="5660">
      <c r="A5660" s="2">
        <f>IFERROR(__xludf.DUMMYFUNCTION("""COMPUTED_VALUE"""),39575.666666666664)</f>
        <v>39575.66667</v>
      </c>
      <c r="B5660" s="1">
        <f>IFERROR(__xludf.DUMMYFUNCTION("""COMPUTED_VALUE"""),1417.49)</f>
        <v>1417.49</v>
      </c>
      <c r="C5660" s="1">
        <f>IFERROR(__xludf.DUMMYFUNCTION("""COMPUTED_VALUE"""),1419.54)</f>
        <v>1419.54</v>
      </c>
      <c r="D5660" s="1">
        <f>IFERROR(__xludf.DUMMYFUNCTION("""COMPUTED_VALUE"""),1391.16)</f>
        <v>1391.16</v>
      </c>
      <c r="E5660" s="1">
        <f>IFERROR(__xludf.DUMMYFUNCTION("""COMPUTED_VALUE"""),1392.57)</f>
        <v>1392.57</v>
      </c>
      <c r="F5660" s="1">
        <f>IFERROR(__xludf.DUMMYFUNCTION("""COMPUTED_VALUE"""),4.07585984E8)</f>
        <v>407585984</v>
      </c>
    </row>
    <row r="5661">
      <c r="A5661" s="2">
        <f>IFERROR(__xludf.DUMMYFUNCTION("""COMPUTED_VALUE"""),39576.666666666664)</f>
        <v>39576.66667</v>
      </c>
      <c r="B5661" s="1">
        <f>IFERROR(__xludf.DUMMYFUNCTION("""COMPUTED_VALUE"""),1394.29)</f>
        <v>1394.29</v>
      </c>
      <c r="C5661" s="1">
        <f>IFERROR(__xludf.DUMMYFUNCTION("""COMPUTED_VALUE"""),1402.35)</f>
        <v>1402.35</v>
      </c>
      <c r="D5661" s="1">
        <f>IFERROR(__xludf.DUMMYFUNCTION("""COMPUTED_VALUE"""),1389.39)</f>
        <v>1389.39</v>
      </c>
      <c r="E5661" s="1">
        <f>IFERROR(__xludf.DUMMYFUNCTION("""COMPUTED_VALUE"""),1397.68)</f>
        <v>1397.68</v>
      </c>
      <c r="F5661" s="1">
        <f>IFERROR(__xludf.DUMMYFUNCTION("""COMPUTED_VALUE"""),3.82755008E8)</f>
        <v>382755008</v>
      </c>
    </row>
    <row r="5662">
      <c r="A5662" s="2">
        <f>IFERROR(__xludf.DUMMYFUNCTION("""COMPUTED_VALUE"""),39577.666666666664)</f>
        <v>39577.66667</v>
      </c>
      <c r="B5662" s="1">
        <f>IFERROR(__xludf.DUMMYFUNCTION("""COMPUTED_VALUE"""),1394.9)</f>
        <v>1394.9</v>
      </c>
      <c r="C5662" s="1">
        <f>IFERROR(__xludf.DUMMYFUNCTION("""COMPUTED_VALUE"""),1394.9)</f>
        <v>1394.9</v>
      </c>
      <c r="D5662" s="1">
        <f>IFERROR(__xludf.DUMMYFUNCTION("""COMPUTED_VALUE"""),1384.11)</f>
        <v>1384.11</v>
      </c>
      <c r="E5662" s="1">
        <f>IFERROR(__xludf.DUMMYFUNCTION("""COMPUTED_VALUE"""),1388.28)</f>
        <v>1388.28</v>
      </c>
      <c r="F5662" s="1">
        <f>IFERROR(__xludf.DUMMYFUNCTION("""COMPUTED_VALUE"""),3.51862016E8)</f>
        <v>351862016</v>
      </c>
    </row>
    <row r="5663">
      <c r="A5663" s="2">
        <f>IFERROR(__xludf.DUMMYFUNCTION("""COMPUTED_VALUE"""),39580.666666666664)</f>
        <v>39580.66667</v>
      </c>
      <c r="B5663" s="1">
        <f>IFERROR(__xludf.DUMMYFUNCTION("""COMPUTED_VALUE"""),1389.4)</f>
        <v>1389.4</v>
      </c>
      <c r="C5663" s="1">
        <f>IFERROR(__xludf.DUMMYFUNCTION("""COMPUTED_VALUE"""),1404.06)</f>
        <v>1404.06</v>
      </c>
      <c r="D5663" s="1">
        <f>IFERROR(__xludf.DUMMYFUNCTION("""COMPUTED_VALUE"""),1386.2)</f>
        <v>1386.2</v>
      </c>
      <c r="E5663" s="1">
        <f>IFERROR(__xludf.DUMMYFUNCTION("""COMPUTED_VALUE"""),1403.58)</f>
        <v>1403.58</v>
      </c>
      <c r="F5663" s="1">
        <f>IFERROR(__xludf.DUMMYFUNCTION("""COMPUTED_VALUE"""),3.37063008E8)</f>
        <v>337063008</v>
      </c>
    </row>
    <row r="5664">
      <c r="A5664" s="2">
        <f>IFERROR(__xludf.DUMMYFUNCTION("""COMPUTED_VALUE"""),39581.666666666664)</f>
        <v>39581.66667</v>
      </c>
      <c r="B5664" s="1">
        <f>IFERROR(__xludf.DUMMYFUNCTION("""COMPUTED_VALUE"""),1404.4)</f>
        <v>1404.4</v>
      </c>
      <c r="C5664" s="1">
        <f>IFERROR(__xludf.DUMMYFUNCTION("""COMPUTED_VALUE"""),1406.3)</f>
        <v>1406.3</v>
      </c>
      <c r="D5664" s="1">
        <f>IFERROR(__xludf.DUMMYFUNCTION("""COMPUTED_VALUE"""),1396.26)</f>
        <v>1396.26</v>
      </c>
      <c r="E5664" s="1">
        <f>IFERROR(__xludf.DUMMYFUNCTION("""COMPUTED_VALUE"""),1403.04)</f>
        <v>1403.04</v>
      </c>
      <c r="F5664" s="1">
        <f>IFERROR(__xludf.DUMMYFUNCTION("""COMPUTED_VALUE"""),4.01859008E8)</f>
        <v>401859008</v>
      </c>
    </row>
    <row r="5665">
      <c r="A5665" s="2">
        <f>IFERROR(__xludf.DUMMYFUNCTION("""COMPUTED_VALUE"""),39582.666666666664)</f>
        <v>39582.66667</v>
      </c>
      <c r="B5665" s="1">
        <f>IFERROR(__xludf.DUMMYFUNCTION("""COMPUTED_VALUE"""),1405.65)</f>
        <v>1405.65</v>
      </c>
      <c r="C5665" s="1">
        <f>IFERROR(__xludf.DUMMYFUNCTION("""COMPUTED_VALUE"""),1420.19)</f>
        <v>1420.19</v>
      </c>
      <c r="D5665" s="1">
        <f>IFERROR(__xludf.DUMMYFUNCTION("""COMPUTED_VALUE"""),1405.65)</f>
        <v>1405.65</v>
      </c>
      <c r="E5665" s="1">
        <f>IFERROR(__xludf.DUMMYFUNCTION("""COMPUTED_VALUE"""),1408.66)</f>
        <v>1408.66</v>
      </c>
      <c r="F5665" s="1">
        <f>IFERROR(__xludf.DUMMYFUNCTION("""COMPUTED_VALUE"""),3.97936992E8)</f>
        <v>397936992</v>
      </c>
    </row>
    <row r="5666">
      <c r="A5666" s="2">
        <f>IFERROR(__xludf.DUMMYFUNCTION("""COMPUTED_VALUE"""),39583.666666666664)</f>
        <v>39583.66667</v>
      </c>
      <c r="B5666" s="1">
        <f>IFERROR(__xludf.DUMMYFUNCTION("""COMPUTED_VALUE"""),1408.36)</f>
        <v>1408.36</v>
      </c>
      <c r="C5666" s="1">
        <f>IFERROR(__xludf.DUMMYFUNCTION("""COMPUTED_VALUE"""),1424.02)</f>
        <v>1424.02</v>
      </c>
      <c r="D5666" s="1">
        <f>IFERROR(__xludf.DUMMYFUNCTION("""COMPUTED_VALUE"""),1406.98)</f>
        <v>1406.98</v>
      </c>
      <c r="E5666" s="1">
        <f>IFERROR(__xludf.DUMMYFUNCTION("""COMPUTED_VALUE"""),1423.57)</f>
        <v>1423.57</v>
      </c>
      <c r="F5666" s="1">
        <f>IFERROR(__xludf.DUMMYFUNCTION("""COMPUTED_VALUE"""),3.83648E8)</f>
        <v>383648000</v>
      </c>
    </row>
    <row r="5667">
      <c r="A5667" s="2">
        <f>IFERROR(__xludf.DUMMYFUNCTION("""COMPUTED_VALUE"""),39584.666666666664)</f>
        <v>39584.66667</v>
      </c>
      <c r="B5667" s="1">
        <f>IFERROR(__xludf.DUMMYFUNCTION("""COMPUTED_VALUE"""),1423.89)</f>
        <v>1423.89</v>
      </c>
      <c r="C5667" s="1">
        <f>IFERROR(__xludf.DUMMYFUNCTION("""COMPUTED_VALUE"""),1425.82)</f>
        <v>1425.82</v>
      </c>
      <c r="D5667" s="1">
        <f>IFERROR(__xludf.DUMMYFUNCTION("""COMPUTED_VALUE"""),1414.35)</f>
        <v>1414.35</v>
      </c>
      <c r="E5667" s="1">
        <f>IFERROR(__xludf.DUMMYFUNCTION("""COMPUTED_VALUE"""),1425.35)</f>
        <v>1425.35</v>
      </c>
      <c r="F5667" s="1">
        <f>IFERROR(__xludf.DUMMYFUNCTION("""COMPUTED_VALUE"""),3.84259008E8)</f>
        <v>384259008</v>
      </c>
    </row>
    <row r="5668">
      <c r="A5668" s="2">
        <f>IFERROR(__xludf.DUMMYFUNCTION("""COMPUTED_VALUE"""),39587.666666666664)</f>
        <v>39587.66667</v>
      </c>
      <c r="B5668" s="1">
        <f>IFERROR(__xludf.DUMMYFUNCTION("""COMPUTED_VALUE"""),1425.28)</f>
        <v>1425.28</v>
      </c>
      <c r="C5668" s="1">
        <f>IFERROR(__xludf.DUMMYFUNCTION("""COMPUTED_VALUE"""),1440.24)</f>
        <v>1440.24</v>
      </c>
      <c r="D5668" s="1">
        <f>IFERROR(__xludf.DUMMYFUNCTION("""COMPUTED_VALUE"""),1421.83)</f>
        <v>1421.83</v>
      </c>
      <c r="E5668" s="1">
        <f>IFERROR(__xludf.DUMMYFUNCTION("""COMPUTED_VALUE"""),1426.63)</f>
        <v>1426.63</v>
      </c>
      <c r="F5668" s="1">
        <f>IFERROR(__xludf.DUMMYFUNCTION("""COMPUTED_VALUE"""),3.68396992E8)</f>
        <v>368396992</v>
      </c>
    </row>
    <row r="5669">
      <c r="A5669" s="2">
        <f>IFERROR(__xludf.DUMMYFUNCTION("""COMPUTED_VALUE"""),39588.666666666664)</f>
        <v>39588.66667</v>
      </c>
      <c r="B5669" s="1">
        <f>IFERROR(__xludf.DUMMYFUNCTION("""COMPUTED_VALUE"""),1424.49)</f>
        <v>1424.49</v>
      </c>
      <c r="C5669" s="1">
        <f>IFERROR(__xludf.DUMMYFUNCTION("""COMPUTED_VALUE"""),1424.49)</f>
        <v>1424.49</v>
      </c>
      <c r="D5669" s="1">
        <f>IFERROR(__xludf.DUMMYFUNCTION("""COMPUTED_VALUE"""),1409.09)</f>
        <v>1409.09</v>
      </c>
      <c r="E5669" s="1">
        <f>IFERROR(__xludf.DUMMYFUNCTION("""COMPUTED_VALUE"""),1413.4)</f>
        <v>1413.4</v>
      </c>
      <c r="F5669" s="1">
        <f>IFERROR(__xludf.DUMMYFUNCTION("""COMPUTED_VALUE"""),3.85432E8)</f>
        <v>385432000</v>
      </c>
    </row>
    <row r="5670">
      <c r="A5670" s="2">
        <f>IFERROR(__xludf.DUMMYFUNCTION("""COMPUTED_VALUE"""),39589.666666666664)</f>
        <v>39589.66667</v>
      </c>
      <c r="B5670" s="1">
        <f>IFERROR(__xludf.DUMMYFUNCTION("""COMPUTED_VALUE"""),1414.06)</f>
        <v>1414.06</v>
      </c>
      <c r="C5670" s="1">
        <f>IFERROR(__xludf.DUMMYFUNCTION("""COMPUTED_VALUE"""),1418.89)</f>
        <v>1418.89</v>
      </c>
      <c r="D5670" s="1">
        <f>IFERROR(__xludf.DUMMYFUNCTION("""COMPUTED_VALUE"""),1388.84)</f>
        <v>1388.84</v>
      </c>
      <c r="E5670" s="1">
        <f>IFERROR(__xludf.DUMMYFUNCTION("""COMPUTED_VALUE"""),1390.71)</f>
        <v>1390.71</v>
      </c>
      <c r="F5670" s="1">
        <f>IFERROR(__xludf.DUMMYFUNCTION("""COMPUTED_VALUE"""),4.51799008E8)</f>
        <v>451799008</v>
      </c>
    </row>
    <row r="5671">
      <c r="A5671" s="2">
        <f>IFERROR(__xludf.DUMMYFUNCTION("""COMPUTED_VALUE"""),39590.666666666664)</f>
        <v>39590.66667</v>
      </c>
      <c r="B5671" s="1">
        <f>IFERROR(__xludf.DUMMYFUNCTION("""COMPUTED_VALUE"""),1390.83)</f>
        <v>1390.83</v>
      </c>
      <c r="C5671" s="1">
        <f>IFERROR(__xludf.DUMMYFUNCTION("""COMPUTED_VALUE"""),1399.07)</f>
        <v>1399.07</v>
      </c>
      <c r="D5671" s="1">
        <f>IFERROR(__xludf.DUMMYFUNCTION("""COMPUTED_VALUE"""),1390.23)</f>
        <v>1390.23</v>
      </c>
      <c r="E5671" s="1">
        <f>IFERROR(__xludf.DUMMYFUNCTION("""COMPUTED_VALUE"""),1394.35)</f>
        <v>1394.35</v>
      </c>
      <c r="F5671" s="1">
        <f>IFERROR(__xludf.DUMMYFUNCTION("""COMPUTED_VALUE"""),3.95596E8)</f>
        <v>395596000</v>
      </c>
    </row>
    <row r="5672">
      <c r="A5672" s="2">
        <f>IFERROR(__xludf.DUMMYFUNCTION("""COMPUTED_VALUE"""),39591.666666666664)</f>
        <v>39591.66667</v>
      </c>
      <c r="B5672" s="1">
        <f>IFERROR(__xludf.DUMMYFUNCTION("""COMPUTED_VALUE"""),1392.2)</f>
        <v>1392.2</v>
      </c>
      <c r="C5672" s="1">
        <f>IFERROR(__xludf.DUMMYFUNCTION("""COMPUTED_VALUE"""),1392.2)</f>
        <v>1392.2</v>
      </c>
      <c r="D5672" s="1">
        <f>IFERROR(__xludf.DUMMYFUNCTION("""COMPUTED_VALUE"""),1373.86)</f>
        <v>1373.86</v>
      </c>
      <c r="E5672" s="1">
        <f>IFERROR(__xludf.DUMMYFUNCTION("""COMPUTED_VALUE"""),1375.93)</f>
        <v>1375.93</v>
      </c>
      <c r="F5672" s="1">
        <f>IFERROR(__xludf.DUMMYFUNCTION("""COMPUTED_VALUE"""),3.51638016E8)</f>
        <v>351638016</v>
      </c>
    </row>
    <row r="5673">
      <c r="A5673" s="2">
        <f>IFERROR(__xludf.DUMMYFUNCTION("""COMPUTED_VALUE"""),39595.666666666664)</f>
        <v>39595.66667</v>
      </c>
      <c r="B5673" s="1">
        <f>IFERROR(__xludf.DUMMYFUNCTION("""COMPUTED_VALUE"""),1375.97)</f>
        <v>1375.97</v>
      </c>
      <c r="C5673" s="1">
        <f>IFERROR(__xludf.DUMMYFUNCTION("""COMPUTED_VALUE"""),1387.16)</f>
        <v>1387.16</v>
      </c>
      <c r="D5673" s="1">
        <f>IFERROR(__xludf.DUMMYFUNCTION("""COMPUTED_VALUE"""),1373.07)</f>
        <v>1373.07</v>
      </c>
      <c r="E5673" s="1">
        <f>IFERROR(__xludf.DUMMYFUNCTION("""COMPUTED_VALUE"""),1385.35)</f>
        <v>1385.35</v>
      </c>
      <c r="F5673" s="1">
        <f>IFERROR(__xludf.DUMMYFUNCTION("""COMPUTED_VALUE"""),3.58886016E8)</f>
        <v>358886016</v>
      </c>
    </row>
    <row r="5674">
      <c r="A5674" s="2">
        <f>IFERROR(__xludf.DUMMYFUNCTION("""COMPUTED_VALUE"""),39596.666666666664)</f>
        <v>39596.66667</v>
      </c>
      <c r="B5674" s="1">
        <f>IFERROR(__xludf.DUMMYFUNCTION("""COMPUTED_VALUE"""),1386.54)</f>
        <v>1386.54</v>
      </c>
      <c r="C5674" s="1">
        <f>IFERROR(__xludf.DUMMYFUNCTION("""COMPUTED_VALUE"""),1391.25)</f>
        <v>1391.25</v>
      </c>
      <c r="D5674" s="1">
        <f>IFERROR(__xludf.DUMMYFUNCTION("""COMPUTED_VALUE"""),1378.16)</f>
        <v>1378.16</v>
      </c>
      <c r="E5674" s="1">
        <f>IFERROR(__xludf.DUMMYFUNCTION("""COMPUTED_VALUE"""),1390.84)</f>
        <v>1390.84</v>
      </c>
      <c r="F5674" s="1">
        <f>IFERROR(__xludf.DUMMYFUNCTION("""COMPUTED_VALUE"""),3.92724E8)</f>
        <v>392724000</v>
      </c>
    </row>
    <row r="5675">
      <c r="A5675" s="2">
        <f>IFERROR(__xludf.DUMMYFUNCTION("""COMPUTED_VALUE"""),39597.666666666664)</f>
        <v>39597.66667</v>
      </c>
      <c r="B5675" s="1">
        <f>IFERROR(__xludf.DUMMYFUNCTION("""COMPUTED_VALUE"""),1390.5)</f>
        <v>1390.5</v>
      </c>
      <c r="C5675" s="1">
        <f>IFERROR(__xludf.DUMMYFUNCTION("""COMPUTED_VALUE"""),1406.32)</f>
        <v>1406.32</v>
      </c>
      <c r="D5675" s="1">
        <f>IFERROR(__xludf.DUMMYFUNCTION("""COMPUTED_VALUE"""),1388.59)</f>
        <v>1388.59</v>
      </c>
      <c r="E5675" s="1">
        <f>IFERROR(__xludf.DUMMYFUNCTION("""COMPUTED_VALUE"""),1398.26)</f>
        <v>1398.26</v>
      </c>
      <c r="F5675" s="1">
        <f>IFERROR(__xludf.DUMMYFUNCTION("""COMPUTED_VALUE"""),3.89444E8)</f>
        <v>389444000</v>
      </c>
    </row>
    <row r="5676">
      <c r="A5676" s="2">
        <f>IFERROR(__xludf.DUMMYFUNCTION("""COMPUTED_VALUE"""),39598.666666666664)</f>
        <v>39598.66667</v>
      </c>
      <c r="B5676" s="1">
        <f>IFERROR(__xludf.DUMMYFUNCTION("""COMPUTED_VALUE"""),1398.36)</f>
        <v>1398.36</v>
      </c>
      <c r="C5676" s="1">
        <f>IFERROR(__xludf.DUMMYFUNCTION("""COMPUTED_VALUE"""),1404.46)</f>
        <v>1404.46</v>
      </c>
      <c r="D5676" s="1">
        <f>IFERROR(__xludf.DUMMYFUNCTION("""COMPUTED_VALUE"""),1398.08)</f>
        <v>1398.08</v>
      </c>
      <c r="E5676" s="1">
        <f>IFERROR(__xludf.DUMMYFUNCTION("""COMPUTED_VALUE"""),1400.38)</f>
        <v>1400.38</v>
      </c>
      <c r="F5676" s="1">
        <f>IFERROR(__xludf.DUMMYFUNCTION("""COMPUTED_VALUE"""),3.84563008E8)</f>
        <v>384563008</v>
      </c>
    </row>
    <row r="5677">
      <c r="A5677" s="2">
        <f>IFERROR(__xludf.DUMMYFUNCTION("""COMPUTED_VALUE"""),39601.666666666664)</f>
        <v>39601.66667</v>
      </c>
      <c r="B5677" s="1">
        <f>IFERROR(__xludf.DUMMYFUNCTION("""COMPUTED_VALUE"""),1399.62)</f>
        <v>1399.62</v>
      </c>
      <c r="C5677" s="1">
        <f>IFERROR(__xludf.DUMMYFUNCTION("""COMPUTED_VALUE"""),1399.62)</f>
        <v>1399.62</v>
      </c>
      <c r="D5677" s="1">
        <f>IFERROR(__xludf.DUMMYFUNCTION("""COMPUTED_VALUE"""),1377.79)</f>
        <v>1377.79</v>
      </c>
      <c r="E5677" s="1">
        <f>IFERROR(__xludf.DUMMYFUNCTION("""COMPUTED_VALUE"""),1385.67)</f>
        <v>1385.67</v>
      </c>
      <c r="F5677" s="1">
        <f>IFERROR(__xludf.DUMMYFUNCTION("""COMPUTED_VALUE"""),3.71432E8)</f>
        <v>371432000</v>
      </c>
    </row>
    <row r="5678">
      <c r="A5678" s="2">
        <f>IFERROR(__xludf.DUMMYFUNCTION("""COMPUTED_VALUE"""),39602.666666666664)</f>
        <v>39602.66667</v>
      </c>
      <c r="B5678" s="1">
        <f>IFERROR(__xludf.DUMMYFUNCTION("""COMPUTED_VALUE"""),1386.42)</f>
        <v>1386.42</v>
      </c>
      <c r="C5678" s="1">
        <f>IFERROR(__xludf.DUMMYFUNCTION("""COMPUTED_VALUE"""),1393.09)</f>
        <v>1393.09</v>
      </c>
      <c r="D5678" s="1">
        <f>IFERROR(__xludf.DUMMYFUNCTION("""COMPUTED_VALUE"""),1370.12)</f>
        <v>1370.12</v>
      </c>
      <c r="E5678" s="1">
        <f>IFERROR(__xludf.DUMMYFUNCTION("""COMPUTED_VALUE"""),1377.65)</f>
        <v>1377.65</v>
      </c>
      <c r="F5678" s="1">
        <f>IFERROR(__xludf.DUMMYFUNCTION("""COMPUTED_VALUE"""),4.39638016E8)</f>
        <v>439638016</v>
      </c>
    </row>
    <row r="5679">
      <c r="A5679" s="2">
        <f>IFERROR(__xludf.DUMMYFUNCTION("""COMPUTED_VALUE"""),39603.666666666664)</f>
        <v>39603.66667</v>
      </c>
      <c r="B5679" s="1">
        <f>IFERROR(__xludf.DUMMYFUNCTION("""COMPUTED_VALUE"""),1376.26)</f>
        <v>1376.26</v>
      </c>
      <c r="C5679" s="1">
        <f>IFERROR(__xludf.DUMMYFUNCTION("""COMPUTED_VALUE"""),1388.18)</f>
        <v>1388.18</v>
      </c>
      <c r="D5679" s="1">
        <f>IFERROR(__xludf.DUMMYFUNCTION("""COMPUTED_VALUE"""),1371.74)</f>
        <v>1371.74</v>
      </c>
      <c r="E5679" s="1">
        <f>IFERROR(__xludf.DUMMYFUNCTION("""COMPUTED_VALUE"""),1377.2)</f>
        <v>1377.2</v>
      </c>
      <c r="F5679" s="1">
        <f>IFERROR(__xludf.DUMMYFUNCTION("""COMPUTED_VALUE"""),4.33864E8)</f>
        <v>433864000</v>
      </c>
    </row>
    <row r="5680">
      <c r="A5680" s="2">
        <f>IFERROR(__xludf.DUMMYFUNCTION("""COMPUTED_VALUE"""),39604.666666666664)</f>
        <v>39604.66667</v>
      </c>
      <c r="B5680" s="1">
        <f>IFERROR(__xludf.DUMMYFUNCTION("""COMPUTED_VALUE"""),1377.48)</f>
        <v>1377.48</v>
      </c>
      <c r="C5680" s="1">
        <f>IFERROR(__xludf.DUMMYFUNCTION("""COMPUTED_VALUE"""),1404.05)</f>
        <v>1404.05</v>
      </c>
      <c r="D5680" s="1">
        <f>IFERROR(__xludf.DUMMYFUNCTION("""COMPUTED_VALUE"""),1377.48)</f>
        <v>1377.48</v>
      </c>
      <c r="E5680" s="1">
        <f>IFERROR(__xludf.DUMMYFUNCTION("""COMPUTED_VALUE"""),1404.05)</f>
        <v>1404.05</v>
      </c>
      <c r="F5680" s="1">
        <f>IFERROR(__xludf.DUMMYFUNCTION("""COMPUTED_VALUE"""),4.35079008E8)</f>
        <v>435079008</v>
      </c>
    </row>
    <row r="5681">
      <c r="A5681" s="2">
        <f>IFERROR(__xludf.DUMMYFUNCTION("""COMPUTED_VALUE"""),39605.666666666664)</f>
        <v>39605.66667</v>
      </c>
      <c r="B5681" s="1">
        <f>IFERROR(__xludf.DUMMYFUNCTION("""COMPUTED_VALUE"""),1400.06)</f>
        <v>1400.06</v>
      </c>
      <c r="C5681" s="1">
        <f>IFERROR(__xludf.DUMMYFUNCTION("""COMPUTED_VALUE"""),1400.06)</f>
        <v>1400.06</v>
      </c>
      <c r="D5681" s="1">
        <f>IFERROR(__xludf.DUMMYFUNCTION("""COMPUTED_VALUE"""),1359.9)</f>
        <v>1359.9</v>
      </c>
      <c r="E5681" s="1">
        <f>IFERROR(__xludf.DUMMYFUNCTION("""COMPUTED_VALUE"""),1360.68)</f>
        <v>1360.68</v>
      </c>
      <c r="F5681" s="1">
        <f>IFERROR(__xludf.DUMMYFUNCTION("""COMPUTED_VALUE"""),4.77166016E8)</f>
        <v>477166016</v>
      </c>
    </row>
    <row r="5682">
      <c r="A5682" s="2">
        <f>IFERROR(__xludf.DUMMYFUNCTION("""COMPUTED_VALUE"""),39608.666666666664)</f>
        <v>39608.66667</v>
      </c>
      <c r="B5682" s="1">
        <f>IFERROR(__xludf.DUMMYFUNCTION("""COMPUTED_VALUE"""),1360.83)</f>
        <v>1360.83</v>
      </c>
      <c r="C5682" s="1">
        <f>IFERROR(__xludf.DUMMYFUNCTION("""COMPUTED_VALUE"""),1370.63)</f>
        <v>1370.63</v>
      </c>
      <c r="D5682" s="1">
        <f>IFERROR(__xludf.DUMMYFUNCTION("""COMPUTED_VALUE"""),1350.68)</f>
        <v>1350.68</v>
      </c>
      <c r="E5682" s="1">
        <f>IFERROR(__xludf.DUMMYFUNCTION("""COMPUTED_VALUE"""),1361.76)</f>
        <v>1361.76</v>
      </c>
      <c r="F5682" s="1">
        <f>IFERROR(__xludf.DUMMYFUNCTION("""COMPUTED_VALUE"""),4.40456992E8)</f>
        <v>440456992</v>
      </c>
    </row>
    <row r="5683">
      <c r="A5683" s="2">
        <f>IFERROR(__xludf.DUMMYFUNCTION("""COMPUTED_VALUE"""),39609.666666666664)</f>
        <v>39609.66667</v>
      </c>
      <c r="B5683" s="1">
        <f>IFERROR(__xludf.DUMMYFUNCTION("""COMPUTED_VALUE"""),1358.98)</f>
        <v>1358.98</v>
      </c>
      <c r="C5683" s="1">
        <f>IFERROR(__xludf.DUMMYFUNCTION("""COMPUTED_VALUE"""),1366.8)</f>
        <v>1366.8</v>
      </c>
      <c r="D5683" s="1">
        <f>IFERROR(__xludf.DUMMYFUNCTION("""COMPUTED_VALUE"""),1351.72)</f>
        <v>1351.72</v>
      </c>
      <c r="E5683" s="1">
        <f>IFERROR(__xludf.DUMMYFUNCTION("""COMPUTED_VALUE"""),1358.44)</f>
        <v>1358.44</v>
      </c>
      <c r="F5683" s="1">
        <f>IFERROR(__xludf.DUMMYFUNCTION("""COMPUTED_VALUE"""),4.63507008E8)</f>
        <v>463507008</v>
      </c>
    </row>
    <row r="5684">
      <c r="A5684" s="2">
        <f>IFERROR(__xludf.DUMMYFUNCTION("""COMPUTED_VALUE"""),39610.666666666664)</f>
        <v>39610.66667</v>
      </c>
      <c r="B5684" s="1">
        <f>IFERROR(__xludf.DUMMYFUNCTION("""COMPUTED_VALUE"""),1357.09)</f>
        <v>1357.09</v>
      </c>
      <c r="C5684" s="1">
        <f>IFERROR(__xludf.DUMMYFUNCTION("""COMPUTED_VALUE"""),1357.09)</f>
        <v>1357.09</v>
      </c>
      <c r="D5684" s="1">
        <f>IFERROR(__xludf.DUMMYFUNCTION("""COMPUTED_VALUE"""),1335.47)</f>
        <v>1335.47</v>
      </c>
      <c r="E5684" s="1">
        <f>IFERROR(__xludf.DUMMYFUNCTION("""COMPUTED_VALUE"""),1335.49)</f>
        <v>1335.49</v>
      </c>
      <c r="F5684" s="1">
        <f>IFERROR(__xludf.DUMMYFUNCTION("""COMPUTED_VALUE"""),4.77998016E8)</f>
        <v>477998016</v>
      </c>
    </row>
    <row r="5685">
      <c r="A5685" s="2">
        <f>IFERROR(__xludf.DUMMYFUNCTION("""COMPUTED_VALUE"""),39611.666666666664)</f>
        <v>39611.66667</v>
      </c>
      <c r="B5685" s="1">
        <f>IFERROR(__xludf.DUMMYFUNCTION("""COMPUTED_VALUE"""),1338.54)</f>
        <v>1338.54</v>
      </c>
      <c r="C5685" s="1">
        <f>IFERROR(__xludf.DUMMYFUNCTION("""COMPUTED_VALUE"""),1353.03)</f>
        <v>1353.03</v>
      </c>
      <c r="D5685" s="1">
        <f>IFERROR(__xludf.DUMMYFUNCTION("""COMPUTED_VALUE"""),1331.6)</f>
        <v>1331.6</v>
      </c>
      <c r="E5685" s="1">
        <f>IFERROR(__xludf.DUMMYFUNCTION("""COMPUTED_VALUE"""),1339.87)</f>
        <v>1339.87</v>
      </c>
      <c r="F5685" s="1">
        <f>IFERROR(__xludf.DUMMYFUNCTION("""COMPUTED_VALUE"""),4.73424E8)</f>
        <v>473424000</v>
      </c>
    </row>
    <row r="5686">
      <c r="A5686" s="2">
        <f>IFERROR(__xludf.DUMMYFUNCTION("""COMPUTED_VALUE"""),39612.666666666664)</f>
        <v>39612.66667</v>
      </c>
      <c r="B5686" s="1">
        <f>IFERROR(__xludf.DUMMYFUNCTION("""COMPUTED_VALUE"""),1341.81)</f>
        <v>1341.81</v>
      </c>
      <c r="C5686" s="1">
        <f>IFERROR(__xludf.DUMMYFUNCTION("""COMPUTED_VALUE"""),1360.03)</f>
        <v>1360.03</v>
      </c>
      <c r="D5686" s="1">
        <f>IFERROR(__xludf.DUMMYFUNCTION("""COMPUTED_VALUE"""),1341.81)</f>
        <v>1341.81</v>
      </c>
      <c r="E5686" s="1">
        <f>IFERROR(__xludf.DUMMYFUNCTION("""COMPUTED_VALUE"""),1360.03)</f>
        <v>1360.03</v>
      </c>
      <c r="F5686" s="1">
        <f>IFERROR(__xludf.DUMMYFUNCTION("""COMPUTED_VALUE"""),4.08041984E8)</f>
        <v>408041984</v>
      </c>
    </row>
    <row r="5687">
      <c r="A5687" s="2">
        <f>IFERROR(__xludf.DUMMYFUNCTION("""COMPUTED_VALUE"""),39615.666666666664)</f>
        <v>39615.66667</v>
      </c>
      <c r="B5687" s="1">
        <f>IFERROR(__xludf.DUMMYFUNCTION("""COMPUTED_VALUE"""),1358.85)</f>
        <v>1358.85</v>
      </c>
      <c r="C5687" s="1">
        <f>IFERROR(__xludf.DUMMYFUNCTION("""COMPUTED_VALUE"""),1364.59)</f>
        <v>1364.59</v>
      </c>
      <c r="D5687" s="1">
        <f>IFERROR(__xludf.DUMMYFUNCTION("""COMPUTED_VALUE"""),1352.07)</f>
        <v>1352.07</v>
      </c>
      <c r="E5687" s="1">
        <f>IFERROR(__xludf.DUMMYFUNCTION("""COMPUTED_VALUE"""),1360.14)</f>
        <v>1360.14</v>
      </c>
      <c r="F5687" s="1">
        <f>IFERROR(__xludf.DUMMYFUNCTION("""COMPUTED_VALUE"""),3.70694016E8)</f>
        <v>370694016</v>
      </c>
    </row>
    <row r="5688">
      <c r="A5688" s="2">
        <f>IFERROR(__xludf.DUMMYFUNCTION("""COMPUTED_VALUE"""),39616.666666666664)</f>
        <v>39616.66667</v>
      </c>
      <c r="B5688" s="1">
        <f>IFERROR(__xludf.DUMMYFUNCTION("""COMPUTED_VALUE"""),1360.71)</f>
        <v>1360.71</v>
      </c>
      <c r="C5688" s="1">
        <f>IFERROR(__xludf.DUMMYFUNCTION("""COMPUTED_VALUE"""),1366.59)</f>
        <v>1366.59</v>
      </c>
      <c r="D5688" s="1">
        <f>IFERROR(__xludf.DUMMYFUNCTION("""COMPUTED_VALUE"""),1350.76)</f>
        <v>1350.76</v>
      </c>
      <c r="E5688" s="1">
        <f>IFERROR(__xludf.DUMMYFUNCTION("""COMPUTED_VALUE"""),1350.93)</f>
        <v>1350.93</v>
      </c>
      <c r="F5688" s="1">
        <f>IFERROR(__xludf.DUMMYFUNCTION("""COMPUTED_VALUE"""),3.80196E8)</f>
        <v>380196000</v>
      </c>
    </row>
    <row r="5689">
      <c r="A5689" s="2">
        <f>IFERROR(__xludf.DUMMYFUNCTION("""COMPUTED_VALUE"""),39617.666666666664)</f>
        <v>39617.66667</v>
      </c>
      <c r="B5689" s="1">
        <f>IFERROR(__xludf.DUMMYFUNCTION("""COMPUTED_VALUE"""),1349.59)</f>
        <v>1349.59</v>
      </c>
      <c r="C5689" s="1">
        <f>IFERROR(__xludf.DUMMYFUNCTION("""COMPUTED_VALUE"""),1349.59)</f>
        <v>1349.59</v>
      </c>
      <c r="D5689" s="1">
        <f>IFERROR(__xludf.DUMMYFUNCTION("""COMPUTED_VALUE"""),1333.4)</f>
        <v>1333.4</v>
      </c>
      <c r="E5689" s="1">
        <f>IFERROR(__xludf.DUMMYFUNCTION("""COMPUTED_VALUE"""),1337.81)</f>
        <v>1337.81</v>
      </c>
      <c r="F5689" s="1">
        <f>IFERROR(__xludf.DUMMYFUNCTION("""COMPUTED_VALUE"""),4.57356992E8)</f>
        <v>457356992</v>
      </c>
    </row>
    <row r="5690">
      <c r="A5690" s="2">
        <f>IFERROR(__xludf.DUMMYFUNCTION("""COMPUTED_VALUE"""),39618.666666666664)</f>
        <v>39618.66667</v>
      </c>
      <c r="B5690" s="1">
        <f>IFERROR(__xludf.DUMMYFUNCTION("""COMPUTED_VALUE"""),1336.89)</f>
        <v>1336.89</v>
      </c>
      <c r="C5690" s="1">
        <f>IFERROR(__xludf.DUMMYFUNCTION("""COMPUTED_VALUE"""),1347.66)</f>
        <v>1347.66</v>
      </c>
      <c r="D5690" s="1">
        <f>IFERROR(__xludf.DUMMYFUNCTION("""COMPUTED_VALUE"""),1330.5)</f>
        <v>1330.5</v>
      </c>
      <c r="E5690" s="1">
        <f>IFERROR(__xludf.DUMMYFUNCTION("""COMPUTED_VALUE"""),1342.83)</f>
        <v>1342.83</v>
      </c>
      <c r="F5690" s="1">
        <f>IFERROR(__xludf.DUMMYFUNCTION("""COMPUTED_VALUE"""),4.81167008E8)</f>
        <v>481167008</v>
      </c>
    </row>
    <row r="5691">
      <c r="A5691" s="2">
        <f>IFERROR(__xludf.DUMMYFUNCTION("""COMPUTED_VALUE"""),39619.666666666664)</f>
        <v>39619.66667</v>
      </c>
      <c r="B5691" s="1">
        <f>IFERROR(__xludf.DUMMYFUNCTION("""COMPUTED_VALUE"""),1341.02)</f>
        <v>1341.02</v>
      </c>
      <c r="C5691" s="1">
        <f>IFERROR(__xludf.DUMMYFUNCTION("""COMPUTED_VALUE"""),1341.02)</f>
        <v>1341.02</v>
      </c>
      <c r="D5691" s="1">
        <f>IFERROR(__xludf.DUMMYFUNCTION("""COMPUTED_VALUE"""),1314.46)</f>
        <v>1314.46</v>
      </c>
      <c r="E5691" s="1">
        <f>IFERROR(__xludf.DUMMYFUNCTION("""COMPUTED_VALUE"""),1317.93)</f>
        <v>1317.93</v>
      </c>
      <c r="F5691" s="1">
        <f>IFERROR(__xludf.DUMMYFUNCTION("""COMPUTED_VALUE"""),5.32489984E8)</f>
        <v>532489984</v>
      </c>
    </row>
    <row r="5692">
      <c r="A5692" s="2">
        <f>IFERROR(__xludf.DUMMYFUNCTION("""COMPUTED_VALUE"""),39622.666666666664)</f>
        <v>39622.66667</v>
      </c>
      <c r="B5692" s="1">
        <f>IFERROR(__xludf.DUMMYFUNCTION("""COMPUTED_VALUE"""),1320.52)</f>
        <v>1320.52</v>
      </c>
      <c r="C5692" s="1">
        <f>IFERROR(__xludf.DUMMYFUNCTION("""COMPUTED_VALUE"""),1323.78)</f>
        <v>1323.78</v>
      </c>
      <c r="D5692" s="1">
        <f>IFERROR(__xludf.DUMMYFUNCTION("""COMPUTED_VALUE"""),1315.31)</f>
        <v>1315.31</v>
      </c>
      <c r="E5692" s="1">
        <f>IFERROR(__xludf.DUMMYFUNCTION("""COMPUTED_VALUE"""),1318.0)</f>
        <v>1318</v>
      </c>
      <c r="F5692" s="1">
        <f>IFERROR(__xludf.DUMMYFUNCTION("""COMPUTED_VALUE"""),4.18636992E8)</f>
        <v>418636992</v>
      </c>
    </row>
    <row r="5693">
      <c r="A5693" s="2">
        <f>IFERROR(__xludf.DUMMYFUNCTION("""COMPUTED_VALUE"""),39623.666666666664)</f>
        <v>39623.66667</v>
      </c>
      <c r="B5693" s="1">
        <f>IFERROR(__xludf.DUMMYFUNCTION("""COMPUTED_VALUE"""),1317.23)</f>
        <v>1317.23</v>
      </c>
      <c r="C5693" s="1">
        <f>IFERROR(__xludf.DUMMYFUNCTION("""COMPUTED_VALUE"""),1326.02)</f>
        <v>1326.02</v>
      </c>
      <c r="D5693" s="1">
        <f>IFERROR(__xludf.DUMMYFUNCTION("""COMPUTED_VALUE"""),1305.2)</f>
        <v>1305.2</v>
      </c>
      <c r="E5693" s="1">
        <f>IFERROR(__xludf.DUMMYFUNCTION("""COMPUTED_VALUE"""),1314.29)</f>
        <v>1314.29</v>
      </c>
      <c r="F5693" s="1">
        <f>IFERROR(__xludf.DUMMYFUNCTION("""COMPUTED_VALUE"""),4.70504992E8)</f>
        <v>470504992</v>
      </c>
    </row>
    <row r="5694">
      <c r="A5694" s="2">
        <f>IFERROR(__xludf.DUMMYFUNCTION("""COMPUTED_VALUE"""),39624.666666666664)</f>
        <v>39624.66667</v>
      </c>
      <c r="B5694" s="1">
        <f>IFERROR(__xludf.DUMMYFUNCTION("""COMPUTED_VALUE"""),1316.63)</f>
        <v>1316.63</v>
      </c>
      <c r="C5694" s="1">
        <f>IFERROR(__xludf.DUMMYFUNCTION("""COMPUTED_VALUE"""),1335.36)</f>
        <v>1335.36</v>
      </c>
      <c r="D5694" s="1">
        <f>IFERROR(__xludf.DUMMYFUNCTION("""COMPUTED_VALUE"""),1316.63)</f>
        <v>1316.63</v>
      </c>
      <c r="E5694" s="1">
        <f>IFERROR(__xludf.DUMMYFUNCTION("""COMPUTED_VALUE"""),1321.97)</f>
        <v>1321.97</v>
      </c>
      <c r="F5694" s="1">
        <f>IFERROR(__xludf.DUMMYFUNCTION("""COMPUTED_VALUE"""),4.82564E8)</f>
        <v>482564000</v>
      </c>
    </row>
    <row r="5695">
      <c r="A5695" s="2">
        <f>IFERROR(__xludf.DUMMYFUNCTION("""COMPUTED_VALUE"""),39625.666666666664)</f>
        <v>39625.66667</v>
      </c>
      <c r="B5695" s="1">
        <f>IFERROR(__xludf.DUMMYFUNCTION("""COMPUTED_VALUE"""),1316.29)</f>
        <v>1316.29</v>
      </c>
      <c r="C5695" s="1">
        <f>IFERROR(__xludf.DUMMYFUNCTION("""COMPUTED_VALUE"""),1316.29)</f>
        <v>1316.29</v>
      </c>
      <c r="D5695" s="1">
        <f>IFERROR(__xludf.DUMMYFUNCTION("""COMPUTED_VALUE"""),1283.15)</f>
        <v>1283.15</v>
      </c>
      <c r="E5695" s="1">
        <f>IFERROR(__xludf.DUMMYFUNCTION("""COMPUTED_VALUE"""),1283.15)</f>
        <v>1283.15</v>
      </c>
      <c r="F5695" s="1">
        <f>IFERROR(__xludf.DUMMYFUNCTION("""COMPUTED_VALUE"""),5.23128E8)</f>
        <v>523128000</v>
      </c>
    </row>
    <row r="5696">
      <c r="A5696" s="2">
        <f>IFERROR(__xludf.DUMMYFUNCTION("""COMPUTED_VALUE"""),39626.666666666664)</f>
        <v>39626.66667</v>
      </c>
      <c r="B5696" s="1">
        <f>IFERROR(__xludf.DUMMYFUNCTION("""COMPUTED_VALUE"""),1283.6)</f>
        <v>1283.6</v>
      </c>
      <c r="C5696" s="1">
        <f>IFERROR(__xludf.DUMMYFUNCTION("""COMPUTED_VALUE"""),1289.33)</f>
        <v>1289.33</v>
      </c>
      <c r="D5696" s="1">
        <f>IFERROR(__xludf.DUMMYFUNCTION("""COMPUTED_VALUE"""),1272.24)</f>
        <v>1272.24</v>
      </c>
      <c r="E5696" s="1">
        <f>IFERROR(__xludf.DUMMYFUNCTION("""COMPUTED_VALUE"""),1278.38)</f>
        <v>1278.38</v>
      </c>
      <c r="F5696" s="1">
        <f>IFERROR(__xludf.DUMMYFUNCTION("""COMPUTED_VALUE"""),6.20825984E8)</f>
        <v>620825984</v>
      </c>
    </row>
    <row r="5697">
      <c r="A5697" s="2">
        <f>IFERROR(__xludf.DUMMYFUNCTION("""COMPUTED_VALUE"""),39629.666666666664)</f>
        <v>39629.66667</v>
      </c>
      <c r="B5697" s="1">
        <f>IFERROR(__xludf.DUMMYFUNCTION("""COMPUTED_VALUE"""),1278.06)</f>
        <v>1278.06</v>
      </c>
      <c r="C5697" s="1">
        <f>IFERROR(__xludf.DUMMYFUNCTION("""COMPUTED_VALUE"""),1290.1)</f>
        <v>1290.1</v>
      </c>
      <c r="D5697" s="1">
        <f>IFERROR(__xludf.DUMMYFUNCTION("""COMPUTED_VALUE"""),1275.44)</f>
        <v>1275.44</v>
      </c>
      <c r="E5697" s="1">
        <f>IFERROR(__xludf.DUMMYFUNCTION("""COMPUTED_VALUE"""),1280.0)</f>
        <v>1280</v>
      </c>
      <c r="F5697" s="1">
        <f>IFERROR(__xludf.DUMMYFUNCTION("""COMPUTED_VALUE"""),5.03232992E8)</f>
        <v>503232992</v>
      </c>
    </row>
    <row r="5698">
      <c r="A5698" s="2">
        <f>IFERROR(__xludf.DUMMYFUNCTION("""COMPUTED_VALUE"""),39630.666666666664)</f>
        <v>39630.66667</v>
      </c>
      <c r="B5698" s="1">
        <f>IFERROR(__xludf.DUMMYFUNCTION("""COMPUTED_VALUE"""),1276.69)</f>
        <v>1276.69</v>
      </c>
      <c r="C5698" s="1">
        <f>IFERROR(__xludf.DUMMYFUNCTION("""COMPUTED_VALUE"""),1285.07)</f>
        <v>1285.07</v>
      </c>
      <c r="D5698" s="1">
        <f>IFERROR(__xludf.DUMMYFUNCTION("""COMPUTED_VALUE"""),1260.94)</f>
        <v>1260.94</v>
      </c>
      <c r="E5698" s="1">
        <f>IFERROR(__xludf.DUMMYFUNCTION("""COMPUTED_VALUE"""),1284.91)</f>
        <v>1284.91</v>
      </c>
      <c r="F5698" s="1">
        <f>IFERROR(__xludf.DUMMYFUNCTION("""COMPUTED_VALUE"""),5.84628992E8)</f>
        <v>584628992</v>
      </c>
    </row>
    <row r="5699">
      <c r="A5699" s="2">
        <f>IFERROR(__xludf.DUMMYFUNCTION("""COMPUTED_VALUE"""),39631.666666666664)</f>
        <v>39631.66667</v>
      </c>
      <c r="B5699" s="1">
        <f>IFERROR(__xludf.DUMMYFUNCTION("""COMPUTED_VALUE"""),1285.82)</f>
        <v>1285.82</v>
      </c>
      <c r="C5699" s="1">
        <f>IFERROR(__xludf.DUMMYFUNCTION("""COMPUTED_VALUE"""),1292.07)</f>
        <v>1292.07</v>
      </c>
      <c r="D5699" s="1">
        <f>IFERROR(__xludf.DUMMYFUNCTION("""COMPUTED_VALUE"""),1261.52)</f>
        <v>1261.52</v>
      </c>
      <c r="E5699" s="1">
        <f>IFERROR(__xludf.DUMMYFUNCTION("""COMPUTED_VALUE"""),1261.52)</f>
        <v>1261.52</v>
      </c>
      <c r="F5699" s="1">
        <f>IFERROR(__xludf.DUMMYFUNCTION("""COMPUTED_VALUE"""),5.27608992E8)</f>
        <v>527608992</v>
      </c>
    </row>
    <row r="5700">
      <c r="A5700" s="2">
        <f>IFERROR(__xludf.DUMMYFUNCTION("""COMPUTED_VALUE"""),39632.666666666664)</f>
        <v>39632.66667</v>
      </c>
      <c r="B5700" s="1">
        <f>IFERROR(__xludf.DUMMYFUNCTION("""COMPUTED_VALUE"""),1262.96)</f>
        <v>1262.96</v>
      </c>
      <c r="C5700" s="1">
        <f>IFERROR(__xludf.DUMMYFUNCTION("""COMPUTED_VALUE"""),1271.48)</f>
        <v>1271.48</v>
      </c>
      <c r="D5700" s="1">
        <f>IFERROR(__xludf.DUMMYFUNCTION("""COMPUTED_VALUE"""),1253.46)</f>
        <v>1253.46</v>
      </c>
      <c r="E5700" s="1">
        <f>IFERROR(__xludf.DUMMYFUNCTION("""COMPUTED_VALUE"""),1262.9)</f>
        <v>1262.9</v>
      </c>
      <c r="F5700" s="1">
        <f>IFERROR(__xludf.DUMMYFUNCTION("""COMPUTED_VALUE"""),3.24759008E8)</f>
        <v>324759008</v>
      </c>
    </row>
    <row r="5701">
      <c r="A5701" s="2">
        <f>IFERROR(__xludf.DUMMYFUNCTION("""COMPUTED_VALUE"""),39636.666666666664)</f>
        <v>39636.66667</v>
      </c>
      <c r="B5701" s="1">
        <f>IFERROR(__xludf.DUMMYFUNCTION("""COMPUTED_VALUE"""),1262.9)</f>
        <v>1262.9</v>
      </c>
      <c r="C5701" s="1">
        <f>IFERROR(__xludf.DUMMYFUNCTION("""COMPUTED_VALUE"""),1273.95)</f>
        <v>1273.95</v>
      </c>
      <c r="D5701" s="1">
        <f>IFERROR(__xludf.DUMMYFUNCTION("""COMPUTED_VALUE"""),1241.16)</f>
        <v>1241.16</v>
      </c>
      <c r="E5701" s="1">
        <f>IFERROR(__xludf.DUMMYFUNCTION("""COMPUTED_VALUE"""),1252.31)</f>
        <v>1252.31</v>
      </c>
      <c r="F5701" s="1">
        <f>IFERROR(__xludf.DUMMYFUNCTION("""COMPUTED_VALUE"""),5.26542016E8)</f>
        <v>526542016</v>
      </c>
    </row>
    <row r="5702">
      <c r="A5702" s="2">
        <f>IFERROR(__xludf.DUMMYFUNCTION("""COMPUTED_VALUE"""),39637.666666666664)</f>
        <v>39637.66667</v>
      </c>
      <c r="B5702" s="1">
        <f>IFERROR(__xludf.DUMMYFUNCTION("""COMPUTED_VALUE"""),1251.84)</f>
        <v>1251.84</v>
      </c>
      <c r="C5702" s="1">
        <f>IFERROR(__xludf.DUMMYFUNCTION("""COMPUTED_VALUE"""),1274.17)</f>
        <v>1274.17</v>
      </c>
      <c r="D5702" s="1">
        <f>IFERROR(__xludf.DUMMYFUNCTION("""COMPUTED_VALUE"""),1242.84)</f>
        <v>1242.84</v>
      </c>
      <c r="E5702" s="1">
        <f>IFERROR(__xludf.DUMMYFUNCTION("""COMPUTED_VALUE"""),1273.7)</f>
        <v>1273.7</v>
      </c>
      <c r="F5702" s="1">
        <f>IFERROR(__xludf.DUMMYFUNCTION("""COMPUTED_VALUE"""),6.03411008E8)</f>
        <v>603411008</v>
      </c>
    </row>
    <row r="5703">
      <c r="A5703" s="2">
        <f>IFERROR(__xludf.DUMMYFUNCTION("""COMPUTED_VALUE"""),39638.666666666664)</f>
        <v>39638.66667</v>
      </c>
      <c r="B5703" s="1">
        <f>IFERROR(__xludf.DUMMYFUNCTION("""COMPUTED_VALUE"""),1273.38)</f>
        <v>1273.38</v>
      </c>
      <c r="C5703" s="1">
        <f>IFERROR(__xludf.DUMMYFUNCTION("""COMPUTED_VALUE"""),1277.36)</f>
        <v>1277.36</v>
      </c>
      <c r="D5703" s="1">
        <f>IFERROR(__xludf.DUMMYFUNCTION("""COMPUTED_VALUE"""),1244.61)</f>
        <v>1244.61</v>
      </c>
      <c r="E5703" s="1">
        <f>IFERROR(__xludf.DUMMYFUNCTION("""COMPUTED_VALUE"""),1244.69)</f>
        <v>1244.69</v>
      </c>
      <c r="F5703" s="1">
        <f>IFERROR(__xludf.DUMMYFUNCTION("""COMPUTED_VALUE"""),5.181E8)</f>
        <v>518100000</v>
      </c>
    </row>
    <row r="5704">
      <c r="A5704" s="2">
        <f>IFERROR(__xludf.DUMMYFUNCTION("""COMPUTED_VALUE"""),39639.666666666664)</f>
        <v>39639.66667</v>
      </c>
      <c r="B5704" s="1">
        <f>IFERROR(__xludf.DUMMYFUNCTION("""COMPUTED_VALUE"""),1245.25)</f>
        <v>1245.25</v>
      </c>
      <c r="C5704" s="1">
        <f>IFERROR(__xludf.DUMMYFUNCTION("""COMPUTED_VALUE"""),1257.64)</f>
        <v>1257.64</v>
      </c>
      <c r="D5704" s="1">
        <f>IFERROR(__xludf.DUMMYFUNCTION("""COMPUTED_VALUE"""),1236.76)</f>
        <v>1236.76</v>
      </c>
      <c r="E5704" s="1">
        <f>IFERROR(__xludf.DUMMYFUNCTION("""COMPUTED_VALUE"""),1253.39)</f>
        <v>1253.39</v>
      </c>
      <c r="F5704" s="1">
        <f>IFERROR(__xludf.DUMMYFUNCTION("""COMPUTED_VALUE"""),5.84043008E8)</f>
        <v>584043008</v>
      </c>
    </row>
    <row r="5705">
      <c r="A5705" s="2">
        <f>IFERROR(__xludf.DUMMYFUNCTION("""COMPUTED_VALUE"""),39640.666666666664)</f>
        <v>39640.66667</v>
      </c>
      <c r="B5705" s="1">
        <f>IFERROR(__xludf.DUMMYFUNCTION("""COMPUTED_VALUE"""),1248.66)</f>
        <v>1248.66</v>
      </c>
      <c r="C5705" s="1">
        <f>IFERROR(__xludf.DUMMYFUNCTION("""COMPUTED_VALUE"""),1257.27)</f>
        <v>1257.27</v>
      </c>
      <c r="D5705" s="1">
        <f>IFERROR(__xludf.DUMMYFUNCTION("""COMPUTED_VALUE"""),1225.35)</f>
        <v>1225.35</v>
      </c>
      <c r="E5705" s="1">
        <f>IFERROR(__xludf.DUMMYFUNCTION("""COMPUTED_VALUE"""),1239.49)</f>
        <v>1239.49</v>
      </c>
      <c r="F5705" s="1">
        <f>IFERROR(__xludf.DUMMYFUNCTION("""COMPUTED_VALUE"""),6.74220032E8)</f>
        <v>674220032</v>
      </c>
    </row>
    <row r="5706">
      <c r="A5706" s="2">
        <f>IFERROR(__xludf.DUMMYFUNCTION("""COMPUTED_VALUE"""),39643.666666666664)</f>
        <v>39643.66667</v>
      </c>
      <c r="B5706" s="1">
        <f>IFERROR(__xludf.DUMMYFUNCTION("""COMPUTED_VALUE"""),1244.98)</f>
        <v>1244.98</v>
      </c>
      <c r="C5706" s="1">
        <f>IFERROR(__xludf.DUMMYFUNCTION("""COMPUTED_VALUE"""),1253.2)</f>
        <v>1253.2</v>
      </c>
      <c r="D5706" s="1">
        <f>IFERROR(__xludf.DUMMYFUNCTION("""COMPUTED_VALUE"""),1225.09)</f>
        <v>1225.09</v>
      </c>
      <c r="E5706" s="1">
        <f>IFERROR(__xludf.DUMMYFUNCTION("""COMPUTED_VALUE"""),1228.3)</f>
        <v>1228.3</v>
      </c>
      <c r="F5706" s="1">
        <f>IFERROR(__xludf.DUMMYFUNCTION("""COMPUTED_VALUE"""),5.43486016E8)</f>
        <v>543486016</v>
      </c>
    </row>
    <row r="5707">
      <c r="A5707" s="2">
        <f>IFERROR(__xludf.DUMMYFUNCTION("""COMPUTED_VALUE"""),39644.666666666664)</f>
        <v>39644.66667</v>
      </c>
      <c r="B5707" s="1">
        <f>IFERROR(__xludf.DUMMYFUNCTION("""COMPUTED_VALUE"""),1226.83)</f>
        <v>1226.83</v>
      </c>
      <c r="C5707" s="1">
        <f>IFERROR(__xludf.DUMMYFUNCTION("""COMPUTED_VALUE"""),1234.04)</f>
        <v>1234.04</v>
      </c>
      <c r="D5707" s="1">
        <f>IFERROR(__xludf.DUMMYFUNCTION("""COMPUTED_VALUE"""),1200.99)</f>
        <v>1200.99</v>
      </c>
      <c r="E5707" s="1">
        <f>IFERROR(__xludf.DUMMYFUNCTION("""COMPUTED_VALUE"""),1214.91)</f>
        <v>1214.91</v>
      </c>
      <c r="F5707" s="1">
        <f>IFERROR(__xludf.DUMMYFUNCTION("""COMPUTED_VALUE"""),3.36364E8)</f>
        <v>336364000</v>
      </c>
    </row>
    <row r="5708">
      <c r="A5708" s="2">
        <f>IFERROR(__xludf.DUMMYFUNCTION("""COMPUTED_VALUE"""),39645.666666666664)</f>
        <v>39645.66667</v>
      </c>
      <c r="B5708" s="1">
        <f>IFERROR(__xludf.DUMMYFUNCTION("""COMPUTED_VALUE"""),1214.65)</f>
        <v>1214.65</v>
      </c>
      <c r="C5708" s="1">
        <f>IFERROR(__xludf.DUMMYFUNCTION("""COMPUTED_VALUE"""),1245.36)</f>
        <v>1245.36</v>
      </c>
      <c r="D5708" s="1">
        <f>IFERROR(__xludf.DUMMYFUNCTION("""COMPUTED_VALUE"""),1211.91)</f>
        <v>1211.91</v>
      </c>
      <c r="E5708" s="1">
        <f>IFERROR(__xludf.DUMMYFUNCTION("""COMPUTED_VALUE"""),1245.36)</f>
        <v>1245.36</v>
      </c>
      <c r="F5708" s="1">
        <f>IFERROR(__xludf.DUMMYFUNCTION("""COMPUTED_VALUE"""),6.7386304E8)</f>
        <v>673863040</v>
      </c>
    </row>
    <row r="5709">
      <c r="A5709" s="2">
        <f>IFERROR(__xludf.DUMMYFUNCTION("""COMPUTED_VALUE"""),39646.666666666664)</f>
        <v>39646.66667</v>
      </c>
      <c r="B5709" s="1">
        <f>IFERROR(__xludf.DUMMYFUNCTION("""COMPUTED_VALUE"""),1246.31)</f>
        <v>1246.31</v>
      </c>
      <c r="C5709" s="1">
        <f>IFERROR(__xludf.DUMMYFUNCTION("""COMPUTED_VALUE"""),1262.31)</f>
        <v>1262.31</v>
      </c>
      <c r="D5709" s="1">
        <f>IFERROR(__xludf.DUMMYFUNCTION("""COMPUTED_VALUE"""),1241.65)</f>
        <v>1241.65</v>
      </c>
      <c r="E5709" s="1">
        <f>IFERROR(__xludf.DUMMYFUNCTION("""COMPUTED_VALUE"""),1260.32)</f>
        <v>1260.32</v>
      </c>
      <c r="F5709" s="1">
        <f>IFERROR(__xludf.DUMMYFUNCTION("""COMPUTED_VALUE"""),3.3652096E8)</f>
        <v>336520960</v>
      </c>
    </row>
    <row r="5710">
      <c r="A5710" s="2">
        <f>IFERROR(__xludf.DUMMYFUNCTION("""COMPUTED_VALUE"""),39647.666666666664)</f>
        <v>39647.66667</v>
      </c>
      <c r="B5710" s="1">
        <f>IFERROR(__xludf.DUMMYFUNCTION("""COMPUTED_VALUE"""),1258.63)</f>
        <v>1258.63</v>
      </c>
      <c r="C5710" s="1">
        <f>IFERROR(__xludf.DUMMYFUNCTION("""COMPUTED_VALUE"""),1262.23)</f>
        <v>1262.23</v>
      </c>
      <c r="D5710" s="1">
        <f>IFERROR(__xludf.DUMMYFUNCTION("""COMPUTED_VALUE"""),1251.81)</f>
        <v>1251.81</v>
      </c>
      <c r="E5710" s="1">
        <f>IFERROR(__xludf.DUMMYFUNCTION("""COMPUTED_VALUE"""),1260.68)</f>
        <v>1260.68</v>
      </c>
      <c r="F5710" s="1">
        <f>IFERROR(__xludf.DUMMYFUNCTION("""COMPUTED_VALUE"""),5.65328E8)</f>
        <v>565328000</v>
      </c>
    </row>
    <row r="5711">
      <c r="A5711" s="2">
        <f>IFERROR(__xludf.DUMMYFUNCTION("""COMPUTED_VALUE"""),39650.666666666664)</f>
        <v>39650.66667</v>
      </c>
      <c r="B5711" s="1">
        <f>IFERROR(__xludf.DUMMYFUNCTION("""COMPUTED_VALUE"""),1261.82)</f>
        <v>1261.82</v>
      </c>
      <c r="C5711" s="1">
        <f>IFERROR(__xludf.DUMMYFUNCTION("""COMPUTED_VALUE"""),1267.47)</f>
        <v>1267.47</v>
      </c>
      <c r="D5711" s="1">
        <f>IFERROR(__xludf.DUMMYFUNCTION("""COMPUTED_VALUE"""),1255.7)</f>
        <v>1255.7</v>
      </c>
      <c r="E5711" s="1">
        <f>IFERROR(__xludf.DUMMYFUNCTION("""COMPUTED_VALUE"""),1260.0)</f>
        <v>1260</v>
      </c>
      <c r="F5711" s="1">
        <f>IFERROR(__xludf.DUMMYFUNCTION("""COMPUTED_VALUE"""),4.63064E8)</f>
        <v>463064000</v>
      </c>
    </row>
    <row r="5712">
      <c r="A5712" s="2">
        <f>IFERROR(__xludf.DUMMYFUNCTION("""COMPUTED_VALUE"""),39651.666666666664)</f>
        <v>39651.66667</v>
      </c>
      <c r="B5712" s="1">
        <f>IFERROR(__xludf.DUMMYFUNCTION("""COMPUTED_VALUE"""),1257.08)</f>
        <v>1257.08</v>
      </c>
      <c r="C5712" s="1">
        <f>IFERROR(__xludf.DUMMYFUNCTION("""COMPUTED_VALUE"""),1277.42)</f>
        <v>1277.42</v>
      </c>
      <c r="D5712" s="1">
        <f>IFERROR(__xludf.DUMMYFUNCTION("""COMPUTED_VALUE"""),1249.19)</f>
        <v>1249.19</v>
      </c>
      <c r="E5712" s="1">
        <f>IFERROR(__xludf.DUMMYFUNCTION("""COMPUTED_VALUE"""),1277.0)</f>
        <v>1277</v>
      </c>
      <c r="F5712" s="1">
        <f>IFERROR(__xludf.DUMMYFUNCTION("""COMPUTED_VALUE"""),6.18022976E8)</f>
        <v>618022976</v>
      </c>
    </row>
    <row r="5713">
      <c r="A5713" s="2">
        <f>IFERROR(__xludf.DUMMYFUNCTION("""COMPUTED_VALUE"""),39652.666666666664)</f>
        <v>39652.66667</v>
      </c>
      <c r="B5713" s="1">
        <f>IFERROR(__xludf.DUMMYFUNCTION("""COMPUTED_VALUE"""),1278.87)</f>
        <v>1278.87</v>
      </c>
      <c r="C5713" s="1">
        <f>IFERROR(__xludf.DUMMYFUNCTION("""COMPUTED_VALUE"""),1291.17)</f>
        <v>1291.17</v>
      </c>
      <c r="D5713" s="1">
        <f>IFERROR(__xludf.DUMMYFUNCTION("""COMPUTED_VALUE"""),1276.28)</f>
        <v>1276.28</v>
      </c>
      <c r="E5713" s="1">
        <f>IFERROR(__xludf.DUMMYFUNCTION("""COMPUTED_VALUE"""),1282.19)</f>
        <v>1282.19</v>
      </c>
      <c r="F5713" s="1">
        <f>IFERROR(__xludf.DUMMYFUNCTION("""COMPUTED_VALUE"""),6.70582976E8)</f>
        <v>670582976</v>
      </c>
    </row>
    <row r="5714">
      <c r="A5714" s="2">
        <f>IFERROR(__xludf.DUMMYFUNCTION("""COMPUTED_VALUE"""),39653.666666666664)</f>
        <v>39653.66667</v>
      </c>
      <c r="B5714" s="1">
        <f>IFERROR(__xludf.DUMMYFUNCTION("""COMPUTED_VALUE"""),1283.22)</f>
        <v>1283.22</v>
      </c>
      <c r="C5714" s="1">
        <f>IFERROR(__xludf.DUMMYFUNCTION("""COMPUTED_VALUE"""),1283.22)</f>
        <v>1283.22</v>
      </c>
      <c r="D5714" s="1">
        <f>IFERROR(__xludf.DUMMYFUNCTION("""COMPUTED_VALUE"""),1251.63)</f>
        <v>1251.63</v>
      </c>
      <c r="E5714" s="1">
        <f>IFERROR(__xludf.DUMMYFUNCTION("""COMPUTED_VALUE"""),1252.54)</f>
        <v>1252.54</v>
      </c>
      <c r="F5714" s="1">
        <f>IFERROR(__xludf.DUMMYFUNCTION("""COMPUTED_VALUE"""),6.12798016E8)</f>
        <v>612798016</v>
      </c>
    </row>
    <row r="5715">
      <c r="A5715" s="2">
        <f>IFERROR(__xludf.DUMMYFUNCTION("""COMPUTED_VALUE"""),39654.666666666664)</f>
        <v>39654.66667</v>
      </c>
      <c r="B5715" s="1">
        <f>IFERROR(__xludf.DUMMYFUNCTION("""COMPUTED_VALUE"""),1253.51)</f>
        <v>1253.51</v>
      </c>
      <c r="C5715" s="1">
        <f>IFERROR(__xludf.DUMMYFUNCTION("""COMPUTED_VALUE"""),1262.92)</f>
        <v>1262.92</v>
      </c>
      <c r="D5715" s="1">
        <f>IFERROR(__xludf.DUMMYFUNCTION("""COMPUTED_VALUE"""),1251.75)</f>
        <v>1251.75</v>
      </c>
      <c r="E5715" s="1">
        <f>IFERROR(__xludf.DUMMYFUNCTION("""COMPUTED_VALUE"""),1257.76)</f>
        <v>1257.76</v>
      </c>
      <c r="F5715" s="1">
        <f>IFERROR(__xludf.DUMMYFUNCTION("""COMPUTED_VALUE"""),4.67256E8)</f>
        <v>467256000</v>
      </c>
    </row>
    <row r="5716">
      <c r="A5716" s="2">
        <f>IFERROR(__xludf.DUMMYFUNCTION("""COMPUTED_VALUE"""),39657.666666666664)</f>
        <v>39657.66667</v>
      </c>
      <c r="B5716" s="1">
        <f>IFERROR(__xludf.DUMMYFUNCTION("""COMPUTED_VALUE"""),1257.76)</f>
        <v>1257.76</v>
      </c>
      <c r="C5716" s="1">
        <f>IFERROR(__xludf.DUMMYFUNCTION("""COMPUTED_VALUE"""),1260.09)</f>
        <v>1260.09</v>
      </c>
      <c r="D5716" s="1">
        <f>IFERROR(__xludf.DUMMYFUNCTION("""COMPUTED_VALUE"""),1234.37)</f>
        <v>1234.37</v>
      </c>
      <c r="E5716" s="1">
        <f>IFERROR(__xludf.DUMMYFUNCTION("""COMPUTED_VALUE"""),1234.37)</f>
        <v>1234.37</v>
      </c>
      <c r="F5716" s="1">
        <f>IFERROR(__xludf.DUMMYFUNCTION("""COMPUTED_VALUE"""),4.28296E8)</f>
        <v>428296000</v>
      </c>
    </row>
    <row r="5717">
      <c r="A5717" s="2">
        <f>IFERROR(__xludf.DUMMYFUNCTION("""COMPUTED_VALUE"""),39658.666666666664)</f>
        <v>39658.66667</v>
      </c>
      <c r="B5717" s="1">
        <f>IFERROR(__xludf.DUMMYFUNCTION("""COMPUTED_VALUE"""),1236.38)</f>
        <v>1236.38</v>
      </c>
      <c r="C5717" s="1">
        <f>IFERROR(__xludf.DUMMYFUNCTION("""COMPUTED_VALUE"""),1263.2)</f>
        <v>1263.2</v>
      </c>
      <c r="D5717" s="1">
        <f>IFERROR(__xludf.DUMMYFUNCTION("""COMPUTED_VALUE"""),1236.38)</f>
        <v>1236.38</v>
      </c>
      <c r="E5717" s="1">
        <f>IFERROR(__xludf.DUMMYFUNCTION("""COMPUTED_VALUE"""),1263.2)</f>
        <v>1263.2</v>
      </c>
      <c r="F5717" s="1">
        <f>IFERROR(__xludf.DUMMYFUNCTION("""COMPUTED_VALUE"""),5.41424E8)</f>
        <v>541424000</v>
      </c>
    </row>
    <row r="5718">
      <c r="A5718" s="2">
        <f>IFERROR(__xludf.DUMMYFUNCTION("""COMPUTED_VALUE"""),39659.666666666664)</f>
        <v>39659.66667</v>
      </c>
      <c r="B5718" s="1">
        <f>IFERROR(__xludf.DUMMYFUNCTION("""COMPUTED_VALUE"""),1264.52)</f>
        <v>1264.52</v>
      </c>
      <c r="C5718" s="1">
        <f>IFERROR(__xludf.DUMMYFUNCTION("""COMPUTED_VALUE"""),1284.33)</f>
        <v>1284.33</v>
      </c>
      <c r="D5718" s="1">
        <f>IFERROR(__xludf.DUMMYFUNCTION("""COMPUTED_VALUE"""),1264.52)</f>
        <v>1264.52</v>
      </c>
      <c r="E5718" s="1">
        <f>IFERROR(__xludf.DUMMYFUNCTION("""COMPUTED_VALUE"""),1284.26)</f>
        <v>1284.26</v>
      </c>
      <c r="F5718" s="1">
        <f>IFERROR(__xludf.DUMMYFUNCTION("""COMPUTED_VALUE"""),5.63132992E8)</f>
        <v>563132992</v>
      </c>
    </row>
    <row r="5719">
      <c r="A5719" s="2">
        <f>IFERROR(__xludf.DUMMYFUNCTION("""COMPUTED_VALUE"""),39660.666666666664)</f>
        <v>39660.66667</v>
      </c>
      <c r="B5719" s="1">
        <f>IFERROR(__xludf.DUMMYFUNCTION("""COMPUTED_VALUE"""),1281.37)</f>
        <v>1281.37</v>
      </c>
      <c r="C5719" s="1">
        <f>IFERROR(__xludf.DUMMYFUNCTION("""COMPUTED_VALUE"""),1284.93)</f>
        <v>1284.93</v>
      </c>
      <c r="D5719" s="1">
        <f>IFERROR(__xludf.DUMMYFUNCTION("""COMPUTED_VALUE"""),1265.97)</f>
        <v>1265.97</v>
      </c>
      <c r="E5719" s="1">
        <f>IFERROR(__xludf.DUMMYFUNCTION("""COMPUTED_VALUE"""),1267.38)</f>
        <v>1267.38</v>
      </c>
      <c r="F5719" s="1">
        <f>IFERROR(__xludf.DUMMYFUNCTION("""COMPUTED_VALUE"""),5.34604992E8)</f>
        <v>534604992</v>
      </c>
    </row>
    <row r="5720">
      <c r="A5720" s="2">
        <f>IFERROR(__xludf.DUMMYFUNCTION("""COMPUTED_VALUE"""),39661.666666666664)</f>
        <v>39661.66667</v>
      </c>
      <c r="B5720" s="1">
        <f>IFERROR(__xludf.DUMMYFUNCTION("""COMPUTED_VALUE"""),1269.42)</f>
        <v>1269.42</v>
      </c>
      <c r="C5720" s="1">
        <f>IFERROR(__xludf.DUMMYFUNCTION("""COMPUTED_VALUE"""),1270.49)</f>
        <v>1270.49</v>
      </c>
      <c r="D5720" s="1">
        <f>IFERROR(__xludf.DUMMYFUNCTION("""COMPUTED_VALUE"""),1254.54)</f>
        <v>1254.54</v>
      </c>
      <c r="E5720" s="1">
        <f>IFERROR(__xludf.DUMMYFUNCTION("""COMPUTED_VALUE"""),1260.31)</f>
        <v>1260.31</v>
      </c>
      <c r="F5720" s="1">
        <f>IFERROR(__xludf.DUMMYFUNCTION("""COMPUTED_VALUE"""),4.68487008E8)</f>
        <v>468487008</v>
      </c>
    </row>
    <row r="5721">
      <c r="A5721" s="2">
        <f>IFERROR(__xludf.DUMMYFUNCTION("""COMPUTED_VALUE"""),39664.666666666664)</f>
        <v>39664.66667</v>
      </c>
      <c r="B5721" s="1">
        <f>IFERROR(__xludf.DUMMYFUNCTION("""COMPUTED_VALUE"""),1260.16)</f>
        <v>1260.16</v>
      </c>
      <c r="C5721" s="1">
        <f>IFERROR(__xludf.DUMMYFUNCTION("""COMPUTED_VALUE"""),1260.49)</f>
        <v>1260.49</v>
      </c>
      <c r="D5721" s="1">
        <f>IFERROR(__xludf.DUMMYFUNCTION("""COMPUTED_VALUE"""),1247.54)</f>
        <v>1247.54</v>
      </c>
      <c r="E5721" s="1">
        <f>IFERROR(__xludf.DUMMYFUNCTION("""COMPUTED_VALUE"""),1249.01)</f>
        <v>1249.01</v>
      </c>
      <c r="F5721" s="1">
        <f>IFERROR(__xludf.DUMMYFUNCTION("""COMPUTED_VALUE"""),4.56228E8)</f>
        <v>456228000</v>
      </c>
    </row>
    <row r="5722">
      <c r="A5722" s="2">
        <f>IFERROR(__xludf.DUMMYFUNCTION("""COMPUTED_VALUE"""),39665.666666666664)</f>
        <v>39665.66667</v>
      </c>
      <c r="B5722" s="1">
        <f>IFERROR(__xludf.DUMMYFUNCTION("""COMPUTED_VALUE"""),1254.87)</f>
        <v>1254.87</v>
      </c>
      <c r="C5722" s="1">
        <f>IFERROR(__xludf.DUMMYFUNCTION("""COMPUTED_VALUE"""),1284.88)</f>
        <v>1284.88</v>
      </c>
      <c r="D5722" s="1">
        <f>IFERROR(__xludf.DUMMYFUNCTION("""COMPUTED_VALUE"""),1254.67)</f>
        <v>1254.67</v>
      </c>
      <c r="E5722" s="1">
        <f>IFERROR(__xludf.DUMMYFUNCTION("""COMPUTED_VALUE"""),1284.88)</f>
        <v>1284.88</v>
      </c>
      <c r="F5722" s="1">
        <f>IFERROR(__xludf.DUMMYFUNCTION("""COMPUTED_VALUE"""),1.21931E8)</f>
        <v>121931000</v>
      </c>
    </row>
    <row r="5723">
      <c r="A5723" s="2">
        <f>IFERROR(__xludf.DUMMYFUNCTION("""COMPUTED_VALUE"""),39666.666666666664)</f>
        <v>39666.66667</v>
      </c>
      <c r="B5723" s="1">
        <f>IFERROR(__xludf.DUMMYFUNCTION("""COMPUTED_VALUE"""),1283.99)</f>
        <v>1283.99</v>
      </c>
      <c r="C5723" s="1">
        <f>IFERROR(__xludf.DUMMYFUNCTION("""COMPUTED_VALUE"""),1291.67)</f>
        <v>1291.67</v>
      </c>
      <c r="D5723" s="1">
        <f>IFERROR(__xludf.DUMMYFUNCTION("""COMPUTED_VALUE"""),1276.02)</f>
        <v>1276.02</v>
      </c>
      <c r="E5723" s="1">
        <f>IFERROR(__xludf.DUMMYFUNCTION("""COMPUTED_VALUE"""),1289.19)</f>
        <v>1289.19</v>
      </c>
      <c r="F5723" s="1">
        <f>IFERROR(__xludf.DUMMYFUNCTION("""COMPUTED_VALUE"""),4.87342016E8)</f>
        <v>487342016</v>
      </c>
    </row>
    <row r="5724">
      <c r="A5724" s="2">
        <f>IFERROR(__xludf.DUMMYFUNCTION("""COMPUTED_VALUE"""),39667.666666666664)</f>
        <v>39667.66667</v>
      </c>
      <c r="B5724" s="1">
        <f>IFERROR(__xludf.DUMMYFUNCTION("""COMPUTED_VALUE"""),1286.51)</f>
        <v>1286.51</v>
      </c>
      <c r="C5724" s="1">
        <f>IFERROR(__xludf.DUMMYFUNCTION("""COMPUTED_VALUE"""),1286.51)</f>
        <v>1286.51</v>
      </c>
      <c r="D5724" s="1">
        <f>IFERROR(__xludf.DUMMYFUNCTION("""COMPUTED_VALUE"""),1264.29)</f>
        <v>1264.29</v>
      </c>
      <c r="E5724" s="1">
        <f>IFERROR(__xludf.DUMMYFUNCTION("""COMPUTED_VALUE"""),1266.07)</f>
        <v>1266.07</v>
      </c>
      <c r="F5724" s="1">
        <f>IFERROR(__xludf.DUMMYFUNCTION("""COMPUTED_VALUE"""),5.31937984E8)</f>
        <v>531937984</v>
      </c>
    </row>
    <row r="5725">
      <c r="A5725" s="2">
        <f>IFERROR(__xludf.DUMMYFUNCTION("""COMPUTED_VALUE"""),39668.666666666664)</f>
        <v>39668.66667</v>
      </c>
      <c r="B5725" s="1">
        <f>IFERROR(__xludf.DUMMYFUNCTION("""COMPUTED_VALUE"""),1266.29)</f>
        <v>1266.29</v>
      </c>
      <c r="C5725" s="1">
        <f>IFERROR(__xludf.DUMMYFUNCTION("""COMPUTED_VALUE"""),1297.85)</f>
        <v>1297.85</v>
      </c>
      <c r="D5725" s="1">
        <f>IFERROR(__xludf.DUMMYFUNCTION("""COMPUTED_VALUE"""),1262.11)</f>
        <v>1262.11</v>
      </c>
      <c r="E5725" s="1">
        <f>IFERROR(__xludf.DUMMYFUNCTION("""COMPUTED_VALUE"""),1296.32)</f>
        <v>1296.32</v>
      </c>
      <c r="F5725" s="1">
        <f>IFERROR(__xludf.DUMMYFUNCTION("""COMPUTED_VALUE"""),4.96680992E8)</f>
        <v>496680992</v>
      </c>
    </row>
    <row r="5726">
      <c r="A5726" s="2">
        <f>IFERROR(__xludf.DUMMYFUNCTION("""COMPUTED_VALUE"""),39671.666666666664)</f>
        <v>39671.66667</v>
      </c>
      <c r="B5726" s="1">
        <f>IFERROR(__xludf.DUMMYFUNCTION("""COMPUTED_VALUE"""),1294.42)</f>
        <v>1294.42</v>
      </c>
      <c r="C5726" s="1">
        <f>IFERROR(__xludf.DUMMYFUNCTION("""COMPUTED_VALUE"""),1313.15)</f>
        <v>1313.15</v>
      </c>
      <c r="D5726" s="1">
        <f>IFERROR(__xludf.DUMMYFUNCTION("""COMPUTED_VALUE"""),1291.41)</f>
        <v>1291.41</v>
      </c>
      <c r="E5726" s="1">
        <f>IFERROR(__xludf.DUMMYFUNCTION("""COMPUTED_VALUE"""),1305.32)</f>
        <v>1305.32</v>
      </c>
      <c r="F5726" s="1">
        <f>IFERROR(__xludf.DUMMYFUNCTION("""COMPUTED_VALUE"""),5.06731008E8)</f>
        <v>506731008</v>
      </c>
    </row>
    <row r="5727">
      <c r="A5727" s="2">
        <f>IFERROR(__xludf.DUMMYFUNCTION("""COMPUTED_VALUE"""),39672.666666666664)</f>
        <v>39672.66667</v>
      </c>
      <c r="B5727" s="1">
        <f>IFERROR(__xludf.DUMMYFUNCTION("""COMPUTED_VALUE"""),1304.79)</f>
        <v>1304.79</v>
      </c>
      <c r="C5727" s="1">
        <f>IFERROR(__xludf.DUMMYFUNCTION("""COMPUTED_VALUE"""),1304.79)</f>
        <v>1304.79</v>
      </c>
      <c r="D5727" s="1">
        <f>IFERROR(__xludf.DUMMYFUNCTION("""COMPUTED_VALUE"""),1285.64)</f>
        <v>1285.64</v>
      </c>
      <c r="E5727" s="1">
        <f>IFERROR(__xludf.DUMMYFUNCTION("""COMPUTED_VALUE"""),1289.59)</f>
        <v>1289.59</v>
      </c>
      <c r="F5727" s="1">
        <f>IFERROR(__xludf.DUMMYFUNCTION("""COMPUTED_VALUE"""),4.71128992E8)</f>
        <v>471128992</v>
      </c>
    </row>
    <row r="5728">
      <c r="A5728" s="2">
        <f>IFERROR(__xludf.DUMMYFUNCTION("""COMPUTED_VALUE"""),39673.666666666664)</f>
        <v>39673.66667</v>
      </c>
      <c r="B5728" s="1">
        <f>IFERROR(__xludf.DUMMYFUNCTION("""COMPUTED_VALUE"""),1288.64)</f>
        <v>1288.64</v>
      </c>
      <c r="C5728" s="1">
        <f>IFERROR(__xludf.DUMMYFUNCTION("""COMPUTED_VALUE"""),1293.35)</f>
        <v>1293.35</v>
      </c>
      <c r="D5728" s="1">
        <f>IFERROR(__xludf.DUMMYFUNCTION("""COMPUTED_VALUE"""),1274.86)</f>
        <v>1274.86</v>
      </c>
      <c r="E5728" s="1">
        <f>IFERROR(__xludf.DUMMYFUNCTION("""COMPUTED_VALUE"""),1285.83)</f>
        <v>1285.83</v>
      </c>
      <c r="F5728" s="1">
        <f>IFERROR(__xludf.DUMMYFUNCTION("""COMPUTED_VALUE"""),4.7876E8)</f>
        <v>478760000</v>
      </c>
    </row>
    <row r="5729">
      <c r="A5729" s="2">
        <f>IFERROR(__xludf.DUMMYFUNCTION("""COMPUTED_VALUE"""),39674.666666666664)</f>
        <v>39674.66667</v>
      </c>
      <c r="B5729" s="1">
        <f>IFERROR(__xludf.DUMMYFUNCTION("""COMPUTED_VALUE"""),1282.11)</f>
        <v>1282.11</v>
      </c>
      <c r="C5729" s="1">
        <f>IFERROR(__xludf.DUMMYFUNCTION("""COMPUTED_VALUE"""),1299.5)</f>
        <v>1299.5</v>
      </c>
      <c r="D5729" s="1">
        <f>IFERROR(__xludf.DUMMYFUNCTION("""COMPUTED_VALUE"""),1277.12)</f>
        <v>1277.12</v>
      </c>
      <c r="E5729" s="1">
        <f>IFERROR(__xludf.DUMMYFUNCTION("""COMPUTED_VALUE"""),1292.93)</f>
        <v>1292.93</v>
      </c>
      <c r="F5729" s="1">
        <f>IFERROR(__xludf.DUMMYFUNCTION("""COMPUTED_VALUE"""),4.064E8)</f>
        <v>406400000</v>
      </c>
    </row>
    <row r="5730">
      <c r="A5730" s="2">
        <f>IFERROR(__xludf.DUMMYFUNCTION("""COMPUTED_VALUE"""),39675.666666666664)</f>
        <v>39675.66667</v>
      </c>
      <c r="B5730" s="1">
        <f>IFERROR(__xludf.DUMMYFUNCTION("""COMPUTED_VALUE"""),1293.85)</f>
        <v>1293.85</v>
      </c>
      <c r="C5730" s="1">
        <f>IFERROR(__xludf.DUMMYFUNCTION("""COMPUTED_VALUE"""),1301.62)</f>
        <v>1301.62</v>
      </c>
      <c r="D5730" s="1">
        <f>IFERROR(__xludf.DUMMYFUNCTION("""COMPUTED_VALUE"""),1291.01)</f>
        <v>1291.01</v>
      </c>
      <c r="E5730" s="1">
        <f>IFERROR(__xludf.DUMMYFUNCTION("""COMPUTED_VALUE"""),1298.2)</f>
        <v>1298.2</v>
      </c>
      <c r="F5730" s="1">
        <f>IFERROR(__xludf.DUMMYFUNCTION("""COMPUTED_VALUE"""),4.04182016E8)</f>
        <v>404182016</v>
      </c>
    </row>
    <row r="5731">
      <c r="A5731" s="2">
        <f>IFERROR(__xludf.DUMMYFUNCTION("""COMPUTED_VALUE"""),39678.666666666664)</f>
        <v>39678.66667</v>
      </c>
      <c r="B5731" s="1">
        <f>IFERROR(__xludf.DUMMYFUNCTION("""COMPUTED_VALUE"""),1298.14)</f>
        <v>1298.14</v>
      </c>
      <c r="C5731" s="1">
        <f>IFERROR(__xludf.DUMMYFUNCTION("""COMPUTED_VALUE"""),1300.06)</f>
        <v>1300.06</v>
      </c>
      <c r="D5731" s="1">
        <f>IFERROR(__xludf.DUMMYFUNCTION("""COMPUTED_VALUE"""),1274.51)</f>
        <v>1274.51</v>
      </c>
      <c r="E5731" s="1">
        <f>IFERROR(__xludf.DUMMYFUNCTION("""COMPUTED_VALUE"""),1278.6)</f>
        <v>1278.6</v>
      </c>
      <c r="F5731" s="1">
        <f>IFERROR(__xludf.DUMMYFUNCTION("""COMPUTED_VALUE"""),3.82928992E8)</f>
        <v>382928992</v>
      </c>
    </row>
    <row r="5732">
      <c r="A5732" s="2">
        <f>IFERROR(__xludf.DUMMYFUNCTION("""COMPUTED_VALUE"""),39679.666666666664)</f>
        <v>39679.66667</v>
      </c>
      <c r="B5732" s="1">
        <f>IFERROR(__xludf.DUMMYFUNCTION("""COMPUTED_VALUE"""),1276.65)</f>
        <v>1276.65</v>
      </c>
      <c r="C5732" s="1">
        <f>IFERROR(__xludf.DUMMYFUNCTION("""COMPUTED_VALUE"""),1276.65)</f>
        <v>1276.65</v>
      </c>
      <c r="D5732" s="1">
        <f>IFERROR(__xludf.DUMMYFUNCTION("""COMPUTED_VALUE"""),1263.11)</f>
        <v>1263.11</v>
      </c>
      <c r="E5732" s="1">
        <f>IFERROR(__xludf.DUMMYFUNCTION("""COMPUTED_VALUE"""),1266.69)</f>
        <v>1266.69</v>
      </c>
      <c r="F5732" s="1">
        <f>IFERROR(__xludf.DUMMYFUNCTION("""COMPUTED_VALUE"""),4.15976E8)</f>
        <v>415976000</v>
      </c>
    </row>
    <row r="5733">
      <c r="A5733" s="2">
        <f>IFERROR(__xludf.DUMMYFUNCTION("""COMPUTED_VALUE"""),39680.666666666664)</f>
        <v>39680.66667</v>
      </c>
      <c r="B5733" s="1">
        <f>IFERROR(__xludf.DUMMYFUNCTION("""COMPUTED_VALUE"""),1269.35)</f>
        <v>1269.35</v>
      </c>
      <c r="C5733" s="1">
        <f>IFERROR(__xludf.DUMMYFUNCTION("""COMPUTED_VALUE"""),1275.81)</f>
        <v>1275.81</v>
      </c>
      <c r="D5733" s="1">
        <f>IFERROR(__xludf.DUMMYFUNCTION("""COMPUTED_VALUE"""),1261.32)</f>
        <v>1261.32</v>
      </c>
      <c r="E5733" s="1">
        <f>IFERROR(__xludf.DUMMYFUNCTION("""COMPUTED_VALUE"""),1274.54)</f>
        <v>1274.54</v>
      </c>
      <c r="F5733" s="1">
        <f>IFERROR(__xludf.DUMMYFUNCTION("""COMPUTED_VALUE"""),4.55503008E8)</f>
        <v>455503008</v>
      </c>
    </row>
    <row r="5734">
      <c r="A5734" s="2">
        <f>IFERROR(__xludf.DUMMYFUNCTION("""COMPUTED_VALUE"""),39681.666666666664)</f>
        <v>39681.66667</v>
      </c>
      <c r="B5734" s="1">
        <f>IFERROR(__xludf.DUMMYFUNCTION("""COMPUTED_VALUE"""),1271.07)</f>
        <v>1271.07</v>
      </c>
      <c r="C5734" s="1">
        <f>IFERROR(__xludf.DUMMYFUNCTION("""COMPUTED_VALUE"""),1281.4)</f>
        <v>1281.4</v>
      </c>
      <c r="D5734" s="1">
        <f>IFERROR(__xludf.DUMMYFUNCTION("""COMPUTED_VALUE"""),1265.22)</f>
        <v>1265.22</v>
      </c>
      <c r="E5734" s="1">
        <f>IFERROR(__xludf.DUMMYFUNCTION("""COMPUTED_VALUE"""),1277.72)</f>
        <v>1277.72</v>
      </c>
      <c r="F5734" s="1">
        <f>IFERROR(__xludf.DUMMYFUNCTION("""COMPUTED_VALUE"""),4.03259008E8)</f>
        <v>403259008</v>
      </c>
    </row>
    <row r="5735">
      <c r="A5735" s="2">
        <f>IFERROR(__xludf.DUMMYFUNCTION("""COMPUTED_VALUE"""),39682.666666666664)</f>
        <v>39682.66667</v>
      </c>
      <c r="B5735" s="1">
        <f>IFERROR(__xludf.DUMMYFUNCTION("""COMPUTED_VALUE"""),1279.28)</f>
        <v>1279.28</v>
      </c>
      <c r="C5735" s="1">
        <f>IFERROR(__xludf.DUMMYFUNCTION("""COMPUTED_VALUE"""),1293.09)</f>
        <v>1293.09</v>
      </c>
      <c r="D5735" s="1">
        <f>IFERROR(__xludf.DUMMYFUNCTION("""COMPUTED_VALUE"""),1279.28)</f>
        <v>1279.28</v>
      </c>
      <c r="E5735" s="1">
        <f>IFERROR(__xludf.DUMMYFUNCTION("""COMPUTED_VALUE"""),1292.2)</f>
        <v>1292.2</v>
      </c>
      <c r="F5735" s="1">
        <f>IFERROR(__xludf.DUMMYFUNCTION("""COMPUTED_VALUE"""),3.74107008E8)</f>
        <v>374107008</v>
      </c>
    </row>
    <row r="5736">
      <c r="A5736" s="2">
        <f>IFERROR(__xludf.DUMMYFUNCTION("""COMPUTED_VALUE"""),39685.666666666664)</f>
        <v>39685.66667</v>
      </c>
      <c r="B5736" s="1">
        <f>IFERROR(__xludf.DUMMYFUNCTION("""COMPUTED_VALUE"""),1290.47)</f>
        <v>1290.47</v>
      </c>
      <c r="C5736" s="1">
        <f>IFERROR(__xludf.DUMMYFUNCTION("""COMPUTED_VALUE"""),1290.47)</f>
        <v>1290.47</v>
      </c>
      <c r="D5736" s="1">
        <f>IFERROR(__xludf.DUMMYFUNCTION("""COMPUTED_VALUE"""),1264.87)</f>
        <v>1264.87</v>
      </c>
      <c r="E5736" s="1">
        <f>IFERROR(__xludf.DUMMYFUNCTION("""COMPUTED_VALUE"""),1266.84)</f>
        <v>1266.84</v>
      </c>
      <c r="F5736" s="1">
        <f>IFERROR(__xludf.DUMMYFUNCTION("""COMPUTED_VALUE"""),3.4206E8)</f>
        <v>342060000</v>
      </c>
    </row>
    <row r="5737">
      <c r="A5737" s="2">
        <f>IFERROR(__xludf.DUMMYFUNCTION("""COMPUTED_VALUE"""),39686.666666666664)</f>
        <v>39686.66667</v>
      </c>
      <c r="B5737" s="1">
        <f>IFERROR(__xludf.DUMMYFUNCTION("""COMPUTED_VALUE"""),1267.03)</f>
        <v>1267.03</v>
      </c>
      <c r="C5737" s="1">
        <f>IFERROR(__xludf.DUMMYFUNCTION("""COMPUTED_VALUE"""),1275.65)</f>
        <v>1275.65</v>
      </c>
      <c r="D5737" s="1">
        <f>IFERROR(__xludf.DUMMYFUNCTION("""COMPUTED_VALUE"""),1263.21)</f>
        <v>1263.21</v>
      </c>
      <c r="E5737" s="1">
        <f>IFERROR(__xludf.DUMMYFUNCTION("""COMPUTED_VALUE"""),1271.51)</f>
        <v>1271.51</v>
      </c>
      <c r="F5737" s="1">
        <f>IFERROR(__xludf.DUMMYFUNCTION("""COMPUTED_VALUE"""),3.58756992E8)</f>
        <v>358756992</v>
      </c>
    </row>
    <row r="5738">
      <c r="A5738" s="2">
        <f>IFERROR(__xludf.DUMMYFUNCTION("""COMPUTED_VALUE"""),39687.666666666664)</f>
        <v>39687.66667</v>
      </c>
      <c r="B5738" s="1">
        <f>IFERROR(__xludf.DUMMYFUNCTION("""COMPUTED_VALUE"""),1271.82)</f>
        <v>1271.82</v>
      </c>
      <c r="C5738" s="1">
        <f>IFERROR(__xludf.DUMMYFUNCTION("""COMPUTED_VALUE"""),1285.05)</f>
        <v>1285.05</v>
      </c>
      <c r="D5738" s="1">
        <f>IFERROR(__xludf.DUMMYFUNCTION("""COMPUTED_VALUE"""),1270.03)</f>
        <v>1270.03</v>
      </c>
      <c r="E5738" s="1">
        <f>IFERROR(__xludf.DUMMYFUNCTION("""COMPUTED_VALUE"""),1281.66)</f>
        <v>1281.66</v>
      </c>
      <c r="F5738" s="1">
        <f>IFERROR(__xludf.DUMMYFUNCTION("""COMPUTED_VALUE"""),3.49960992E8)</f>
        <v>349960992</v>
      </c>
    </row>
    <row r="5739">
      <c r="A5739" s="2">
        <f>IFERROR(__xludf.DUMMYFUNCTION("""COMPUTED_VALUE"""),39688.666666666664)</f>
        <v>39688.66667</v>
      </c>
      <c r="B5739" s="1">
        <f>IFERROR(__xludf.DUMMYFUNCTION("""COMPUTED_VALUE"""),1283.79)</f>
        <v>1283.79</v>
      </c>
      <c r="C5739" s="1">
        <f>IFERROR(__xludf.DUMMYFUNCTION("""COMPUTED_VALUE"""),1300.68)</f>
        <v>1300.68</v>
      </c>
      <c r="D5739" s="1">
        <f>IFERROR(__xludf.DUMMYFUNCTION("""COMPUTED_VALUE"""),1283.79)</f>
        <v>1283.79</v>
      </c>
      <c r="E5739" s="1">
        <f>IFERROR(__xludf.DUMMYFUNCTION("""COMPUTED_VALUE"""),1300.68)</f>
        <v>1300.68</v>
      </c>
      <c r="F5739" s="1">
        <f>IFERROR(__xludf.DUMMYFUNCTION("""COMPUTED_VALUE"""),3.85428E8)</f>
        <v>385428000</v>
      </c>
    </row>
    <row r="5740">
      <c r="A5740" s="2">
        <f>IFERROR(__xludf.DUMMYFUNCTION("""COMPUTED_VALUE"""),39689.666666666664)</f>
        <v>39689.66667</v>
      </c>
      <c r="B5740" s="1">
        <f>IFERROR(__xludf.DUMMYFUNCTION("""COMPUTED_VALUE"""),1296.49)</f>
        <v>1296.49</v>
      </c>
      <c r="C5740" s="1">
        <f>IFERROR(__xludf.DUMMYFUNCTION("""COMPUTED_VALUE"""),1297.5)</f>
        <v>1297.5</v>
      </c>
      <c r="D5740" s="1">
        <f>IFERROR(__xludf.DUMMYFUNCTION("""COMPUTED_VALUE"""),1282.74)</f>
        <v>1282.74</v>
      </c>
      <c r="E5740" s="1">
        <f>IFERROR(__xludf.DUMMYFUNCTION("""COMPUTED_VALUE"""),1282.83)</f>
        <v>1282.83</v>
      </c>
      <c r="F5740" s="1">
        <f>IFERROR(__xludf.DUMMYFUNCTION("""COMPUTED_VALUE"""),3.28812E8)</f>
        <v>328812000</v>
      </c>
    </row>
    <row r="5741">
      <c r="A5741" s="2">
        <f>IFERROR(__xludf.DUMMYFUNCTION("""COMPUTED_VALUE"""),39693.666666666664)</f>
        <v>39693.66667</v>
      </c>
      <c r="B5741" s="1">
        <f>IFERROR(__xludf.DUMMYFUNCTION("""COMPUTED_VALUE"""),1287.83)</f>
        <v>1287.83</v>
      </c>
      <c r="C5741" s="1">
        <f>IFERROR(__xludf.DUMMYFUNCTION("""COMPUTED_VALUE"""),1303.04)</f>
        <v>1303.04</v>
      </c>
      <c r="D5741" s="1">
        <f>IFERROR(__xludf.DUMMYFUNCTION("""COMPUTED_VALUE"""),1272.2)</f>
        <v>1272.2</v>
      </c>
      <c r="E5741" s="1">
        <f>IFERROR(__xludf.DUMMYFUNCTION("""COMPUTED_VALUE"""),1277.58)</f>
        <v>1277.58</v>
      </c>
      <c r="F5741" s="1">
        <f>IFERROR(__xludf.DUMMYFUNCTION("""COMPUTED_VALUE"""),4.78356E8)</f>
        <v>478356000</v>
      </c>
    </row>
    <row r="5742">
      <c r="A5742" s="2">
        <f>IFERROR(__xludf.DUMMYFUNCTION("""COMPUTED_VALUE"""),39694.666666666664)</f>
        <v>39694.66667</v>
      </c>
      <c r="B5742" s="1">
        <f>IFERROR(__xludf.DUMMYFUNCTION("""COMPUTED_VALUE"""),1276.61)</f>
        <v>1276.61</v>
      </c>
      <c r="C5742" s="1">
        <f>IFERROR(__xludf.DUMMYFUNCTION("""COMPUTED_VALUE"""),1280.6)</f>
        <v>1280.6</v>
      </c>
      <c r="D5742" s="1">
        <f>IFERROR(__xludf.DUMMYFUNCTION("""COMPUTED_VALUE"""),1265.76)</f>
        <v>1265.76</v>
      </c>
      <c r="E5742" s="1">
        <f>IFERROR(__xludf.DUMMYFUNCTION("""COMPUTED_VALUE"""),1274.98)</f>
        <v>1274.98</v>
      </c>
      <c r="F5742" s="1">
        <f>IFERROR(__xludf.DUMMYFUNCTION("""COMPUTED_VALUE"""),5.05697984E8)</f>
        <v>505697984</v>
      </c>
    </row>
    <row r="5743">
      <c r="A5743" s="2">
        <f>IFERROR(__xludf.DUMMYFUNCTION("""COMPUTED_VALUE"""),39695.666666666664)</f>
        <v>39695.66667</v>
      </c>
      <c r="B5743" s="1">
        <f>IFERROR(__xludf.DUMMYFUNCTION("""COMPUTED_VALUE"""),1271.8)</f>
        <v>1271.8</v>
      </c>
      <c r="C5743" s="1">
        <f>IFERROR(__xludf.DUMMYFUNCTION("""COMPUTED_VALUE"""),1271.8)</f>
        <v>1271.8</v>
      </c>
      <c r="D5743" s="1">
        <f>IFERROR(__xludf.DUMMYFUNCTION("""COMPUTED_VALUE"""),1232.83)</f>
        <v>1232.83</v>
      </c>
      <c r="E5743" s="1">
        <f>IFERROR(__xludf.DUMMYFUNCTION("""COMPUTED_VALUE"""),1236.83)</f>
        <v>1236.83</v>
      </c>
      <c r="F5743" s="1">
        <f>IFERROR(__xludf.DUMMYFUNCTION("""COMPUTED_VALUE"""),5.21249984E8)</f>
        <v>521249984</v>
      </c>
    </row>
    <row r="5744">
      <c r="A5744" s="2">
        <f>IFERROR(__xludf.DUMMYFUNCTION("""COMPUTED_VALUE"""),39696.666666666664)</f>
        <v>39696.66667</v>
      </c>
      <c r="B5744" s="1">
        <f>IFERROR(__xludf.DUMMYFUNCTION("""COMPUTED_VALUE"""),1233.21)</f>
        <v>1233.21</v>
      </c>
      <c r="C5744" s="1">
        <f>IFERROR(__xludf.DUMMYFUNCTION("""COMPUTED_VALUE"""),1244.94)</f>
        <v>1244.94</v>
      </c>
      <c r="D5744" s="1">
        <f>IFERROR(__xludf.DUMMYFUNCTION("""COMPUTED_VALUE"""),1217.23)</f>
        <v>1217.23</v>
      </c>
      <c r="E5744" s="1">
        <f>IFERROR(__xludf.DUMMYFUNCTION("""COMPUTED_VALUE"""),1242.31)</f>
        <v>1242.31</v>
      </c>
      <c r="F5744" s="1">
        <f>IFERROR(__xludf.DUMMYFUNCTION("""COMPUTED_VALUE"""),5.01708E8)</f>
        <v>501708000</v>
      </c>
    </row>
    <row r="5745">
      <c r="A5745" s="2">
        <f>IFERROR(__xludf.DUMMYFUNCTION("""COMPUTED_VALUE"""),39699.666666666664)</f>
        <v>39699.66667</v>
      </c>
      <c r="B5745" s="1">
        <f>IFERROR(__xludf.DUMMYFUNCTION("""COMPUTED_VALUE"""),1249.5)</f>
        <v>1249.5</v>
      </c>
      <c r="C5745" s="1">
        <f>IFERROR(__xludf.DUMMYFUNCTION("""COMPUTED_VALUE"""),1274.33)</f>
        <v>1274.33</v>
      </c>
      <c r="D5745" s="1">
        <f>IFERROR(__xludf.DUMMYFUNCTION("""COMPUTED_VALUE"""),1247.12)</f>
        <v>1247.12</v>
      </c>
      <c r="E5745" s="1">
        <f>IFERROR(__xludf.DUMMYFUNCTION("""COMPUTED_VALUE"""),1267.79)</f>
        <v>1267.79</v>
      </c>
      <c r="F5745" s="1">
        <f>IFERROR(__xludf.DUMMYFUNCTION("""COMPUTED_VALUE"""),3.35134016E8)</f>
        <v>335134016</v>
      </c>
    </row>
    <row r="5746">
      <c r="A5746" s="2">
        <f>IFERROR(__xludf.DUMMYFUNCTION("""COMPUTED_VALUE"""),39700.666666666664)</f>
        <v>39700.66667</v>
      </c>
      <c r="B5746" s="1">
        <f>IFERROR(__xludf.DUMMYFUNCTION("""COMPUTED_VALUE"""),1267.98)</f>
        <v>1267.98</v>
      </c>
      <c r="C5746" s="1">
        <f>IFERROR(__xludf.DUMMYFUNCTION("""COMPUTED_VALUE"""),1268.59)</f>
        <v>1268.59</v>
      </c>
      <c r="D5746" s="1">
        <f>IFERROR(__xludf.DUMMYFUNCTION("""COMPUTED_VALUE"""),1224.51)</f>
        <v>1224.51</v>
      </c>
      <c r="E5746" s="1">
        <f>IFERROR(__xludf.DUMMYFUNCTION("""COMPUTED_VALUE"""),1224.51)</f>
        <v>1224.51</v>
      </c>
      <c r="F5746" s="1">
        <f>IFERROR(__xludf.DUMMYFUNCTION("""COMPUTED_VALUE"""),3.3806304E8)</f>
        <v>338063040</v>
      </c>
    </row>
    <row r="5747">
      <c r="A5747" s="2">
        <f>IFERROR(__xludf.DUMMYFUNCTION("""COMPUTED_VALUE"""),39701.666666666664)</f>
        <v>39701.66667</v>
      </c>
      <c r="B5747" s="1">
        <f>IFERROR(__xludf.DUMMYFUNCTION("""COMPUTED_VALUE"""),1227.5)</f>
        <v>1227.5</v>
      </c>
      <c r="C5747" s="1">
        <f>IFERROR(__xludf.DUMMYFUNCTION("""COMPUTED_VALUE"""),1243.9)</f>
        <v>1243.9</v>
      </c>
      <c r="D5747" s="1">
        <f>IFERROR(__xludf.DUMMYFUNCTION("""COMPUTED_VALUE"""),1221.6)</f>
        <v>1221.6</v>
      </c>
      <c r="E5747" s="1">
        <f>IFERROR(__xludf.DUMMYFUNCTION("""COMPUTED_VALUE"""),1232.04)</f>
        <v>1232.04</v>
      </c>
      <c r="F5747" s="1">
        <f>IFERROR(__xludf.DUMMYFUNCTION("""COMPUTED_VALUE"""),6.54344E8)</f>
        <v>654344000</v>
      </c>
    </row>
    <row r="5748">
      <c r="A5748" s="2">
        <f>IFERROR(__xludf.DUMMYFUNCTION("""COMPUTED_VALUE"""),39702.666666666664)</f>
        <v>39702.66667</v>
      </c>
      <c r="B5748" s="1">
        <f>IFERROR(__xludf.DUMMYFUNCTION("""COMPUTED_VALUE"""),1229.04)</f>
        <v>1229.04</v>
      </c>
      <c r="C5748" s="1">
        <f>IFERROR(__xludf.DUMMYFUNCTION("""COMPUTED_VALUE"""),1249.83)</f>
        <v>1249.83</v>
      </c>
      <c r="D5748" s="1">
        <f>IFERROR(__xludf.DUMMYFUNCTION("""COMPUTED_VALUE"""),1211.82)</f>
        <v>1211.82</v>
      </c>
      <c r="E5748" s="1">
        <f>IFERROR(__xludf.DUMMYFUNCTION("""COMPUTED_VALUE"""),1249.05)</f>
        <v>1249.05</v>
      </c>
      <c r="F5748" s="1">
        <f>IFERROR(__xludf.DUMMYFUNCTION("""COMPUTED_VALUE"""),6.86924928E8)</f>
        <v>686924928</v>
      </c>
    </row>
    <row r="5749">
      <c r="A5749" s="2">
        <f>IFERROR(__xludf.DUMMYFUNCTION("""COMPUTED_VALUE"""),39703.666666666664)</f>
        <v>39703.66667</v>
      </c>
      <c r="B5749" s="1">
        <f>IFERROR(__xludf.DUMMYFUNCTION("""COMPUTED_VALUE"""),1245.88)</f>
        <v>1245.88</v>
      </c>
      <c r="C5749" s="1">
        <f>IFERROR(__xludf.DUMMYFUNCTION("""COMPUTED_VALUE"""),1255.09)</f>
        <v>1255.09</v>
      </c>
      <c r="D5749" s="1">
        <f>IFERROR(__xludf.DUMMYFUNCTION("""COMPUTED_VALUE"""),1233.81)</f>
        <v>1233.81</v>
      </c>
      <c r="E5749" s="1">
        <f>IFERROR(__xludf.DUMMYFUNCTION("""COMPUTED_VALUE"""),1251.7)</f>
        <v>1251.7</v>
      </c>
      <c r="F5749" s="1">
        <f>IFERROR(__xludf.DUMMYFUNCTION("""COMPUTED_VALUE"""),6.27326016E8)</f>
        <v>627326016</v>
      </c>
    </row>
    <row r="5750">
      <c r="A5750" s="2">
        <f>IFERROR(__xludf.DUMMYFUNCTION("""COMPUTED_VALUE"""),39706.666666666664)</f>
        <v>39706.66667</v>
      </c>
      <c r="B5750" s="1">
        <f>IFERROR(__xludf.DUMMYFUNCTION("""COMPUTED_VALUE"""),1250.92)</f>
        <v>1250.92</v>
      </c>
      <c r="C5750" s="1">
        <f>IFERROR(__xludf.DUMMYFUNCTION("""COMPUTED_VALUE"""),1250.92)</f>
        <v>1250.92</v>
      </c>
      <c r="D5750" s="1">
        <f>IFERROR(__xludf.DUMMYFUNCTION("""COMPUTED_VALUE"""),1192.7)</f>
        <v>1192.7</v>
      </c>
      <c r="E5750" s="1">
        <f>IFERROR(__xludf.DUMMYFUNCTION("""COMPUTED_VALUE"""),1192.7)</f>
        <v>1192.7</v>
      </c>
      <c r="F5750" s="1">
        <f>IFERROR(__xludf.DUMMYFUNCTION("""COMPUTED_VALUE"""),3.2795104E8)</f>
        <v>327951040</v>
      </c>
    </row>
    <row r="5751">
      <c r="A5751" s="2">
        <f>IFERROR(__xludf.DUMMYFUNCTION("""COMPUTED_VALUE"""),39707.666666666664)</f>
        <v>39707.66667</v>
      </c>
      <c r="B5751" s="1">
        <f>IFERROR(__xludf.DUMMYFUNCTION("""COMPUTED_VALUE"""),1188.31)</f>
        <v>1188.31</v>
      </c>
      <c r="C5751" s="1">
        <f>IFERROR(__xludf.DUMMYFUNCTION("""COMPUTED_VALUE"""),1214.07)</f>
        <v>1214.07</v>
      </c>
      <c r="D5751" s="1">
        <f>IFERROR(__xludf.DUMMYFUNCTION("""COMPUTED_VALUE"""),1169.28)</f>
        <v>1169.28</v>
      </c>
      <c r="E5751" s="1">
        <f>IFERROR(__xludf.DUMMYFUNCTION("""COMPUTED_VALUE"""),1213.6)</f>
        <v>1213.6</v>
      </c>
      <c r="F5751" s="1">
        <f>IFERROR(__xludf.DUMMYFUNCTION("""COMPUTED_VALUE"""),4.4598304E8)</f>
        <v>445983040</v>
      </c>
    </row>
    <row r="5752">
      <c r="A5752" s="2">
        <f>IFERROR(__xludf.DUMMYFUNCTION("""COMPUTED_VALUE"""),39708.666666666664)</f>
        <v>39708.66667</v>
      </c>
      <c r="B5752" s="1">
        <f>IFERROR(__xludf.DUMMYFUNCTION("""COMPUTED_VALUE"""),1210.34)</f>
        <v>1210.34</v>
      </c>
      <c r="C5752" s="1">
        <f>IFERROR(__xludf.DUMMYFUNCTION("""COMPUTED_VALUE"""),1210.34)</f>
        <v>1210.34</v>
      </c>
      <c r="D5752" s="1">
        <f>IFERROR(__xludf.DUMMYFUNCTION("""COMPUTED_VALUE"""),1155.88)</f>
        <v>1155.88</v>
      </c>
      <c r="E5752" s="1">
        <f>IFERROR(__xludf.DUMMYFUNCTION("""COMPUTED_VALUE"""),1156.39)</f>
        <v>1156.39</v>
      </c>
      <c r="F5752" s="1">
        <f>IFERROR(__xludf.DUMMYFUNCTION("""COMPUTED_VALUE"""),4.4318704E8)</f>
        <v>443187040</v>
      </c>
    </row>
    <row r="5753">
      <c r="A5753" s="2">
        <f>IFERROR(__xludf.DUMMYFUNCTION("""COMPUTED_VALUE"""),39709.666666666664)</f>
        <v>39709.66667</v>
      </c>
      <c r="B5753" s="1">
        <f>IFERROR(__xludf.DUMMYFUNCTION("""COMPUTED_VALUE"""),1157.08)</f>
        <v>1157.08</v>
      </c>
      <c r="C5753" s="1">
        <f>IFERROR(__xludf.DUMMYFUNCTION("""COMPUTED_VALUE"""),1209.82)</f>
        <v>1209.82</v>
      </c>
      <c r="D5753" s="1">
        <f>IFERROR(__xludf.DUMMYFUNCTION("""COMPUTED_VALUE"""),1133.5)</f>
        <v>1133.5</v>
      </c>
      <c r="E5753" s="1">
        <f>IFERROR(__xludf.DUMMYFUNCTION("""COMPUTED_VALUE"""),1206.51)</f>
        <v>1206.51</v>
      </c>
      <c r="F5753" s="1">
        <f>IFERROR(__xludf.DUMMYFUNCTION("""COMPUTED_VALUE"""),1.00826896E8)</f>
        <v>100826896</v>
      </c>
    </row>
    <row r="5754">
      <c r="A5754" s="2">
        <f>IFERROR(__xludf.DUMMYFUNCTION("""COMPUTED_VALUE"""),39710.666666666664)</f>
        <v>39710.66667</v>
      </c>
      <c r="B5754" s="1">
        <f>IFERROR(__xludf.DUMMYFUNCTION("""COMPUTED_VALUE"""),1213.11)</f>
        <v>1213.11</v>
      </c>
      <c r="C5754" s="1">
        <f>IFERROR(__xludf.DUMMYFUNCTION("""COMPUTED_VALUE"""),1264.46)</f>
        <v>1264.46</v>
      </c>
      <c r="D5754" s="1">
        <f>IFERROR(__xludf.DUMMYFUNCTION("""COMPUTED_VALUE"""),1213.11)</f>
        <v>1213.11</v>
      </c>
      <c r="E5754" s="1">
        <f>IFERROR(__xludf.DUMMYFUNCTION("""COMPUTED_VALUE"""),1255.08)</f>
        <v>1255.08</v>
      </c>
      <c r="F5754" s="1">
        <f>IFERROR(__xludf.DUMMYFUNCTION("""COMPUTED_VALUE"""),4.3871696E8)</f>
        <v>438716960</v>
      </c>
    </row>
    <row r="5755">
      <c r="A5755" s="2">
        <f>IFERROR(__xludf.DUMMYFUNCTION("""COMPUTED_VALUE"""),39713.666666666664)</f>
        <v>39713.66667</v>
      </c>
      <c r="B5755" s="1">
        <f>IFERROR(__xludf.DUMMYFUNCTION("""COMPUTED_VALUE"""),1255.37)</f>
        <v>1255.37</v>
      </c>
      <c r="C5755" s="1">
        <f>IFERROR(__xludf.DUMMYFUNCTION("""COMPUTED_VALUE"""),1255.37)</f>
        <v>1255.37</v>
      </c>
      <c r="D5755" s="1">
        <f>IFERROR(__xludf.DUMMYFUNCTION("""COMPUTED_VALUE"""),1205.88)</f>
        <v>1205.88</v>
      </c>
      <c r="E5755" s="1">
        <f>IFERROR(__xludf.DUMMYFUNCTION("""COMPUTED_VALUE"""),1207.09)</f>
        <v>1207.09</v>
      </c>
      <c r="F5755" s="1">
        <f>IFERROR(__xludf.DUMMYFUNCTION("""COMPUTED_VALUE"""),5.33212992E8)</f>
        <v>533212992</v>
      </c>
    </row>
    <row r="5756">
      <c r="A5756" s="2">
        <f>IFERROR(__xludf.DUMMYFUNCTION("""COMPUTED_VALUE"""),39714.666666666664)</f>
        <v>39714.66667</v>
      </c>
      <c r="B5756" s="1">
        <f>IFERROR(__xludf.DUMMYFUNCTION("""COMPUTED_VALUE"""),1207.61)</f>
        <v>1207.61</v>
      </c>
      <c r="C5756" s="1">
        <f>IFERROR(__xludf.DUMMYFUNCTION("""COMPUTED_VALUE"""),1221.15)</f>
        <v>1221.15</v>
      </c>
      <c r="D5756" s="1">
        <f>IFERROR(__xludf.DUMMYFUNCTION("""COMPUTED_VALUE"""),1187.44)</f>
        <v>1187.44</v>
      </c>
      <c r="E5756" s="1">
        <f>IFERROR(__xludf.DUMMYFUNCTION("""COMPUTED_VALUE"""),1188.22)</f>
        <v>1188.22</v>
      </c>
      <c r="F5756" s="1">
        <f>IFERROR(__xludf.DUMMYFUNCTION("""COMPUTED_VALUE"""),5.18572992E8)</f>
        <v>518572992</v>
      </c>
    </row>
    <row r="5757">
      <c r="A5757" s="2">
        <f>IFERROR(__xludf.DUMMYFUNCTION("""COMPUTED_VALUE"""),39715.666666666664)</f>
        <v>39715.66667</v>
      </c>
      <c r="B5757" s="1">
        <f>IFERROR(__xludf.DUMMYFUNCTION("""COMPUTED_VALUE"""),1188.79)</f>
        <v>1188.79</v>
      </c>
      <c r="C5757" s="1">
        <f>IFERROR(__xludf.DUMMYFUNCTION("""COMPUTED_VALUE"""),1197.41)</f>
        <v>1197.41</v>
      </c>
      <c r="D5757" s="1">
        <f>IFERROR(__xludf.DUMMYFUNCTION("""COMPUTED_VALUE"""),1180.71)</f>
        <v>1180.71</v>
      </c>
      <c r="E5757" s="1">
        <f>IFERROR(__xludf.DUMMYFUNCTION("""COMPUTED_VALUE"""),1185.87)</f>
        <v>1185.87</v>
      </c>
      <c r="F5757" s="1">
        <f>IFERROR(__xludf.DUMMYFUNCTION("""COMPUTED_VALUE"""),4.82036E8)</f>
        <v>482036000</v>
      </c>
    </row>
    <row r="5758">
      <c r="A5758" s="2">
        <f>IFERROR(__xludf.DUMMYFUNCTION("""COMPUTED_VALUE"""),39716.666666666664)</f>
        <v>39716.66667</v>
      </c>
      <c r="B5758" s="1">
        <f>IFERROR(__xludf.DUMMYFUNCTION("""COMPUTED_VALUE"""),1187.87)</f>
        <v>1187.87</v>
      </c>
      <c r="C5758" s="1">
        <f>IFERROR(__xludf.DUMMYFUNCTION("""COMPUTED_VALUE"""),1220.03)</f>
        <v>1220.03</v>
      </c>
      <c r="D5758" s="1">
        <f>IFERROR(__xludf.DUMMYFUNCTION("""COMPUTED_VALUE"""),1187.87)</f>
        <v>1187.87</v>
      </c>
      <c r="E5758" s="1">
        <f>IFERROR(__xludf.DUMMYFUNCTION("""COMPUTED_VALUE"""),1209.18)</f>
        <v>1209.18</v>
      </c>
      <c r="F5758" s="1">
        <f>IFERROR(__xludf.DUMMYFUNCTION("""COMPUTED_VALUE"""),5.87763968E8)</f>
        <v>587763968</v>
      </c>
    </row>
    <row r="5759">
      <c r="A5759" s="2">
        <f>IFERROR(__xludf.DUMMYFUNCTION("""COMPUTED_VALUE"""),39717.666666666664)</f>
        <v>39717.66667</v>
      </c>
      <c r="B5759" s="1">
        <f>IFERROR(__xludf.DUMMYFUNCTION("""COMPUTED_VALUE"""),1194.21)</f>
        <v>1194.21</v>
      </c>
      <c r="C5759" s="1">
        <f>IFERROR(__xludf.DUMMYFUNCTION("""COMPUTED_VALUE"""),1215.41)</f>
        <v>1215.41</v>
      </c>
      <c r="D5759" s="1">
        <f>IFERROR(__xludf.DUMMYFUNCTION("""COMPUTED_VALUE"""),1188.05)</f>
        <v>1188.05</v>
      </c>
      <c r="E5759" s="1">
        <f>IFERROR(__xludf.DUMMYFUNCTION("""COMPUTED_VALUE"""),1213.27)</f>
        <v>1213.27</v>
      </c>
      <c r="F5759" s="1">
        <f>IFERROR(__xludf.DUMMYFUNCTION("""COMPUTED_VALUE"""),5.38361024E8)</f>
        <v>538361024</v>
      </c>
    </row>
    <row r="5760">
      <c r="A5760" s="2">
        <f>IFERROR(__xludf.DUMMYFUNCTION("""COMPUTED_VALUE"""),39720.666666666664)</f>
        <v>39720.66667</v>
      </c>
      <c r="B5760" s="1">
        <f>IFERROR(__xludf.DUMMYFUNCTION("""COMPUTED_VALUE"""),1195.18)</f>
        <v>1195.18</v>
      </c>
      <c r="C5760" s="1">
        <f>IFERROR(__xludf.DUMMYFUNCTION("""COMPUTED_VALUE"""),1195.18)</f>
        <v>1195.18</v>
      </c>
      <c r="D5760" s="1">
        <f>IFERROR(__xludf.DUMMYFUNCTION("""COMPUTED_VALUE"""),1106.42)</f>
        <v>1106.42</v>
      </c>
      <c r="E5760" s="1">
        <f>IFERROR(__xludf.DUMMYFUNCTION("""COMPUTED_VALUE"""),1106.42)</f>
        <v>1106.42</v>
      </c>
      <c r="F5760" s="1">
        <f>IFERROR(__xludf.DUMMYFUNCTION("""COMPUTED_VALUE"""),3.30505984E8)</f>
        <v>330505984</v>
      </c>
    </row>
    <row r="5761">
      <c r="A5761" s="2">
        <f>IFERROR(__xludf.DUMMYFUNCTION("""COMPUTED_VALUE"""),39721.666666666664)</f>
        <v>39721.66667</v>
      </c>
      <c r="B5761" s="1">
        <f>IFERROR(__xludf.DUMMYFUNCTION("""COMPUTED_VALUE"""),1126.45)</f>
        <v>1126.45</v>
      </c>
      <c r="C5761" s="1">
        <f>IFERROR(__xludf.DUMMYFUNCTION("""COMPUTED_VALUE"""),1167.66)</f>
        <v>1167.66</v>
      </c>
      <c r="D5761" s="1">
        <f>IFERROR(__xludf.DUMMYFUNCTION("""COMPUTED_VALUE"""),1126.45)</f>
        <v>1126.45</v>
      </c>
      <c r="E5761" s="1">
        <f>IFERROR(__xludf.DUMMYFUNCTION("""COMPUTED_VALUE"""),1164.74)</f>
        <v>1164.74</v>
      </c>
      <c r="F5761" s="1">
        <f>IFERROR(__xludf.DUMMYFUNCTION("""COMPUTED_VALUE"""),4.93768E8)</f>
        <v>493768000</v>
      </c>
    </row>
    <row r="5762">
      <c r="A5762" s="2">
        <f>IFERROR(__xludf.DUMMYFUNCTION("""COMPUTED_VALUE"""),39722.666666666664)</f>
        <v>39722.66667</v>
      </c>
      <c r="B5762" s="1">
        <f>IFERROR(__xludf.DUMMYFUNCTION("""COMPUTED_VALUE"""),1157.54)</f>
        <v>1157.54</v>
      </c>
      <c r="C5762" s="1">
        <f>IFERROR(__xludf.DUMMYFUNCTION("""COMPUTED_VALUE"""),1166.4)</f>
        <v>1166.4</v>
      </c>
      <c r="D5762" s="1">
        <f>IFERROR(__xludf.DUMMYFUNCTION("""COMPUTED_VALUE"""),1141.44)</f>
        <v>1141.44</v>
      </c>
      <c r="E5762" s="1">
        <f>IFERROR(__xludf.DUMMYFUNCTION("""COMPUTED_VALUE"""),1161.06)</f>
        <v>1161.06</v>
      </c>
      <c r="F5762" s="1">
        <f>IFERROR(__xludf.DUMMYFUNCTION("""COMPUTED_VALUE"""),5.78212992E8)</f>
        <v>578212992</v>
      </c>
    </row>
    <row r="5763">
      <c r="A5763" s="2">
        <f>IFERROR(__xludf.DUMMYFUNCTION("""COMPUTED_VALUE"""),39723.666666666664)</f>
        <v>39723.66667</v>
      </c>
      <c r="B5763" s="1">
        <f>IFERROR(__xludf.DUMMYFUNCTION("""COMPUTED_VALUE"""),1150.68)</f>
        <v>1150.68</v>
      </c>
      <c r="C5763" s="1">
        <f>IFERROR(__xludf.DUMMYFUNCTION("""COMPUTED_VALUE"""),1150.68)</f>
        <v>1150.68</v>
      </c>
      <c r="D5763" s="1">
        <f>IFERROR(__xludf.DUMMYFUNCTION("""COMPUTED_VALUE"""),1112.11)</f>
        <v>1112.11</v>
      </c>
      <c r="E5763" s="1">
        <f>IFERROR(__xludf.DUMMYFUNCTION("""COMPUTED_VALUE"""),1114.28)</f>
        <v>1114.28</v>
      </c>
      <c r="F5763" s="1">
        <f>IFERROR(__xludf.DUMMYFUNCTION("""COMPUTED_VALUE"""),6.28563968E8)</f>
        <v>628563968</v>
      </c>
    </row>
    <row r="5764">
      <c r="A5764" s="2">
        <f>IFERROR(__xludf.DUMMYFUNCTION("""COMPUTED_VALUE"""),39724.666666666664)</f>
        <v>39724.66667</v>
      </c>
      <c r="B5764" s="1">
        <f>IFERROR(__xludf.DUMMYFUNCTION("""COMPUTED_VALUE"""),1126.26)</f>
        <v>1126.26</v>
      </c>
      <c r="C5764" s="1">
        <f>IFERROR(__xludf.DUMMYFUNCTION("""COMPUTED_VALUE"""),1153.82)</f>
        <v>1153.82</v>
      </c>
      <c r="D5764" s="1">
        <f>IFERROR(__xludf.DUMMYFUNCTION("""COMPUTED_VALUE"""),1099.23)</f>
        <v>1099.23</v>
      </c>
      <c r="E5764" s="1">
        <f>IFERROR(__xludf.DUMMYFUNCTION("""COMPUTED_VALUE"""),1099.23)</f>
        <v>1099.23</v>
      </c>
      <c r="F5764" s="1">
        <f>IFERROR(__xludf.DUMMYFUNCTION("""COMPUTED_VALUE"""),6.71612032E8)</f>
        <v>671612032</v>
      </c>
    </row>
    <row r="5765">
      <c r="A5765" s="2">
        <f>IFERROR(__xludf.DUMMYFUNCTION("""COMPUTED_VALUE"""),39727.666666666664)</f>
        <v>39727.66667</v>
      </c>
      <c r="B5765" s="1">
        <f>IFERROR(__xludf.DUMMYFUNCTION("""COMPUTED_VALUE"""),1097.56)</f>
        <v>1097.56</v>
      </c>
      <c r="C5765" s="1">
        <f>IFERROR(__xludf.DUMMYFUNCTION("""COMPUTED_VALUE"""),1097.56)</f>
        <v>1097.56</v>
      </c>
      <c r="D5765" s="1">
        <f>IFERROR(__xludf.DUMMYFUNCTION("""COMPUTED_VALUE"""),1008.93)</f>
        <v>1008.93</v>
      </c>
      <c r="E5765" s="1">
        <f>IFERROR(__xludf.DUMMYFUNCTION("""COMPUTED_VALUE"""),1056.89)</f>
        <v>1056.89</v>
      </c>
      <c r="F5765" s="1">
        <f>IFERROR(__xludf.DUMMYFUNCTION("""COMPUTED_VALUE"""),3.95601984E8)</f>
        <v>395601984</v>
      </c>
    </row>
    <row r="5766">
      <c r="A5766" s="2">
        <f>IFERROR(__xludf.DUMMYFUNCTION("""COMPUTED_VALUE"""),39728.666666666664)</f>
        <v>39728.66667</v>
      </c>
      <c r="B5766" s="1">
        <f>IFERROR(__xludf.DUMMYFUNCTION("""COMPUTED_VALUE"""),1064.97)</f>
        <v>1064.97</v>
      </c>
      <c r="C5766" s="1">
        <f>IFERROR(__xludf.DUMMYFUNCTION("""COMPUTED_VALUE"""),1067.72)</f>
        <v>1067.72</v>
      </c>
      <c r="D5766" s="1">
        <f>IFERROR(__xludf.DUMMYFUNCTION("""COMPUTED_VALUE"""),996.23)</f>
        <v>996.23</v>
      </c>
      <c r="E5766" s="1">
        <f>IFERROR(__xludf.DUMMYFUNCTION("""COMPUTED_VALUE"""),996.23)</f>
        <v>996.23</v>
      </c>
      <c r="F5766" s="1">
        <f>IFERROR(__xludf.DUMMYFUNCTION("""COMPUTED_VALUE"""),3.0692096E8)</f>
        <v>306920960</v>
      </c>
    </row>
    <row r="5767">
      <c r="A5767" s="2">
        <f>IFERROR(__xludf.DUMMYFUNCTION("""COMPUTED_VALUE"""),39729.666666666664)</f>
        <v>39729.66667</v>
      </c>
      <c r="B5767" s="1">
        <f>IFERROR(__xludf.DUMMYFUNCTION("""COMPUTED_VALUE"""),988.91)</f>
        <v>988.91</v>
      </c>
      <c r="C5767" s="1">
        <f>IFERROR(__xludf.DUMMYFUNCTION("""COMPUTED_VALUE"""),1019.08)</f>
        <v>1019.08</v>
      </c>
      <c r="D5767" s="1">
        <f>IFERROR(__xludf.DUMMYFUNCTION("""COMPUTED_VALUE"""),972.16)</f>
        <v>972.16</v>
      </c>
      <c r="E5767" s="1">
        <f>IFERROR(__xludf.DUMMYFUNCTION("""COMPUTED_VALUE"""),984.94)</f>
        <v>984.94</v>
      </c>
      <c r="F5767" s="1">
        <f>IFERROR(__xludf.DUMMYFUNCTION("""COMPUTED_VALUE"""),3.7163296E8)</f>
        <v>371632960</v>
      </c>
    </row>
    <row r="5768">
      <c r="A5768" s="2">
        <f>IFERROR(__xludf.DUMMYFUNCTION("""COMPUTED_VALUE"""),39730.666666666664)</f>
        <v>39730.66667</v>
      </c>
      <c r="B5768" s="1">
        <f>IFERROR(__xludf.DUMMYFUNCTION("""COMPUTED_VALUE"""),995.77)</f>
        <v>995.77</v>
      </c>
      <c r="C5768" s="1">
        <f>IFERROR(__xludf.DUMMYFUNCTION("""COMPUTED_VALUE"""),1003.87)</f>
        <v>1003.87</v>
      </c>
      <c r="D5768" s="1">
        <f>IFERROR(__xludf.DUMMYFUNCTION("""COMPUTED_VALUE"""),909.92)</f>
        <v>909.92</v>
      </c>
      <c r="E5768" s="1">
        <f>IFERROR(__xludf.DUMMYFUNCTION("""COMPUTED_VALUE"""),909.92)</f>
        <v>909.92</v>
      </c>
      <c r="F5768" s="1">
        <f>IFERROR(__xludf.DUMMYFUNCTION("""COMPUTED_VALUE"""),6.81900032E8)</f>
        <v>681900032</v>
      </c>
    </row>
    <row r="5769">
      <c r="A5769" s="2">
        <f>IFERROR(__xludf.DUMMYFUNCTION("""COMPUTED_VALUE"""),39731.666666666664)</f>
        <v>39731.66667</v>
      </c>
      <c r="B5769" s="1">
        <f>IFERROR(__xludf.DUMMYFUNCTION("""COMPUTED_VALUE"""),846.7)</f>
        <v>846.7</v>
      </c>
      <c r="C5769" s="1">
        <f>IFERROR(__xludf.DUMMYFUNCTION("""COMPUTED_VALUE"""),926.47)</f>
        <v>926.47</v>
      </c>
      <c r="D5769" s="1">
        <f>IFERROR(__xludf.DUMMYFUNCTION("""COMPUTED_VALUE"""),844.05)</f>
        <v>844.05</v>
      </c>
      <c r="E5769" s="1">
        <f>IFERROR(__xludf.DUMMYFUNCTION("""COMPUTED_VALUE"""),899.22)</f>
        <v>899.22</v>
      </c>
      <c r="F5769" s="1">
        <f>IFERROR(__xludf.DUMMYFUNCTION("""COMPUTED_VALUE"""),1.14562304E8)</f>
        <v>114562304</v>
      </c>
    </row>
    <row r="5770">
      <c r="A5770" s="2">
        <f>IFERROR(__xludf.DUMMYFUNCTION("""COMPUTED_VALUE"""),39734.666666666664)</f>
        <v>39734.66667</v>
      </c>
      <c r="B5770" s="1">
        <f>IFERROR(__xludf.DUMMYFUNCTION("""COMPUTED_VALUE"""),921.28)</f>
        <v>921.28</v>
      </c>
      <c r="C5770" s="1">
        <f>IFERROR(__xludf.DUMMYFUNCTION("""COMPUTED_VALUE"""),1005.78)</f>
        <v>1005.78</v>
      </c>
      <c r="D5770" s="1">
        <f>IFERROR(__xludf.DUMMYFUNCTION("""COMPUTED_VALUE"""),921.28)</f>
        <v>921.28</v>
      </c>
      <c r="E5770" s="1">
        <f>IFERROR(__xludf.DUMMYFUNCTION("""COMPUTED_VALUE"""),1003.35)</f>
        <v>1003.35</v>
      </c>
      <c r="F5770" s="1">
        <f>IFERROR(__xludf.DUMMYFUNCTION("""COMPUTED_VALUE"""),3.2633696E8)</f>
        <v>326336960</v>
      </c>
    </row>
    <row r="5771">
      <c r="A5771" s="2">
        <f>IFERROR(__xludf.DUMMYFUNCTION("""COMPUTED_VALUE"""),39735.666666666664)</f>
        <v>39735.66667</v>
      </c>
      <c r="B5771" s="1">
        <f>IFERROR(__xludf.DUMMYFUNCTION("""COMPUTED_VALUE"""),1038.37)</f>
        <v>1038.37</v>
      </c>
      <c r="C5771" s="1">
        <f>IFERROR(__xludf.DUMMYFUNCTION("""COMPUTED_VALUE"""),1043.95)</f>
        <v>1043.95</v>
      </c>
      <c r="D5771" s="1">
        <f>IFERROR(__xludf.DUMMYFUNCTION("""COMPUTED_VALUE"""),972.97)</f>
        <v>972.97</v>
      </c>
      <c r="E5771" s="1">
        <f>IFERROR(__xludf.DUMMYFUNCTION("""COMPUTED_VALUE"""),998.01)</f>
        <v>998.01</v>
      </c>
      <c r="F5771" s="1">
        <f>IFERROR(__xludf.DUMMYFUNCTION("""COMPUTED_VALUE"""),3.1619904E8)</f>
        <v>316199040</v>
      </c>
    </row>
    <row r="5772">
      <c r="A5772" s="2">
        <f>IFERROR(__xludf.DUMMYFUNCTION("""COMPUTED_VALUE"""),39736.666666666664)</f>
        <v>39736.66667</v>
      </c>
      <c r="B5772" s="1">
        <f>IFERROR(__xludf.DUMMYFUNCTION("""COMPUTED_VALUE"""),976.08)</f>
        <v>976.08</v>
      </c>
      <c r="C5772" s="1">
        <f>IFERROR(__xludf.DUMMYFUNCTION("""COMPUTED_VALUE"""),976.08)</f>
        <v>976.08</v>
      </c>
      <c r="D5772" s="1">
        <f>IFERROR(__xludf.DUMMYFUNCTION("""COMPUTED_VALUE"""),906.64)</f>
        <v>906.64</v>
      </c>
      <c r="E5772" s="1">
        <f>IFERROR(__xludf.DUMMYFUNCTION("""COMPUTED_VALUE"""),907.84)</f>
        <v>907.84</v>
      </c>
      <c r="F5772" s="1">
        <f>IFERROR(__xludf.DUMMYFUNCTION("""COMPUTED_VALUE"""),6.54233024E8)</f>
        <v>654233024</v>
      </c>
    </row>
    <row r="5773">
      <c r="A5773" s="2">
        <f>IFERROR(__xludf.DUMMYFUNCTION("""COMPUTED_VALUE"""),39737.666666666664)</f>
        <v>39737.66667</v>
      </c>
      <c r="B5773" s="1">
        <f>IFERROR(__xludf.DUMMYFUNCTION("""COMPUTED_VALUE"""),912.77)</f>
        <v>912.77</v>
      </c>
      <c r="C5773" s="1">
        <f>IFERROR(__xludf.DUMMYFUNCTION("""COMPUTED_VALUE"""),946.43)</f>
        <v>946.43</v>
      </c>
      <c r="D5773" s="1">
        <f>IFERROR(__xludf.DUMMYFUNCTION("""COMPUTED_VALUE"""),866.67)</f>
        <v>866.67</v>
      </c>
      <c r="E5773" s="1">
        <f>IFERROR(__xludf.DUMMYFUNCTION("""COMPUTED_VALUE"""),946.43)</f>
        <v>946.43</v>
      </c>
      <c r="F5773" s="1">
        <f>IFERROR(__xludf.DUMMYFUNCTION("""COMPUTED_VALUE"""),3.98449984E8)</f>
        <v>398449984</v>
      </c>
    </row>
    <row r="5774">
      <c r="A5774" s="2">
        <f>IFERROR(__xludf.DUMMYFUNCTION("""COMPUTED_VALUE"""),39738.666666666664)</f>
        <v>39738.66667</v>
      </c>
      <c r="B5774" s="1">
        <f>IFERROR(__xludf.DUMMYFUNCTION("""COMPUTED_VALUE"""),923.27)</f>
        <v>923.27</v>
      </c>
      <c r="C5774" s="1">
        <f>IFERROR(__xludf.DUMMYFUNCTION("""COMPUTED_VALUE"""),983.36)</f>
        <v>983.36</v>
      </c>
      <c r="D5774" s="1">
        <f>IFERROR(__xludf.DUMMYFUNCTION("""COMPUTED_VALUE"""),922.08)</f>
        <v>922.08</v>
      </c>
      <c r="E5774" s="1">
        <f>IFERROR(__xludf.DUMMYFUNCTION("""COMPUTED_VALUE"""),940.55)</f>
        <v>940.55</v>
      </c>
      <c r="F5774" s="1">
        <f>IFERROR(__xludf.DUMMYFUNCTION("""COMPUTED_VALUE"""),6.58177984E8)</f>
        <v>658177984</v>
      </c>
    </row>
    <row r="5775">
      <c r="A5775" s="2">
        <f>IFERROR(__xludf.DUMMYFUNCTION("""COMPUTED_VALUE"""),39741.666666666664)</f>
        <v>39741.66667</v>
      </c>
      <c r="B5775" s="1">
        <f>IFERROR(__xludf.DUMMYFUNCTION("""COMPUTED_VALUE"""),949.6)</f>
        <v>949.6</v>
      </c>
      <c r="C5775" s="1">
        <f>IFERROR(__xludf.DUMMYFUNCTION("""COMPUTED_VALUE"""),985.4)</f>
        <v>985.4</v>
      </c>
      <c r="D5775" s="1">
        <f>IFERROR(__xludf.DUMMYFUNCTION("""COMPUTED_VALUE"""),946.52)</f>
        <v>946.52</v>
      </c>
      <c r="E5775" s="1">
        <f>IFERROR(__xludf.DUMMYFUNCTION("""COMPUTED_VALUE"""),985.4)</f>
        <v>985.4</v>
      </c>
      <c r="F5775" s="1">
        <f>IFERROR(__xludf.DUMMYFUNCTION("""COMPUTED_VALUE"""),5.17564E8)</f>
        <v>517564000</v>
      </c>
    </row>
    <row r="5776">
      <c r="A5776" s="2">
        <f>IFERROR(__xludf.DUMMYFUNCTION("""COMPUTED_VALUE"""),39742.666666666664)</f>
        <v>39742.66667</v>
      </c>
      <c r="B5776" s="1">
        <f>IFERROR(__xludf.DUMMYFUNCTION("""COMPUTED_VALUE"""),969.0)</f>
        <v>969</v>
      </c>
      <c r="C5776" s="1">
        <f>IFERROR(__xludf.DUMMYFUNCTION("""COMPUTED_VALUE"""),983.26)</f>
        <v>983.26</v>
      </c>
      <c r="D5776" s="1">
        <f>IFERROR(__xludf.DUMMYFUNCTION("""COMPUTED_VALUE"""),954.42)</f>
        <v>954.42</v>
      </c>
      <c r="E5776" s="1">
        <f>IFERROR(__xludf.DUMMYFUNCTION("""COMPUTED_VALUE"""),955.05)</f>
        <v>955.05</v>
      </c>
      <c r="F5776" s="1">
        <f>IFERROR(__xludf.DUMMYFUNCTION("""COMPUTED_VALUE"""),5.12183008E8)</f>
        <v>512183008</v>
      </c>
    </row>
    <row r="5777">
      <c r="A5777" s="2">
        <f>IFERROR(__xludf.DUMMYFUNCTION("""COMPUTED_VALUE"""),39743.666666666664)</f>
        <v>39743.66667</v>
      </c>
      <c r="B5777" s="1">
        <f>IFERROR(__xludf.DUMMYFUNCTION("""COMPUTED_VALUE"""),934.04)</f>
        <v>934.04</v>
      </c>
      <c r="C5777" s="1">
        <f>IFERROR(__xludf.DUMMYFUNCTION("""COMPUTED_VALUE"""),934.54)</f>
        <v>934.54</v>
      </c>
      <c r="D5777" s="1">
        <f>IFERROR(__xludf.DUMMYFUNCTION("""COMPUTED_VALUE"""),879.12)</f>
        <v>879.12</v>
      </c>
      <c r="E5777" s="1">
        <f>IFERROR(__xludf.DUMMYFUNCTION("""COMPUTED_VALUE"""),896.78)</f>
        <v>896.78</v>
      </c>
      <c r="F5777" s="1">
        <f>IFERROR(__xludf.DUMMYFUNCTION("""COMPUTED_VALUE"""),6.14798016E8)</f>
        <v>614798016</v>
      </c>
    </row>
    <row r="5778">
      <c r="A5778" s="2">
        <f>IFERROR(__xludf.DUMMYFUNCTION("""COMPUTED_VALUE"""),39744.666666666664)</f>
        <v>39744.66667</v>
      </c>
      <c r="B5778" s="1">
        <f>IFERROR(__xludf.DUMMYFUNCTION("""COMPUTED_VALUE"""),902.52)</f>
        <v>902.52</v>
      </c>
      <c r="C5778" s="1">
        <f>IFERROR(__xludf.DUMMYFUNCTION("""COMPUTED_VALUE"""),918.76)</f>
        <v>918.76</v>
      </c>
      <c r="D5778" s="1">
        <f>IFERROR(__xludf.DUMMYFUNCTION("""COMPUTED_VALUE"""),862.9)</f>
        <v>862.9</v>
      </c>
      <c r="E5778" s="1">
        <f>IFERROR(__xludf.DUMMYFUNCTION("""COMPUTED_VALUE"""),908.11)</f>
        <v>908.11</v>
      </c>
      <c r="F5778" s="1">
        <f>IFERROR(__xludf.DUMMYFUNCTION("""COMPUTED_VALUE"""),3.18417984E8)</f>
        <v>318417984</v>
      </c>
    </row>
    <row r="5779">
      <c r="A5779" s="2">
        <f>IFERROR(__xludf.DUMMYFUNCTION("""COMPUTED_VALUE"""),39745.666666666664)</f>
        <v>39745.66667</v>
      </c>
      <c r="B5779" s="1">
        <f>IFERROR(__xludf.DUMMYFUNCTION("""COMPUTED_VALUE"""),877.66)</f>
        <v>877.66</v>
      </c>
      <c r="C5779" s="1">
        <f>IFERROR(__xludf.DUMMYFUNCTION("""COMPUTED_VALUE"""),896.3)</f>
        <v>896.3</v>
      </c>
      <c r="D5779" s="1">
        <f>IFERROR(__xludf.DUMMYFUNCTION("""COMPUTED_VALUE"""),854.81)</f>
        <v>854.81</v>
      </c>
      <c r="E5779" s="1">
        <f>IFERROR(__xludf.DUMMYFUNCTION("""COMPUTED_VALUE"""),876.77)</f>
        <v>876.77</v>
      </c>
      <c r="F5779" s="1">
        <f>IFERROR(__xludf.DUMMYFUNCTION("""COMPUTED_VALUE"""),6.55004992E8)</f>
        <v>655004992</v>
      </c>
    </row>
    <row r="5780">
      <c r="A5780" s="2">
        <f>IFERROR(__xludf.DUMMYFUNCTION("""COMPUTED_VALUE"""),39748.666666666664)</f>
        <v>39748.66667</v>
      </c>
      <c r="B5780" s="1">
        <f>IFERROR(__xludf.DUMMYFUNCTION("""COMPUTED_VALUE"""),867.57)</f>
        <v>867.57</v>
      </c>
      <c r="C5780" s="1">
        <f>IFERROR(__xludf.DUMMYFUNCTION("""COMPUTED_VALUE"""),892.62)</f>
        <v>892.62</v>
      </c>
      <c r="D5780" s="1">
        <f>IFERROR(__xludf.DUMMYFUNCTION("""COMPUTED_VALUE"""),848.09)</f>
        <v>848.09</v>
      </c>
      <c r="E5780" s="1">
        <f>IFERROR(__xludf.DUMMYFUNCTION("""COMPUTED_VALUE"""),848.92)</f>
        <v>848.92</v>
      </c>
      <c r="F5780" s="1">
        <f>IFERROR(__xludf.DUMMYFUNCTION("""COMPUTED_VALUE"""),5.55804992E8)</f>
        <v>555804992</v>
      </c>
    </row>
    <row r="5781">
      <c r="A5781" s="2">
        <f>IFERROR(__xludf.DUMMYFUNCTION("""COMPUTED_VALUE"""),39749.666666666664)</f>
        <v>39749.66667</v>
      </c>
      <c r="B5781" s="1">
        <f>IFERROR(__xludf.DUMMYFUNCTION("""COMPUTED_VALUE"""),872.97)</f>
        <v>872.97</v>
      </c>
      <c r="C5781" s="1">
        <f>IFERROR(__xludf.DUMMYFUNCTION("""COMPUTED_VALUE"""),940.51)</f>
        <v>940.51</v>
      </c>
      <c r="D5781" s="1">
        <f>IFERROR(__xludf.DUMMYFUNCTION("""COMPUTED_VALUE"""),848.28)</f>
        <v>848.28</v>
      </c>
      <c r="E5781" s="1">
        <f>IFERROR(__xludf.DUMMYFUNCTION("""COMPUTED_VALUE"""),940.51)</f>
        <v>940.51</v>
      </c>
      <c r="F5781" s="1">
        <f>IFERROR(__xludf.DUMMYFUNCTION("""COMPUTED_VALUE"""),3.0969504E8)</f>
        <v>309695040</v>
      </c>
    </row>
    <row r="5782">
      <c r="A5782" s="2">
        <f>IFERROR(__xludf.DUMMYFUNCTION("""COMPUTED_VALUE"""),39750.666666666664)</f>
        <v>39750.66667</v>
      </c>
      <c r="B5782" s="1">
        <f>IFERROR(__xludf.DUMMYFUNCTION("""COMPUTED_VALUE"""),939.51)</f>
        <v>939.51</v>
      </c>
      <c r="C5782" s="1">
        <f>IFERROR(__xludf.DUMMYFUNCTION("""COMPUTED_VALUE"""),967.81)</f>
        <v>967.81</v>
      </c>
      <c r="D5782" s="1">
        <f>IFERROR(__xludf.DUMMYFUNCTION("""COMPUTED_VALUE"""),927.9)</f>
        <v>927.9</v>
      </c>
      <c r="E5782" s="1">
        <f>IFERROR(__xludf.DUMMYFUNCTION("""COMPUTED_VALUE"""),930.09)</f>
        <v>930.09</v>
      </c>
      <c r="F5782" s="1">
        <f>IFERROR(__xludf.DUMMYFUNCTION("""COMPUTED_VALUE"""),3.0778E8)</f>
        <v>307780000</v>
      </c>
    </row>
    <row r="5783">
      <c r="A5783" s="2">
        <f>IFERROR(__xludf.DUMMYFUNCTION("""COMPUTED_VALUE"""),39751.666666666664)</f>
        <v>39751.66667</v>
      </c>
      <c r="B5783" s="1">
        <f>IFERROR(__xludf.DUMMYFUNCTION("""COMPUTED_VALUE"""),939.38)</f>
        <v>939.38</v>
      </c>
      <c r="C5783" s="1">
        <f>IFERROR(__xludf.DUMMYFUNCTION("""COMPUTED_VALUE"""),961.96)</f>
        <v>961.96</v>
      </c>
      <c r="D5783" s="1">
        <f>IFERROR(__xludf.DUMMYFUNCTION("""COMPUTED_VALUE"""),930.2)</f>
        <v>930.2</v>
      </c>
      <c r="E5783" s="1">
        <f>IFERROR(__xludf.DUMMYFUNCTION("""COMPUTED_VALUE"""),954.09)</f>
        <v>954.09</v>
      </c>
      <c r="F5783" s="1">
        <f>IFERROR(__xludf.DUMMYFUNCTION("""COMPUTED_VALUE"""),6.17582976E8)</f>
        <v>617582976</v>
      </c>
    </row>
    <row r="5784">
      <c r="A5784" s="2">
        <f>IFERROR(__xludf.DUMMYFUNCTION("""COMPUTED_VALUE"""),39752.666666666664)</f>
        <v>39752.66667</v>
      </c>
      <c r="B5784" s="1">
        <f>IFERROR(__xludf.DUMMYFUNCTION("""COMPUTED_VALUE"""),949.27)</f>
        <v>949.27</v>
      </c>
      <c r="C5784" s="1">
        <f>IFERROR(__xludf.DUMMYFUNCTION("""COMPUTED_VALUE"""),983.87)</f>
        <v>983.87</v>
      </c>
      <c r="D5784" s="1">
        <f>IFERROR(__xludf.DUMMYFUNCTION("""COMPUTED_VALUE"""),945.14)</f>
        <v>945.14</v>
      </c>
      <c r="E5784" s="1">
        <f>IFERROR(__xludf.DUMMYFUNCTION("""COMPUTED_VALUE"""),968.75)</f>
        <v>968.75</v>
      </c>
      <c r="F5784" s="1">
        <f>IFERROR(__xludf.DUMMYFUNCTION("""COMPUTED_VALUE"""),6.39435008E8)</f>
        <v>639435008</v>
      </c>
    </row>
    <row r="5785">
      <c r="A5785" s="2">
        <f>IFERROR(__xludf.DUMMYFUNCTION("""COMPUTED_VALUE"""),39755.666666666664)</f>
        <v>39755.66667</v>
      </c>
      <c r="B5785" s="1">
        <f>IFERROR(__xludf.DUMMYFUNCTION("""COMPUTED_VALUE"""),967.94)</f>
        <v>967.94</v>
      </c>
      <c r="C5785" s="1">
        <f>IFERROR(__xludf.DUMMYFUNCTION("""COMPUTED_VALUE"""),974.54)</f>
        <v>974.54</v>
      </c>
      <c r="D5785" s="1">
        <f>IFERROR(__xludf.DUMMYFUNCTION("""COMPUTED_VALUE"""),958.82)</f>
        <v>958.82</v>
      </c>
      <c r="E5785" s="1">
        <f>IFERROR(__xludf.DUMMYFUNCTION("""COMPUTED_VALUE"""),966.3)</f>
        <v>966.3</v>
      </c>
      <c r="F5785" s="1">
        <f>IFERROR(__xludf.DUMMYFUNCTION("""COMPUTED_VALUE"""),4.49228E8)</f>
        <v>449228000</v>
      </c>
    </row>
    <row r="5786">
      <c r="A5786" s="2">
        <f>IFERROR(__xludf.DUMMYFUNCTION("""COMPUTED_VALUE"""),39756.666666666664)</f>
        <v>39756.66667</v>
      </c>
      <c r="B5786" s="1">
        <f>IFERROR(__xludf.DUMMYFUNCTION("""COMPUTED_VALUE"""),984.18)</f>
        <v>984.18</v>
      </c>
      <c r="C5786" s="1">
        <f>IFERROR(__xludf.DUMMYFUNCTION("""COMPUTED_VALUE"""),1007.37)</f>
        <v>1007.37</v>
      </c>
      <c r="D5786" s="1">
        <f>IFERROR(__xludf.DUMMYFUNCTION("""COMPUTED_VALUE"""),981.95)</f>
        <v>981.95</v>
      </c>
      <c r="E5786" s="1">
        <f>IFERROR(__xludf.DUMMYFUNCTION("""COMPUTED_VALUE"""),1005.75)</f>
        <v>1005.75</v>
      </c>
      <c r="F5786" s="1">
        <f>IFERROR(__xludf.DUMMYFUNCTION("""COMPUTED_VALUE"""),5.53129024E8)</f>
        <v>553129024</v>
      </c>
    </row>
    <row r="5787">
      <c r="A5787" s="2">
        <f>IFERROR(__xludf.DUMMYFUNCTION("""COMPUTED_VALUE"""),39757.666666666664)</f>
        <v>39757.66667</v>
      </c>
      <c r="B5787" s="1">
        <f>IFERROR(__xludf.DUMMYFUNCTION("""COMPUTED_VALUE"""),991.61)</f>
        <v>991.61</v>
      </c>
      <c r="C5787" s="1">
        <f>IFERROR(__xludf.DUMMYFUNCTION("""COMPUTED_VALUE"""),1000.17)</f>
        <v>1000.17</v>
      </c>
      <c r="D5787" s="1">
        <f>IFERROR(__xludf.DUMMYFUNCTION("""COMPUTED_VALUE"""),952.3)</f>
        <v>952.3</v>
      </c>
      <c r="E5787" s="1">
        <f>IFERROR(__xludf.DUMMYFUNCTION("""COMPUTED_VALUE"""),952.77)</f>
        <v>952.77</v>
      </c>
      <c r="F5787" s="1">
        <f>IFERROR(__xludf.DUMMYFUNCTION("""COMPUTED_VALUE"""),5.42664E8)</f>
        <v>542664000</v>
      </c>
    </row>
    <row r="5788">
      <c r="A5788" s="2">
        <f>IFERROR(__xludf.DUMMYFUNCTION("""COMPUTED_VALUE"""),39758.666666666664)</f>
        <v>39758.66667</v>
      </c>
      <c r="B5788" s="1">
        <f>IFERROR(__xludf.DUMMYFUNCTION("""COMPUTED_VALUE"""),951.8)</f>
        <v>951.8</v>
      </c>
      <c r="C5788" s="1">
        <f>IFERROR(__xludf.DUMMYFUNCTION("""COMPUTED_VALUE"""),951.8)</f>
        <v>951.8</v>
      </c>
      <c r="D5788" s="1">
        <f>IFERROR(__xludf.DUMMYFUNCTION("""COMPUTED_VALUE"""),900.07)</f>
        <v>900.07</v>
      </c>
      <c r="E5788" s="1">
        <f>IFERROR(__xludf.DUMMYFUNCTION("""COMPUTED_VALUE"""),904.88)</f>
        <v>904.88</v>
      </c>
      <c r="F5788" s="1">
        <f>IFERROR(__xludf.DUMMYFUNCTION("""COMPUTED_VALUE"""),6.10222976E8)</f>
        <v>610222976</v>
      </c>
    </row>
    <row r="5789">
      <c r="A5789" s="2">
        <f>IFERROR(__xludf.DUMMYFUNCTION("""COMPUTED_VALUE"""),39759.666666666664)</f>
        <v>39759.66667</v>
      </c>
      <c r="B5789" s="1">
        <f>IFERROR(__xludf.DUMMYFUNCTION("""COMPUTED_VALUE"""),913.04)</f>
        <v>913.04</v>
      </c>
      <c r="C5789" s="1">
        <f>IFERROR(__xludf.DUMMYFUNCTION("""COMPUTED_VALUE"""),930.99)</f>
        <v>930.99</v>
      </c>
      <c r="D5789" s="1">
        <f>IFERROR(__xludf.DUMMYFUNCTION("""COMPUTED_VALUE"""),909.15)</f>
        <v>909.15</v>
      </c>
      <c r="E5789" s="1">
        <f>IFERROR(__xludf.DUMMYFUNCTION("""COMPUTED_VALUE"""),930.99)</f>
        <v>930.99</v>
      </c>
      <c r="F5789" s="1">
        <f>IFERROR(__xludf.DUMMYFUNCTION("""COMPUTED_VALUE"""),4.93164E8)</f>
        <v>493164000</v>
      </c>
    </row>
    <row r="5790">
      <c r="A5790" s="2">
        <f>IFERROR(__xludf.DUMMYFUNCTION("""COMPUTED_VALUE"""),39762.666666666664)</f>
        <v>39762.66667</v>
      </c>
      <c r="B5790" s="1">
        <f>IFERROR(__xludf.DUMMYFUNCTION("""COMPUTED_VALUE"""),941.19)</f>
        <v>941.19</v>
      </c>
      <c r="C5790" s="1">
        <f>IFERROR(__xludf.DUMMYFUNCTION("""COMPUTED_VALUE"""),948.42)</f>
        <v>948.42</v>
      </c>
      <c r="D5790" s="1">
        <f>IFERROR(__xludf.DUMMYFUNCTION("""COMPUTED_VALUE"""),907.61)</f>
        <v>907.61</v>
      </c>
      <c r="E5790" s="1">
        <f>IFERROR(__xludf.DUMMYFUNCTION("""COMPUTED_VALUE"""),919.21)</f>
        <v>919.21</v>
      </c>
      <c r="F5790" s="1">
        <f>IFERROR(__xludf.DUMMYFUNCTION("""COMPUTED_VALUE"""),4.572E8)</f>
        <v>457200000</v>
      </c>
    </row>
    <row r="5791">
      <c r="A5791" s="2">
        <f>IFERROR(__xludf.DUMMYFUNCTION("""COMPUTED_VALUE"""),39763.666666666664)</f>
        <v>39763.66667</v>
      </c>
      <c r="B5791" s="1">
        <f>IFERROR(__xludf.DUMMYFUNCTION("""COMPUTED_VALUE"""),902.72)</f>
        <v>902.72</v>
      </c>
      <c r="C5791" s="1">
        <f>IFERROR(__xludf.DUMMYFUNCTION("""COMPUTED_VALUE"""),914.37)</f>
        <v>914.37</v>
      </c>
      <c r="D5791" s="1">
        <f>IFERROR(__xludf.DUMMYFUNCTION("""COMPUTED_VALUE"""),885.2)</f>
        <v>885.2</v>
      </c>
      <c r="E5791" s="1">
        <f>IFERROR(__xludf.DUMMYFUNCTION("""COMPUTED_VALUE"""),898.95)</f>
        <v>898.95</v>
      </c>
      <c r="F5791" s="1">
        <f>IFERROR(__xludf.DUMMYFUNCTION("""COMPUTED_VALUE"""),4.99833984E8)</f>
        <v>499833984</v>
      </c>
    </row>
    <row r="5792">
      <c r="A5792" s="2">
        <f>IFERROR(__xludf.DUMMYFUNCTION("""COMPUTED_VALUE"""),39764.666666666664)</f>
        <v>39764.66667</v>
      </c>
      <c r="B5792" s="1">
        <f>IFERROR(__xludf.DUMMYFUNCTION("""COMPUTED_VALUE"""),887.79)</f>
        <v>887.79</v>
      </c>
      <c r="C5792" s="1">
        <f>IFERROR(__xludf.DUMMYFUNCTION("""COMPUTED_VALUE"""),887.79)</f>
        <v>887.79</v>
      </c>
      <c r="D5792" s="1">
        <f>IFERROR(__xludf.DUMMYFUNCTION("""COMPUTED_VALUE"""),851.57)</f>
        <v>851.57</v>
      </c>
      <c r="E5792" s="1">
        <f>IFERROR(__xludf.DUMMYFUNCTION("""COMPUTED_VALUE"""),852.3)</f>
        <v>852.3</v>
      </c>
      <c r="F5792" s="1">
        <f>IFERROR(__xludf.DUMMYFUNCTION("""COMPUTED_VALUE"""),5.76417984E8)</f>
        <v>576417984</v>
      </c>
    </row>
    <row r="5793">
      <c r="A5793" s="2">
        <f>IFERROR(__xludf.DUMMYFUNCTION("""COMPUTED_VALUE"""),39765.666666666664)</f>
        <v>39765.66667</v>
      </c>
      <c r="B5793" s="1">
        <f>IFERROR(__xludf.DUMMYFUNCTION("""COMPUTED_VALUE"""),855.9)</f>
        <v>855.9</v>
      </c>
      <c r="C5793" s="1">
        <f>IFERROR(__xludf.DUMMYFUNCTION("""COMPUTED_VALUE"""),912.62)</f>
        <v>912.62</v>
      </c>
      <c r="D5793" s="1">
        <f>IFERROR(__xludf.DUMMYFUNCTION("""COMPUTED_VALUE"""),821.02)</f>
        <v>821.02</v>
      </c>
      <c r="E5793" s="1">
        <f>IFERROR(__xludf.DUMMYFUNCTION("""COMPUTED_VALUE"""),911.29)</f>
        <v>911.29</v>
      </c>
      <c r="F5793" s="1">
        <f>IFERROR(__xludf.DUMMYFUNCTION("""COMPUTED_VALUE"""),3.84912E8)</f>
        <v>384912000</v>
      </c>
    </row>
    <row r="5794">
      <c r="A5794" s="2">
        <f>IFERROR(__xludf.DUMMYFUNCTION("""COMPUTED_VALUE"""),39766.666666666664)</f>
        <v>39766.66667</v>
      </c>
      <c r="B5794" s="1">
        <f>IFERROR(__xludf.DUMMYFUNCTION("""COMPUTED_VALUE"""),898.13)</f>
        <v>898.13</v>
      </c>
      <c r="C5794" s="1">
        <f>IFERROR(__xludf.DUMMYFUNCTION("""COMPUTED_VALUE"""),914.35)</f>
        <v>914.35</v>
      </c>
      <c r="D5794" s="1">
        <f>IFERROR(__xludf.DUMMYFUNCTION("""COMPUTED_VALUE"""),869.91)</f>
        <v>869.91</v>
      </c>
      <c r="E5794" s="1">
        <f>IFERROR(__xludf.DUMMYFUNCTION("""COMPUTED_VALUE"""),873.29)</f>
        <v>873.29</v>
      </c>
      <c r="F5794" s="1">
        <f>IFERROR(__xludf.DUMMYFUNCTION("""COMPUTED_VALUE"""),5.88102976E8)</f>
        <v>588102976</v>
      </c>
    </row>
    <row r="5795">
      <c r="A5795" s="2">
        <f>IFERROR(__xludf.DUMMYFUNCTION("""COMPUTED_VALUE"""),39769.666666666664)</f>
        <v>39769.66667</v>
      </c>
      <c r="B5795" s="1">
        <f>IFERROR(__xludf.DUMMYFUNCTION("""COMPUTED_VALUE"""),863.22)</f>
        <v>863.22</v>
      </c>
      <c r="C5795" s="1">
        <f>IFERROR(__xludf.DUMMYFUNCTION("""COMPUTED_VALUE"""),881.31)</f>
        <v>881.31</v>
      </c>
      <c r="D5795" s="1">
        <f>IFERROR(__xludf.DUMMYFUNCTION("""COMPUTED_VALUE"""),850.45)</f>
        <v>850.45</v>
      </c>
      <c r="E5795" s="1">
        <f>IFERROR(__xludf.DUMMYFUNCTION("""COMPUTED_VALUE"""),850.75)</f>
        <v>850.75</v>
      </c>
      <c r="F5795" s="1">
        <f>IFERROR(__xludf.DUMMYFUNCTION("""COMPUTED_VALUE"""),4.92748992E8)</f>
        <v>492748992</v>
      </c>
    </row>
    <row r="5796">
      <c r="A5796" s="2">
        <f>IFERROR(__xludf.DUMMYFUNCTION("""COMPUTED_VALUE"""),39770.666666666664)</f>
        <v>39770.66667</v>
      </c>
      <c r="B5796" s="1">
        <f>IFERROR(__xludf.DUMMYFUNCTION("""COMPUTED_VALUE"""),848.4)</f>
        <v>848.4</v>
      </c>
      <c r="C5796" s="1">
        <f>IFERROR(__xludf.DUMMYFUNCTION("""COMPUTED_VALUE"""),864.66)</f>
        <v>864.66</v>
      </c>
      <c r="D5796" s="1">
        <f>IFERROR(__xludf.DUMMYFUNCTION("""COMPUTED_VALUE"""),827.83)</f>
        <v>827.83</v>
      </c>
      <c r="E5796" s="1">
        <f>IFERROR(__xludf.DUMMYFUNCTION("""COMPUTED_VALUE"""),859.12)</f>
        <v>859.12</v>
      </c>
      <c r="F5796" s="1">
        <f>IFERROR(__xludf.DUMMYFUNCTION("""COMPUTED_VALUE"""),6.67947008E8)</f>
        <v>667947008</v>
      </c>
    </row>
    <row r="5797">
      <c r="A5797" s="2">
        <f>IFERROR(__xludf.DUMMYFUNCTION("""COMPUTED_VALUE"""),39771.666666666664)</f>
        <v>39771.66667</v>
      </c>
      <c r="B5797" s="1">
        <f>IFERROR(__xludf.DUMMYFUNCTION("""COMPUTED_VALUE"""),855.87)</f>
        <v>855.87</v>
      </c>
      <c r="C5797" s="1">
        <f>IFERROR(__xludf.DUMMYFUNCTION("""COMPUTED_VALUE"""),863.48)</f>
        <v>863.48</v>
      </c>
      <c r="D5797" s="1">
        <f>IFERROR(__xludf.DUMMYFUNCTION("""COMPUTED_VALUE"""),806.54)</f>
        <v>806.54</v>
      </c>
      <c r="E5797" s="1">
        <f>IFERROR(__xludf.DUMMYFUNCTION("""COMPUTED_VALUE"""),806.58)</f>
        <v>806.58</v>
      </c>
      <c r="F5797" s="1">
        <f>IFERROR(__xludf.DUMMYFUNCTION("""COMPUTED_VALUE"""),6.54860032E8)</f>
        <v>654860032</v>
      </c>
    </row>
    <row r="5798">
      <c r="A5798" s="2">
        <f>IFERROR(__xludf.DUMMYFUNCTION("""COMPUTED_VALUE"""),39772.666666666664)</f>
        <v>39772.66667</v>
      </c>
      <c r="B5798" s="1">
        <f>IFERROR(__xludf.DUMMYFUNCTION("""COMPUTED_VALUE"""),801.19)</f>
        <v>801.19</v>
      </c>
      <c r="C5798" s="1">
        <f>IFERROR(__xludf.DUMMYFUNCTION("""COMPUTED_VALUE"""),814.56)</f>
        <v>814.56</v>
      </c>
      <c r="D5798" s="1">
        <f>IFERROR(__xludf.DUMMYFUNCTION("""COMPUTED_VALUE"""),747.88)</f>
        <v>747.88</v>
      </c>
      <c r="E5798" s="1">
        <f>IFERROR(__xludf.DUMMYFUNCTION("""COMPUTED_VALUE"""),752.44)</f>
        <v>752.44</v>
      </c>
      <c r="F5798" s="1">
        <f>IFERROR(__xludf.DUMMYFUNCTION("""COMPUTED_VALUE"""),4.09374016E8)</f>
        <v>409374016</v>
      </c>
    </row>
    <row r="5799">
      <c r="A5799" s="2">
        <f>IFERROR(__xludf.DUMMYFUNCTION("""COMPUTED_VALUE"""),39773.666666666664)</f>
        <v>39773.66667</v>
      </c>
      <c r="B5799" s="1">
        <f>IFERROR(__xludf.DUMMYFUNCTION("""COMPUTED_VALUE"""),766.9)</f>
        <v>766.9</v>
      </c>
      <c r="C5799" s="1">
        <f>IFERROR(__xludf.DUMMYFUNCTION("""COMPUTED_VALUE"""),800.23)</f>
        <v>800.23</v>
      </c>
      <c r="D5799" s="1">
        <f>IFERROR(__xludf.DUMMYFUNCTION("""COMPUTED_VALUE"""),744.24)</f>
        <v>744.24</v>
      </c>
      <c r="E5799" s="1">
        <f>IFERROR(__xludf.DUMMYFUNCTION("""COMPUTED_VALUE"""),800.03)</f>
        <v>800.03</v>
      </c>
      <c r="F5799" s="1">
        <f>IFERROR(__xludf.DUMMYFUNCTION("""COMPUTED_VALUE"""),4.49590016E8)</f>
        <v>449590016</v>
      </c>
    </row>
    <row r="5800">
      <c r="A5800" s="2">
        <f>IFERROR(__xludf.DUMMYFUNCTION("""COMPUTED_VALUE"""),39776.666666666664)</f>
        <v>39776.66667</v>
      </c>
      <c r="B5800" s="1">
        <f>IFERROR(__xludf.DUMMYFUNCTION("""COMPUTED_VALUE"""),801.2)</f>
        <v>801.2</v>
      </c>
      <c r="C5800" s="1">
        <f>IFERROR(__xludf.DUMMYFUNCTION("""COMPUTED_VALUE"""),865.6)</f>
        <v>865.6</v>
      </c>
      <c r="D5800" s="1">
        <f>IFERROR(__xludf.DUMMYFUNCTION("""COMPUTED_VALUE"""),801.2)</f>
        <v>801.2</v>
      </c>
      <c r="E5800" s="1">
        <f>IFERROR(__xludf.DUMMYFUNCTION("""COMPUTED_VALUE"""),851.81)</f>
        <v>851.81</v>
      </c>
      <c r="F5800" s="1">
        <f>IFERROR(__xludf.DUMMYFUNCTION("""COMPUTED_VALUE"""),3.87944E8)</f>
        <v>387944000</v>
      </c>
    </row>
    <row r="5801">
      <c r="A5801" s="2">
        <f>IFERROR(__xludf.DUMMYFUNCTION("""COMPUTED_VALUE"""),39777.666666666664)</f>
        <v>39777.66667</v>
      </c>
      <c r="B5801" s="1">
        <f>IFERROR(__xludf.DUMMYFUNCTION("""COMPUTED_VALUE"""),853.4)</f>
        <v>853.4</v>
      </c>
      <c r="C5801" s="1">
        <f>IFERROR(__xludf.DUMMYFUNCTION("""COMPUTED_VALUE"""),868.94)</f>
        <v>868.94</v>
      </c>
      <c r="D5801" s="1">
        <f>IFERROR(__xludf.DUMMYFUNCTION("""COMPUTED_VALUE"""),834.99)</f>
        <v>834.99</v>
      </c>
      <c r="E5801" s="1">
        <f>IFERROR(__xludf.DUMMYFUNCTION("""COMPUTED_VALUE"""),857.39)</f>
        <v>857.39</v>
      </c>
      <c r="F5801" s="1">
        <f>IFERROR(__xludf.DUMMYFUNCTION("""COMPUTED_VALUE"""),6.95270016E8)</f>
        <v>695270016</v>
      </c>
    </row>
    <row r="5802">
      <c r="A5802" s="2">
        <f>IFERROR(__xludf.DUMMYFUNCTION("""COMPUTED_VALUE"""),39778.666666666664)</f>
        <v>39778.66667</v>
      </c>
      <c r="B5802" s="1">
        <f>IFERROR(__xludf.DUMMYFUNCTION("""COMPUTED_VALUE"""),852.9)</f>
        <v>852.9</v>
      </c>
      <c r="C5802" s="1">
        <f>IFERROR(__xludf.DUMMYFUNCTION("""COMPUTED_VALUE"""),887.68)</f>
        <v>887.68</v>
      </c>
      <c r="D5802" s="1">
        <f>IFERROR(__xludf.DUMMYFUNCTION("""COMPUTED_VALUE"""),841.37)</f>
        <v>841.37</v>
      </c>
      <c r="E5802" s="1">
        <f>IFERROR(__xludf.DUMMYFUNCTION("""COMPUTED_VALUE"""),887.68)</f>
        <v>887.68</v>
      </c>
      <c r="F5802" s="1">
        <f>IFERROR(__xludf.DUMMYFUNCTION("""COMPUTED_VALUE"""),5.79326016E8)</f>
        <v>579326016</v>
      </c>
    </row>
    <row r="5803">
      <c r="A5803" s="2">
        <f>IFERROR(__xludf.DUMMYFUNCTION("""COMPUTED_VALUE"""),39780.666666666664)</f>
        <v>39780.66667</v>
      </c>
      <c r="B5803" s="1">
        <f>IFERROR(__xludf.DUMMYFUNCTION("""COMPUTED_VALUE"""),886.89)</f>
        <v>886.89</v>
      </c>
      <c r="C5803" s="1">
        <f>IFERROR(__xludf.DUMMYFUNCTION("""COMPUTED_VALUE"""),896.25)</f>
        <v>896.25</v>
      </c>
      <c r="D5803" s="1">
        <f>IFERROR(__xludf.DUMMYFUNCTION("""COMPUTED_VALUE"""),881.21)</f>
        <v>881.21</v>
      </c>
      <c r="E5803" s="1">
        <f>IFERROR(__xludf.DUMMYFUNCTION("""COMPUTED_VALUE"""),896.24)</f>
        <v>896.24</v>
      </c>
      <c r="F5803" s="1">
        <f>IFERROR(__xludf.DUMMYFUNCTION("""COMPUTED_VALUE"""),2.74086016E8)</f>
        <v>274086016</v>
      </c>
    </row>
    <row r="5804">
      <c r="A5804" s="2">
        <f>IFERROR(__xludf.DUMMYFUNCTION("""COMPUTED_VALUE"""),39783.666666666664)</f>
        <v>39783.66667</v>
      </c>
      <c r="B5804" s="1">
        <f>IFERROR(__xludf.DUMMYFUNCTION("""COMPUTED_VALUE"""),888.61)</f>
        <v>888.61</v>
      </c>
      <c r="C5804" s="1">
        <f>IFERROR(__xludf.DUMMYFUNCTION("""COMPUTED_VALUE"""),888.61)</f>
        <v>888.61</v>
      </c>
      <c r="D5804" s="1">
        <f>IFERROR(__xludf.DUMMYFUNCTION("""COMPUTED_VALUE"""),815.69)</f>
        <v>815.69</v>
      </c>
      <c r="E5804" s="1">
        <f>IFERROR(__xludf.DUMMYFUNCTION("""COMPUTED_VALUE"""),816.21)</f>
        <v>816.21</v>
      </c>
      <c r="F5804" s="1">
        <f>IFERROR(__xludf.DUMMYFUNCTION("""COMPUTED_VALUE"""),6.05201024E8)</f>
        <v>605201024</v>
      </c>
    </row>
    <row r="5805">
      <c r="A5805" s="2">
        <f>IFERROR(__xludf.DUMMYFUNCTION("""COMPUTED_VALUE"""),39784.666666666664)</f>
        <v>39784.66667</v>
      </c>
      <c r="B5805" s="1">
        <f>IFERROR(__xludf.DUMMYFUNCTION("""COMPUTED_VALUE"""),817.94)</f>
        <v>817.94</v>
      </c>
      <c r="C5805" s="1">
        <f>IFERROR(__xludf.DUMMYFUNCTION("""COMPUTED_VALUE"""),850.54)</f>
        <v>850.54</v>
      </c>
      <c r="D5805" s="1">
        <f>IFERROR(__xludf.DUMMYFUNCTION("""COMPUTED_VALUE"""),817.94)</f>
        <v>817.94</v>
      </c>
      <c r="E5805" s="1">
        <f>IFERROR(__xludf.DUMMYFUNCTION("""COMPUTED_VALUE"""),848.81)</f>
        <v>848.81</v>
      </c>
      <c r="F5805" s="1">
        <f>IFERROR(__xludf.DUMMYFUNCTION("""COMPUTED_VALUE"""),6.17009984E8)</f>
        <v>617009984</v>
      </c>
    </row>
    <row r="5806">
      <c r="A5806" s="2">
        <f>IFERROR(__xludf.DUMMYFUNCTION("""COMPUTED_VALUE"""),39785.666666666664)</f>
        <v>39785.66667</v>
      </c>
      <c r="B5806" s="1">
        <f>IFERROR(__xludf.DUMMYFUNCTION("""COMPUTED_VALUE"""),843.6)</f>
        <v>843.6</v>
      </c>
      <c r="C5806" s="1">
        <f>IFERROR(__xludf.DUMMYFUNCTION("""COMPUTED_VALUE"""),873.12)</f>
        <v>873.12</v>
      </c>
      <c r="D5806" s="1">
        <f>IFERROR(__xludf.DUMMYFUNCTION("""COMPUTED_VALUE"""),827.6)</f>
        <v>827.6</v>
      </c>
      <c r="E5806" s="1">
        <f>IFERROR(__xludf.DUMMYFUNCTION("""COMPUTED_VALUE"""),870.74)</f>
        <v>870.74</v>
      </c>
      <c r="F5806" s="1">
        <f>IFERROR(__xludf.DUMMYFUNCTION("""COMPUTED_VALUE"""),6.22188032E8)</f>
        <v>622188032</v>
      </c>
    </row>
    <row r="5807">
      <c r="A5807" s="2">
        <f>IFERROR(__xludf.DUMMYFUNCTION("""COMPUTED_VALUE"""),39786.666666666664)</f>
        <v>39786.66667</v>
      </c>
      <c r="B5807" s="1">
        <f>IFERROR(__xludf.DUMMYFUNCTION("""COMPUTED_VALUE"""),869.75)</f>
        <v>869.75</v>
      </c>
      <c r="C5807" s="1">
        <f>IFERROR(__xludf.DUMMYFUNCTION("""COMPUTED_VALUE"""),875.6)</f>
        <v>875.6</v>
      </c>
      <c r="D5807" s="1">
        <f>IFERROR(__xludf.DUMMYFUNCTION("""COMPUTED_VALUE"""),833.6)</f>
        <v>833.6</v>
      </c>
      <c r="E5807" s="1">
        <f>IFERROR(__xludf.DUMMYFUNCTION("""COMPUTED_VALUE"""),845.22)</f>
        <v>845.22</v>
      </c>
      <c r="F5807" s="1">
        <f>IFERROR(__xludf.DUMMYFUNCTION("""COMPUTED_VALUE"""),5.86038976E8)</f>
        <v>586038976</v>
      </c>
    </row>
    <row r="5808">
      <c r="A5808" s="2">
        <f>IFERROR(__xludf.DUMMYFUNCTION("""COMPUTED_VALUE"""),39787.666666666664)</f>
        <v>39787.66667</v>
      </c>
      <c r="B5808" s="1">
        <f>IFERROR(__xludf.DUMMYFUNCTION("""COMPUTED_VALUE"""),844.43)</f>
        <v>844.43</v>
      </c>
      <c r="C5808" s="1">
        <f>IFERROR(__xludf.DUMMYFUNCTION("""COMPUTED_VALUE"""),879.42)</f>
        <v>879.42</v>
      </c>
      <c r="D5808" s="1">
        <f>IFERROR(__xludf.DUMMYFUNCTION("""COMPUTED_VALUE"""),818.41)</f>
        <v>818.41</v>
      </c>
      <c r="E5808" s="1">
        <f>IFERROR(__xludf.DUMMYFUNCTION("""COMPUTED_VALUE"""),876.07)</f>
        <v>876.07</v>
      </c>
      <c r="F5808" s="1">
        <f>IFERROR(__xludf.DUMMYFUNCTION("""COMPUTED_VALUE"""),6.16537024E8)</f>
        <v>616537024</v>
      </c>
    </row>
    <row r="5809">
      <c r="A5809" s="2">
        <f>IFERROR(__xludf.DUMMYFUNCTION("""COMPUTED_VALUE"""),39790.666666666664)</f>
        <v>39790.66667</v>
      </c>
      <c r="B5809" s="1">
        <f>IFERROR(__xludf.DUMMYFUNCTION("""COMPUTED_VALUE"""),882.71)</f>
        <v>882.71</v>
      </c>
      <c r="C5809" s="1">
        <f>IFERROR(__xludf.DUMMYFUNCTION("""COMPUTED_VALUE"""),918.57)</f>
        <v>918.57</v>
      </c>
      <c r="D5809" s="1">
        <f>IFERROR(__xludf.DUMMYFUNCTION("""COMPUTED_VALUE"""),882.71)</f>
        <v>882.71</v>
      </c>
      <c r="E5809" s="1">
        <f>IFERROR(__xludf.DUMMYFUNCTION("""COMPUTED_VALUE"""),909.7)</f>
        <v>909.7</v>
      </c>
      <c r="F5809" s="1">
        <f>IFERROR(__xludf.DUMMYFUNCTION("""COMPUTED_VALUE"""),6.5536E8)</f>
        <v>655360000</v>
      </c>
    </row>
    <row r="5810">
      <c r="A5810" s="2">
        <f>IFERROR(__xludf.DUMMYFUNCTION("""COMPUTED_VALUE"""),39791.666666666664)</f>
        <v>39791.66667</v>
      </c>
      <c r="B5810" s="1">
        <f>IFERROR(__xludf.DUMMYFUNCTION("""COMPUTED_VALUE"""),906.48)</f>
        <v>906.48</v>
      </c>
      <c r="C5810" s="1">
        <f>IFERROR(__xludf.DUMMYFUNCTION("""COMPUTED_VALUE"""),916.26)</f>
        <v>916.26</v>
      </c>
      <c r="D5810" s="1">
        <f>IFERROR(__xludf.DUMMYFUNCTION("""COMPUTED_VALUE"""),885.38)</f>
        <v>885.38</v>
      </c>
      <c r="E5810" s="1">
        <f>IFERROR(__xludf.DUMMYFUNCTION("""COMPUTED_VALUE"""),888.67)</f>
        <v>888.67</v>
      </c>
      <c r="F5810" s="1">
        <f>IFERROR(__xludf.DUMMYFUNCTION("""COMPUTED_VALUE"""),5.69310976E8)</f>
        <v>569310976</v>
      </c>
    </row>
    <row r="5811">
      <c r="A5811" s="2">
        <f>IFERROR(__xludf.DUMMYFUNCTION("""COMPUTED_VALUE"""),39792.666666666664)</f>
        <v>39792.66667</v>
      </c>
      <c r="B5811" s="1">
        <f>IFERROR(__xludf.DUMMYFUNCTION("""COMPUTED_VALUE"""),892.17)</f>
        <v>892.17</v>
      </c>
      <c r="C5811" s="1">
        <f>IFERROR(__xludf.DUMMYFUNCTION("""COMPUTED_VALUE"""),908.27)</f>
        <v>908.27</v>
      </c>
      <c r="D5811" s="1">
        <f>IFERROR(__xludf.DUMMYFUNCTION("""COMPUTED_VALUE"""),885.45)</f>
        <v>885.45</v>
      </c>
      <c r="E5811" s="1">
        <f>IFERROR(__xludf.DUMMYFUNCTION("""COMPUTED_VALUE"""),899.24)</f>
        <v>899.24</v>
      </c>
      <c r="F5811" s="1">
        <f>IFERROR(__xludf.DUMMYFUNCTION("""COMPUTED_VALUE"""),5.94212992E8)</f>
        <v>594212992</v>
      </c>
    </row>
    <row r="5812">
      <c r="A5812" s="2">
        <f>IFERROR(__xludf.DUMMYFUNCTION("""COMPUTED_VALUE"""),39793.666666666664)</f>
        <v>39793.66667</v>
      </c>
      <c r="B5812" s="1">
        <f>IFERROR(__xludf.DUMMYFUNCTION("""COMPUTED_VALUE"""),898.35)</f>
        <v>898.35</v>
      </c>
      <c r="C5812" s="1">
        <f>IFERROR(__xludf.DUMMYFUNCTION("""COMPUTED_VALUE"""),904.63)</f>
        <v>904.63</v>
      </c>
      <c r="D5812" s="1">
        <f>IFERROR(__xludf.DUMMYFUNCTION("""COMPUTED_VALUE"""),868.73)</f>
        <v>868.73</v>
      </c>
      <c r="E5812" s="1">
        <f>IFERROR(__xludf.DUMMYFUNCTION("""COMPUTED_VALUE"""),873.59)</f>
        <v>873.59</v>
      </c>
      <c r="F5812" s="1">
        <f>IFERROR(__xludf.DUMMYFUNCTION("""COMPUTED_VALUE"""),5.51384E8)</f>
        <v>551384000</v>
      </c>
    </row>
    <row r="5813">
      <c r="A5813" s="2">
        <f>IFERROR(__xludf.DUMMYFUNCTION("""COMPUTED_VALUE"""),39794.666666666664)</f>
        <v>39794.66667</v>
      </c>
      <c r="B5813" s="1">
        <f>IFERROR(__xludf.DUMMYFUNCTION("""COMPUTED_VALUE"""),871.79)</f>
        <v>871.79</v>
      </c>
      <c r="C5813" s="1">
        <f>IFERROR(__xludf.DUMMYFUNCTION("""COMPUTED_VALUE"""),883.24)</f>
        <v>883.24</v>
      </c>
      <c r="D5813" s="1">
        <f>IFERROR(__xludf.DUMMYFUNCTION("""COMPUTED_VALUE"""),851.35)</f>
        <v>851.35</v>
      </c>
      <c r="E5813" s="1">
        <f>IFERROR(__xludf.DUMMYFUNCTION("""COMPUTED_VALUE"""),879.73)</f>
        <v>879.73</v>
      </c>
      <c r="F5813" s="1">
        <f>IFERROR(__xludf.DUMMYFUNCTION("""COMPUTED_VALUE"""),5.95958976E8)</f>
        <v>595958976</v>
      </c>
    </row>
    <row r="5814">
      <c r="A5814" s="2">
        <f>IFERROR(__xludf.DUMMYFUNCTION("""COMPUTED_VALUE"""),39797.666666666664)</f>
        <v>39797.66667</v>
      </c>
      <c r="B5814" s="1">
        <f>IFERROR(__xludf.DUMMYFUNCTION("""COMPUTED_VALUE"""),881.07)</f>
        <v>881.07</v>
      </c>
      <c r="C5814" s="1">
        <f>IFERROR(__xludf.DUMMYFUNCTION("""COMPUTED_VALUE"""),884.63)</f>
        <v>884.63</v>
      </c>
      <c r="D5814" s="1">
        <f>IFERROR(__xludf.DUMMYFUNCTION("""COMPUTED_VALUE"""),857.72)</f>
        <v>857.72</v>
      </c>
      <c r="E5814" s="1">
        <f>IFERROR(__xludf.DUMMYFUNCTION("""COMPUTED_VALUE"""),868.57)</f>
        <v>868.57</v>
      </c>
      <c r="F5814" s="1">
        <f>IFERROR(__xludf.DUMMYFUNCTION("""COMPUTED_VALUE"""),4.98239008E8)</f>
        <v>498239008</v>
      </c>
    </row>
    <row r="5815">
      <c r="A5815" s="2">
        <f>IFERROR(__xludf.DUMMYFUNCTION("""COMPUTED_VALUE"""),39798.666666666664)</f>
        <v>39798.66667</v>
      </c>
      <c r="B5815" s="1">
        <f>IFERROR(__xludf.DUMMYFUNCTION("""COMPUTED_VALUE"""),871.53)</f>
        <v>871.53</v>
      </c>
      <c r="C5815" s="1">
        <f>IFERROR(__xludf.DUMMYFUNCTION("""COMPUTED_VALUE"""),914.66)</f>
        <v>914.66</v>
      </c>
      <c r="D5815" s="1">
        <f>IFERROR(__xludf.DUMMYFUNCTION("""COMPUTED_VALUE"""),871.53)</f>
        <v>871.53</v>
      </c>
      <c r="E5815" s="1">
        <f>IFERROR(__xludf.DUMMYFUNCTION("""COMPUTED_VALUE"""),913.18)</f>
        <v>913.18</v>
      </c>
      <c r="F5815" s="1">
        <f>IFERROR(__xludf.DUMMYFUNCTION("""COMPUTED_VALUE"""),6.00977984E8)</f>
        <v>600977984</v>
      </c>
    </row>
    <row r="5816">
      <c r="A5816" s="2">
        <f>IFERROR(__xludf.DUMMYFUNCTION("""COMPUTED_VALUE"""),39799.666666666664)</f>
        <v>39799.66667</v>
      </c>
      <c r="B5816" s="1">
        <f>IFERROR(__xludf.DUMMYFUNCTION("""COMPUTED_VALUE"""),908.16)</f>
        <v>908.16</v>
      </c>
      <c r="C5816" s="1">
        <f>IFERROR(__xludf.DUMMYFUNCTION("""COMPUTED_VALUE"""),918.85)</f>
        <v>918.85</v>
      </c>
      <c r="D5816" s="1">
        <f>IFERROR(__xludf.DUMMYFUNCTION("""COMPUTED_VALUE"""),895.94)</f>
        <v>895.94</v>
      </c>
      <c r="E5816" s="1">
        <f>IFERROR(__xludf.DUMMYFUNCTION("""COMPUTED_VALUE"""),904.42)</f>
        <v>904.42</v>
      </c>
      <c r="F5816" s="1">
        <f>IFERROR(__xludf.DUMMYFUNCTION("""COMPUTED_VALUE"""),5.90737984E8)</f>
        <v>590737984</v>
      </c>
    </row>
    <row r="5817">
      <c r="A5817" s="2">
        <f>IFERROR(__xludf.DUMMYFUNCTION("""COMPUTED_VALUE"""),39800.666666666664)</f>
        <v>39800.66667</v>
      </c>
      <c r="B5817" s="1">
        <f>IFERROR(__xludf.DUMMYFUNCTION("""COMPUTED_VALUE"""),905.98)</f>
        <v>905.98</v>
      </c>
      <c r="C5817" s="1">
        <f>IFERROR(__xludf.DUMMYFUNCTION("""COMPUTED_VALUE"""),911.02)</f>
        <v>911.02</v>
      </c>
      <c r="D5817" s="1">
        <f>IFERROR(__xludf.DUMMYFUNCTION("""COMPUTED_VALUE"""),877.44)</f>
        <v>877.44</v>
      </c>
      <c r="E5817" s="1">
        <f>IFERROR(__xludf.DUMMYFUNCTION("""COMPUTED_VALUE"""),885.28)</f>
        <v>885.28</v>
      </c>
      <c r="F5817" s="1">
        <f>IFERROR(__xludf.DUMMYFUNCTION("""COMPUTED_VALUE"""),5.67500032E8)</f>
        <v>567500032</v>
      </c>
    </row>
    <row r="5818">
      <c r="A5818" s="2">
        <f>IFERROR(__xludf.DUMMYFUNCTION("""COMPUTED_VALUE"""),39801.666666666664)</f>
        <v>39801.66667</v>
      </c>
      <c r="B5818" s="1">
        <f>IFERROR(__xludf.DUMMYFUNCTION("""COMPUTED_VALUE"""),886.96)</f>
        <v>886.96</v>
      </c>
      <c r="C5818" s="1">
        <f>IFERROR(__xludf.DUMMYFUNCTION("""COMPUTED_VALUE"""),905.47)</f>
        <v>905.47</v>
      </c>
      <c r="D5818" s="1">
        <f>IFERROR(__xludf.DUMMYFUNCTION("""COMPUTED_VALUE"""),883.02)</f>
        <v>883.02</v>
      </c>
      <c r="E5818" s="1">
        <f>IFERROR(__xludf.DUMMYFUNCTION("""COMPUTED_VALUE"""),887.88)</f>
        <v>887.88</v>
      </c>
      <c r="F5818" s="1">
        <f>IFERROR(__xludf.DUMMYFUNCTION("""COMPUTED_VALUE"""),6.70531008E8)</f>
        <v>670531008</v>
      </c>
    </row>
    <row r="5819">
      <c r="A5819" s="2">
        <f>IFERROR(__xludf.DUMMYFUNCTION("""COMPUTED_VALUE"""),39804.666666666664)</f>
        <v>39804.66667</v>
      </c>
      <c r="B5819" s="1">
        <f>IFERROR(__xludf.DUMMYFUNCTION("""COMPUTED_VALUE"""),887.2)</f>
        <v>887.2</v>
      </c>
      <c r="C5819" s="1">
        <f>IFERROR(__xludf.DUMMYFUNCTION("""COMPUTED_VALUE"""),887.37)</f>
        <v>887.37</v>
      </c>
      <c r="D5819" s="1">
        <f>IFERROR(__xludf.DUMMYFUNCTION("""COMPUTED_VALUE"""),857.09)</f>
        <v>857.09</v>
      </c>
      <c r="E5819" s="1">
        <f>IFERROR(__xludf.DUMMYFUNCTION("""COMPUTED_VALUE"""),871.63)</f>
        <v>871.63</v>
      </c>
      <c r="F5819" s="1">
        <f>IFERROR(__xludf.DUMMYFUNCTION("""COMPUTED_VALUE"""),4.86984992E8)</f>
        <v>486984992</v>
      </c>
    </row>
    <row r="5820">
      <c r="A5820" s="2">
        <f>IFERROR(__xludf.DUMMYFUNCTION("""COMPUTED_VALUE"""),39805.666666666664)</f>
        <v>39805.66667</v>
      </c>
      <c r="B5820" s="1">
        <f>IFERROR(__xludf.DUMMYFUNCTION("""COMPUTED_VALUE"""),874.31)</f>
        <v>874.31</v>
      </c>
      <c r="C5820" s="1">
        <f>IFERROR(__xludf.DUMMYFUNCTION("""COMPUTED_VALUE"""),880.44)</f>
        <v>880.44</v>
      </c>
      <c r="D5820" s="1">
        <f>IFERROR(__xludf.DUMMYFUNCTION("""COMPUTED_VALUE"""),860.1)</f>
        <v>860.1</v>
      </c>
      <c r="E5820" s="1">
        <f>IFERROR(__xludf.DUMMYFUNCTION("""COMPUTED_VALUE"""),863.16)</f>
        <v>863.16</v>
      </c>
      <c r="F5820" s="1">
        <f>IFERROR(__xludf.DUMMYFUNCTION("""COMPUTED_VALUE"""),4.05196992E8)</f>
        <v>405196992</v>
      </c>
    </row>
    <row r="5821">
      <c r="A5821" s="2">
        <f>IFERROR(__xludf.DUMMYFUNCTION("""COMPUTED_VALUE"""),39806.666666666664)</f>
        <v>39806.66667</v>
      </c>
      <c r="B5821" s="1">
        <f>IFERROR(__xludf.DUMMYFUNCTION("""COMPUTED_VALUE"""),863.87)</f>
        <v>863.87</v>
      </c>
      <c r="C5821" s="1">
        <f>IFERROR(__xludf.DUMMYFUNCTION("""COMPUTED_VALUE"""),869.79)</f>
        <v>869.79</v>
      </c>
      <c r="D5821" s="1">
        <f>IFERROR(__xludf.DUMMYFUNCTION("""COMPUTED_VALUE"""),861.44)</f>
        <v>861.44</v>
      </c>
      <c r="E5821" s="1">
        <f>IFERROR(__xludf.DUMMYFUNCTION("""COMPUTED_VALUE"""),868.15)</f>
        <v>868.15</v>
      </c>
      <c r="F5821" s="1">
        <f>IFERROR(__xludf.DUMMYFUNCTION("""COMPUTED_VALUE"""),1.54655008E8)</f>
        <v>154655008</v>
      </c>
    </row>
    <row r="5822">
      <c r="A5822" s="2">
        <f>IFERROR(__xludf.DUMMYFUNCTION("""COMPUTED_VALUE"""),39808.666666666664)</f>
        <v>39808.66667</v>
      </c>
      <c r="B5822" s="1">
        <f>IFERROR(__xludf.DUMMYFUNCTION("""COMPUTED_VALUE"""),869.51)</f>
        <v>869.51</v>
      </c>
      <c r="C5822" s="1">
        <f>IFERROR(__xludf.DUMMYFUNCTION("""COMPUTED_VALUE"""),873.74)</f>
        <v>873.74</v>
      </c>
      <c r="D5822" s="1">
        <f>IFERROR(__xludf.DUMMYFUNCTION("""COMPUTED_VALUE"""),866.52)</f>
        <v>866.52</v>
      </c>
      <c r="E5822" s="1">
        <f>IFERROR(__xludf.DUMMYFUNCTION("""COMPUTED_VALUE"""),872.8)</f>
        <v>872.8</v>
      </c>
      <c r="F5822" s="1">
        <f>IFERROR(__xludf.DUMMYFUNCTION("""COMPUTED_VALUE"""),1.88004992E8)</f>
        <v>188004992</v>
      </c>
    </row>
    <row r="5823">
      <c r="A5823" s="2">
        <f>IFERROR(__xludf.DUMMYFUNCTION("""COMPUTED_VALUE"""),39811.666666666664)</f>
        <v>39811.66667</v>
      </c>
      <c r="B5823" s="1">
        <f>IFERROR(__xludf.DUMMYFUNCTION("""COMPUTED_VALUE"""),872.37)</f>
        <v>872.37</v>
      </c>
      <c r="C5823" s="1">
        <f>IFERROR(__xludf.DUMMYFUNCTION("""COMPUTED_VALUE"""),873.7)</f>
        <v>873.7</v>
      </c>
      <c r="D5823" s="1">
        <f>IFERROR(__xludf.DUMMYFUNCTION("""COMPUTED_VALUE"""),857.07)</f>
        <v>857.07</v>
      </c>
      <c r="E5823" s="1">
        <f>IFERROR(__xludf.DUMMYFUNCTION("""COMPUTED_VALUE"""),869.42)</f>
        <v>869.42</v>
      </c>
      <c r="F5823" s="1">
        <f>IFERROR(__xludf.DUMMYFUNCTION("""COMPUTED_VALUE"""),3.32343008E8)</f>
        <v>332343008</v>
      </c>
    </row>
    <row r="5824">
      <c r="A5824" s="2">
        <f>IFERROR(__xludf.DUMMYFUNCTION("""COMPUTED_VALUE"""),39812.666666666664)</f>
        <v>39812.66667</v>
      </c>
      <c r="B5824" s="1">
        <f>IFERROR(__xludf.DUMMYFUNCTION("""COMPUTED_VALUE"""),870.58)</f>
        <v>870.58</v>
      </c>
      <c r="C5824" s="1">
        <f>IFERROR(__xludf.DUMMYFUNCTION("""COMPUTED_VALUE"""),891.12)</f>
        <v>891.12</v>
      </c>
      <c r="D5824" s="1">
        <f>IFERROR(__xludf.DUMMYFUNCTION("""COMPUTED_VALUE"""),870.58)</f>
        <v>870.58</v>
      </c>
      <c r="E5824" s="1">
        <f>IFERROR(__xludf.DUMMYFUNCTION("""COMPUTED_VALUE"""),890.64)</f>
        <v>890.64</v>
      </c>
      <c r="F5824" s="1">
        <f>IFERROR(__xludf.DUMMYFUNCTION("""COMPUTED_VALUE"""),3.6278E8)</f>
        <v>362780000</v>
      </c>
    </row>
    <row r="5825">
      <c r="A5825" s="2">
        <f>IFERROR(__xludf.DUMMYFUNCTION("""COMPUTED_VALUE"""),39813.666666666664)</f>
        <v>39813.66667</v>
      </c>
      <c r="B5825" s="1">
        <f>IFERROR(__xludf.DUMMYFUNCTION("""COMPUTED_VALUE"""),890.59)</f>
        <v>890.59</v>
      </c>
      <c r="C5825" s="1">
        <f>IFERROR(__xludf.DUMMYFUNCTION("""COMPUTED_VALUE"""),910.32)</f>
        <v>910.32</v>
      </c>
      <c r="D5825" s="1">
        <f>IFERROR(__xludf.DUMMYFUNCTION("""COMPUTED_VALUE"""),889.67)</f>
        <v>889.67</v>
      </c>
      <c r="E5825" s="1">
        <f>IFERROR(__xludf.DUMMYFUNCTION("""COMPUTED_VALUE"""),903.25)</f>
        <v>903.25</v>
      </c>
      <c r="F5825" s="1">
        <f>IFERROR(__xludf.DUMMYFUNCTION("""COMPUTED_VALUE"""),4.17294016E8)</f>
        <v>417294016</v>
      </c>
    </row>
    <row r="5826">
      <c r="A5826" s="2">
        <f>IFERROR(__xludf.DUMMYFUNCTION("""COMPUTED_VALUE"""),39815.666666666664)</f>
        <v>39815.66667</v>
      </c>
      <c r="B5826" s="1">
        <f>IFERROR(__xludf.DUMMYFUNCTION("""COMPUTED_VALUE"""),902.99)</f>
        <v>902.99</v>
      </c>
      <c r="C5826" s="1">
        <f>IFERROR(__xludf.DUMMYFUNCTION("""COMPUTED_VALUE"""),934.73)</f>
        <v>934.73</v>
      </c>
      <c r="D5826" s="1">
        <f>IFERROR(__xludf.DUMMYFUNCTION("""COMPUTED_VALUE"""),899.35)</f>
        <v>899.35</v>
      </c>
      <c r="E5826" s="1">
        <f>IFERROR(__xludf.DUMMYFUNCTION("""COMPUTED_VALUE"""),931.8)</f>
        <v>931.8</v>
      </c>
      <c r="F5826" s="1">
        <f>IFERROR(__xludf.DUMMYFUNCTION("""COMPUTED_VALUE"""),4.04827008E8)</f>
        <v>404827008</v>
      </c>
    </row>
    <row r="5827">
      <c r="A5827" s="2">
        <f>IFERROR(__xludf.DUMMYFUNCTION("""COMPUTED_VALUE"""),39818.666666666664)</f>
        <v>39818.66667</v>
      </c>
      <c r="B5827" s="1">
        <f>IFERROR(__xludf.DUMMYFUNCTION("""COMPUTED_VALUE"""),929.17)</f>
        <v>929.17</v>
      </c>
      <c r="C5827" s="1">
        <f>IFERROR(__xludf.DUMMYFUNCTION("""COMPUTED_VALUE"""),936.63)</f>
        <v>936.63</v>
      </c>
      <c r="D5827" s="1">
        <f>IFERROR(__xludf.DUMMYFUNCTION("""COMPUTED_VALUE"""),919.53)</f>
        <v>919.53</v>
      </c>
      <c r="E5827" s="1">
        <f>IFERROR(__xludf.DUMMYFUNCTION("""COMPUTED_VALUE"""),927.45)</f>
        <v>927.45</v>
      </c>
      <c r="F5827" s="1">
        <f>IFERROR(__xludf.DUMMYFUNCTION("""COMPUTED_VALUE"""),5.41390976E8)</f>
        <v>541390976</v>
      </c>
    </row>
    <row r="5828">
      <c r="A5828" s="2">
        <f>IFERROR(__xludf.DUMMYFUNCTION("""COMPUTED_VALUE"""),39819.666666666664)</f>
        <v>39819.66667</v>
      </c>
      <c r="B5828" s="1">
        <f>IFERROR(__xludf.DUMMYFUNCTION("""COMPUTED_VALUE"""),931.17)</f>
        <v>931.17</v>
      </c>
      <c r="C5828" s="1">
        <f>IFERROR(__xludf.DUMMYFUNCTION("""COMPUTED_VALUE"""),943.85)</f>
        <v>943.85</v>
      </c>
      <c r="D5828" s="1">
        <f>IFERROR(__xludf.DUMMYFUNCTION("""COMPUTED_VALUE"""),927.28)</f>
        <v>927.28</v>
      </c>
      <c r="E5828" s="1">
        <f>IFERROR(__xludf.DUMMYFUNCTION("""COMPUTED_VALUE"""),934.7)</f>
        <v>934.7</v>
      </c>
      <c r="F5828" s="1">
        <f>IFERROR(__xludf.DUMMYFUNCTION("""COMPUTED_VALUE"""),5.39262016E8)</f>
        <v>539262016</v>
      </c>
    </row>
    <row r="5829">
      <c r="A5829" s="2">
        <f>IFERROR(__xludf.DUMMYFUNCTION("""COMPUTED_VALUE"""),39820.666666666664)</f>
        <v>39820.66667</v>
      </c>
      <c r="B5829" s="1">
        <f>IFERROR(__xludf.DUMMYFUNCTION("""COMPUTED_VALUE"""),927.45)</f>
        <v>927.45</v>
      </c>
      <c r="C5829" s="1">
        <f>IFERROR(__xludf.DUMMYFUNCTION("""COMPUTED_VALUE"""),927.45)</f>
        <v>927.45</v>
      </c>
      <c r="D5829" s="1">
        <f>IFERROR(__xludf.DUMMYFUNCTION("""COMPUTED_VALUE"""),902.37)</f>
        <v>902.37</v>
      </c>
      <c r="E5829" s="1">
        <f>IFERROR(__xludf.DUMMYFUNCTION("""COMPUTED_VALUE"""),906.65)</f>
        <v>906.65</v>
      </c>
      <c r="F5829" s="1">
        <f>IFERROR(__xludf.DUMMYFUNCTION("""COMPUTED_VALUE"""),4.70494016E8)</f>
        <v>470494016</v>
      </c>
    </row>
    <row r="5830">
      <c r="A5830" s="2">
        <f>IFERROR(__xludf.DUMMYFUNCTION("""COMPUTED_VALUE"""),39821.666666666664)</f>
        <v>39821.66667</v>
      </c>
      <c r="B5830" s="1">
        <f>IFERROR(__xludf.DUMMYFUNCTION("""COMPUTED_VALUE"""),905.73)</f>
        <v>905.73</v>
      </c>
      <c r="C5830" s="1">
        <f>IFERROR(__xludf.DUMMYFUNCTION("""COMPUTED_VALUE"""),910.0)</f>
        <v>910</v>
      </c>
      <c r="D5830" s="1">
        <f>IFERROR(__xludf.DUMMYFUNCTION("""COMPUTED_VALUE"""),896.81)</f>
        <v>896.81</v>
      </c>
      <c r="E5830" s="1">
        <f>IFERROR(__xludf.DUMMYFUNCTION("""COMPUTED_VALUE"""),909.73)</f>
        <v>909.73</v>
      </c>
      <c r="F5830" s="1">
        <f>IFERROR(__xludf.DUMMYFUNCTION("""COMPUTED_VALUE"""),4.99155008E8)</f>
        <v>499155008</v>
      </c>
    </row>
    <row r="5831">
      <c r="A5831" s="2">
        <f>IFERROR(__xludf.DUMMYFUNCTION("""COMPUTED_VALUE"""),39822.666666666664)</f>
        <v>39822.66667</v>
      </c>
      <c r="B5831" s="1">
        <f>IFERROR(__xludf.DUMMYFUNCTION("""COMPUTED_VALUE"""),909.91)</f>
        <v>909.91</v>
      </c>
      <c r="C5831" s="1">
        <f>IFERROR(__xludf.DUMMYFUNCTION("""COMPUTED_VALUE"""),911.93)</f>
        <v>911.93</v>
      </c>
      <c r="D5831" s="1">
        <f>IFERROR(__xludf.DUMMYFUNCTION("""COMPUTED_VALUE"""),888.31)</f>
        <v>888.31</v>
      </c>
      <c r="E5831" s="1">
        <f>IFERROR(__xludf.DUMMYFUNCTION("""COMPUTED_VALUE"""),890.35)</f>
        <v>890.35</v>
      </c>
      <c r="F5831" s="1">
        <f>IFERROR(__xludf.DUMMYFUNCTION("""COMPUTED_VALUE"""),4.71649984E8)</f>
        <v>471649984</v>
      </c>
    </row>
    <row r="5832">
      <c r="A5832" s="2">
        <f>IFERROR(__xludf.DUMMYFUNCTION("""COMPUTED_VALUE"""),39825.666666666664)</f>
        <v>39825.66667</v>
      </c>
      <c r="B5832" s="1">
        <f>IFERROR(__xludf.DUMMYFUNCTION("""COMPUTED_VALUE"""),890.4)</f>
        <v>890.4</v>
      </c>
      <c r="C5832" s="1">
        <f>IFERROR(__xludf.DUMMYFUNCTION("""COMPUTED_VALUE"""),890.4)</f>
        <v>890.4</v>
      </c>
      <c r="D5832" s="1">
        <f>IFERROR(__xludf.DUMMYFUNCTION("""COMPUTED_VALUE"""),864.32)</f>
        <v>864.32</v>
      </c>
      <c r="E5832" s="1">
        <f>IFERROR(__xludf.DUMMYFUNCTION("""COMPUTED_VALUE"""),870.26)</f>
        <v>870.26</v>
      </c>
      <c r="F5832" s="1">
        <f>IFERROR(__xludf.DUMMYFUNCTION("""COMPUTED_VALUE"""),4.72504992E8)</f>
        <v>472504992</v>
      </c>
    </row>
    <row r="5833">
      <c r="A5833" s="2">
        <f>IFERROR(__xludf.DUMMYFUNCTION("""COMPUTED_VALUE"""),39826.666666666664)</f>
        <v>39826.66667</v>
      </c>
      <c r="B5833" s="1">
        <f>IFERROR(__xludf.DUMMYFUNCTION("""COMPUTED_VALUE"""),869.79)</f>
        <v>869.79</v>
      </c>
      <c r="C5833" s="1">
        <f>IFERROR(__xludf.DUMMYFUNCTION("""COMPUTED_VALUE"""),877.02)</f>
        <v>877.02</v>
      </c>
      <c r="D5833" s="1">
        <f>IFERROR(__xludf.DUMMYFUNCTION("""COMPUTED_VALUE"""),862.02)</f>
        <v>862.02</v>
      </c>
      <c r="E5833" s="1">
        <f>IFERROR(__xludf.DUMMYFUNCTION("""COMPUTED_VALUE"""),871.79)</f>
        <v>871.79</v>
      </c>
      <c r="F5833" s="1">
        <f>IFERROR(__xludf.DUMMYFUNCTION("""COMPUTED_VALUE"""),5.01747008E8)</f>
        <v>501747008</v>
      </c>
    </row>
    <row r="5834">
      <c r="A5834" s="2">
        <f>IFERROR(__xludf.DUMMYFUNCTION("""COMPUTED_VALUE"""),39827.666666666664)</f>
        <v>39827.66667</v>
      </c>
      <c r="B5834" s="1">
        <f>IFERROR(__xludf.DUMMYFUNCTION("""COMPUTED_VALUE"""),867.28)</f>
        <v>867.28</v>
      </c>
      <c r="C5834" s="1">
        <f>IFERROR(__xludf.DUMMYFUNCTION("""COMPUTED_VALUE"""),867.28)</f>
        <v>867.28</v>
      </c>
      <c r="D5834" s="1">
        <f>IFERROR(__xludf.DUMMYFUNCTION("""COMPUTED_VALUE"""),836.93)</f>
        <v>836.93</v>
      </c>
      <c r="E5834" s="1">
        <f>IFERROR(__xludf.DUMMYFUNCTION("""COMPUTED_VALUE"""),842.62)</f>
        <v>842.62</v>
      </c>
      <c r="F5834" s="1">
        <f>IFERROR(__xludf.DUMMYFUNCTION("""COMPUTED_VALUE"""),5.40787968E8)</f>
        <v>540787968</v>
      </c>
    </row>
    <row r="5835">
      <c r="A5835" s="2">
        <f>IFERROR(__xludf.DUMMYFUNCTION("""COMPUTED_VALUE"""),39828.666666666664)</f>
        <v>39828.66667</v>
      </c>
      <c r="B5835" s="1">
        <f>IFERROR(__xludf.DUMMYFUNCTION("""COMPUTED_VALUE"""),841.99)</f>
        <v>841.99</v>
      </c>
      <c r="C5835" s="1">
        <f>IFERROR(__xludf.DUMMYFUNCTION("""COMPUTED_VALUE"""),851.59)</f>
        <v>851.59</v>
      </c>
      <c r="D5835" s="1">
        <f>IFERROR(__xludf.DUMMYFUNCTION("""COMPUTED_VALUE"""),817.04)</f>
        <v>817.04</v>
      </c>
      <c r="E5835" s="1">
        <f>IFERROR(__xludf.DUMMYFUNCTION("""COMPUTED_VALUE"""),843.74)</f>
        <v>843.74</v>
      </c>
      <c r="F5835" s="1">
        <f>IFERROR(__xludf.DUMMYFUNCTION("""COMPUTED_VALUE"""),3.8073504E8)</f>
        <v>380735040</v>
      </c>
    </row>
    <row r="5836">
      <c r="A5836" s="2">
        <f>IFERROR(__xludf.DUMMYFUNCTION("""COMPUTED_VALUE"""),39829.666666666664)</f>
        <v>39829.66667</v>
      </c>
      <c r="B5836" s="1">
        <f>IFERROR(__xludf.DUMMYFUNCTION("""COMPUTED_VALUE"""),844.45)</f>
        <v>844.45</v>
      </c>
      <c r="C5836" s="1">
        <f>IFERROR(__xludf.DUMMYFUNCTION("""COMPUTED_VALUE"""),858.13)</f>
        <v>858.13</v>
      </c>
      <c r="D5836" s="1">
        <f>IFERROR(__xludf.DUMMYFUNCTION("""COMPUTED_VALUE"""),830.66)</f>
        <v>830.66</v>
      </c>
      <c r="E5836" s="1">
        <f>IFERROR(__xludf.DUMMYFUNCTION("""COMPUTED_VALUE"""),850.12)</f>
        <v>850.12</v>
      </c>
      <c r="F5836" s="1">
        <f>IFERROR(__xludf.DUMMYFUNCTION("""COMPUTED_VALUE"""),6.78604032E8)</f>
        <v>678604032</v>
      </c>
    </row>
    <row r="5837">
      <c r="A5837" s="2">
        <f>IFERROR(__xludf.DUMMYFUNCTION("""COMPUTED_VALUE"""),39833.666666666664)</f>
        <v>39833.66667</v>
      </c>
      <c r="B5837" s="1">
        <f>IFERROR(__xludf.DUMMYFUNCTION("""COMPUTED_VALUE"""),849.64)</f>
        <v>849.64</v>
      </c>
      <c r="C5837" s="1">
        <f>IFERROR(__xludf.DUMMYFUNCTION("""COMPUTED_VALUE"""),849.64)</f>
        <v>849.64</v>
      </c>
      <c r="D5837" s="1">
        <f>IFERROR(__xludf.DUMMYFUNCTION("""COMPUTED_VALUE"""),804.47)</f>
        <v>804.47</v>
      </c>
      <c r="E5837" s="1">
        <f>IFERROR(__xludf.DUMMYFUNCTION("""COMPUTED_VALUE"""),805.22)</f>
        <v>805.22</v>
      </c>
      <c r="F5837" s="1">
        <f>IFERROR(__xludf.DUMMYFUNCTION("""COMPUTED_VALUE"""),6.37523008E8)</f>
        <v>637523008</v>
      </c>
    </row>
    <row r="5838">
      <c r="A5838" s="2">
        <f>IFERROR(__xludf.DUMMYFUNCTION("""COMPUTED_VALUE"""),39834.666666666664)</f>
        <v>39834.66667</v>
      </c>
      <c r="B5838" s="1">
        <f>IFERROR(__xludf.DUMMYFUNCTION("""COMPUTED_VALUE"""),806.77)</f>
        <v>806.77</v>
      </c>
      <c r="C5838" s="1">
        <f>IFERROR(__xludf.DUMMYFUNCTION("""COMPUTED_VALUE"""),841.72)</f>
        <v>841.72</v>
      </c>
      <c r="D5838" s="1">
        <f>IFERROR(__xludf.DUMMYFUNCTION("""COMPUTED_VALUE"""),804.3)</f>
        <v>804.3</v>
      </c>
      <c r="E5838" s="1">
        <f>IFERROR(__xludf.DUMMYFUNCTION("""COMPUTED_VALUE"""),840.24)</f>
        <v>840.24</v>
      </c>
      <c r="F5838" s="1">
        <f>IFERROR(__xludf.DUMMYFUNCTION("""COMPUTED_VALUE"""),6.46782976E8)</f>
        <v>646782976</v>
      </c>
    </row>
    <row r="5839">
      <c r="A5839" s="2">
        <f>IFERROR(__xludf.DUMMYFUNCTION("""COMPUTED_VALUE"""),39835.666666666664)</f>
        <v>39835.66667</v>
      </c>
      <c r="B5839" s="1">
        <f>IFERROR(__xludf.DUMMYFUNCTION("""COMPUTED_VALUE"""),839.74)</f>
        <v>839.74</v>
      </c>
      <c r="C5839" s="1">
        <f>IFERROR(__xludf.DUMMYFUNCTION("""COMPUTED_VALUE"""),839.74)</f>
        <v>839.74</v>
      </c>
      <c r="D5839" s="1">
        <f>IFERROR(__xludf.DUMMYFUNCTION("""COMPUTED_VALUE"""),811.29)</f>
        <v>811.29</v>
      </c>
      <c r="E5839" s="1">
        <f>IFERROR(__xludf.DUMMYFUNCTION("""COMPUTED_VALUE"""),827.5)</f>
        <v>827.5</v>
      </c>
      <c r="F5839" s="1">
        <f>IFERROR(__xludf.DUMMYFUNCTION("""COMPUTED_VALUE"""),5.84382976E8)</f>
        <v>584382976</v>
      </c>
    </row>
    <row r="5840">
      <c r="A5840" s="2">
        <f>IFERROR(__xludf.DUMMYFUNCTION("""COMPUTED_VALUE"""),39836.666666666664)</f>
        <v>39836.66667</v>
      </c>
      <c r="B5840" s="1">
        <f>IFERROR(__xludf.DUMMYFUNCTION("""COMPUTED_VALUE"""),822.16)</f>
        <v>822.16</v>
      </c>
      <c r="C5840" s="1">
        <f>IFERROR(__xludf.DUMMYFUNCTION("""COMPUTED_VALUE"""),838.61)</f>
        <v>838.61</v>
      </c>
      <c r="D5840" s="1">
        <f>IFERROR(__xludf.DUMMYFUNCTION("""COMPUTED_VALUE"""),806.07)</f>
        <v>806.07</v>
      </c>
      <c r="E5840" s="1">
        <f>IFERROR(__xludf.DUMMYFUNCTION("""COMPUTED_VALUE"""),831.95)</f>
        <v>831.95</v>
      </c>
      <c r="F5840" s="1">
        <f>IFERROR(__xludf.DUMMYFUNCTION("""COMPUTED_VALUE"""),5.83216E8)</f>
        <v>583216000</v>
      </c>
    </row>
    <row r="5841">
      <c r="A5841" s="2">
        <f>IFERROR(__xludf.DUMMYFUNCTION("""COMPUTED_VALUE"""),39839.666666666664)</f>
        <v>39839.66667</v>
      </c>
      <c r="B5841" s="1">
        <f>IFERROR(__xludf.DUMMYFUNCTION("""COMPUTED_VALUE"""),832.5)</f>
        <v>832.5</v>
      </c>
      <c r="C5841" s="1">
        <f>IFERROR(__xludf.DUMMYFUNCTION("""COMPUTED_VALUE"""),852.53)</f>
        <v>852.53</v>
      </c>
      <c r="D5841" s="1">
        <f>IFERROR(__xludf.DUMMYFUNCTION("""COMPUTED_VALUE"""),827.69)</f>
        <v>827.69</v>
      </c>
      <c r="E5841" s="1">
        <f>IFERROR(__xludf.DUMMYFUNCTION("""COMPUTED_VALUE"""),836.57)</f>
        <v>836.57</v>
      </c>
      <c r="F5841" s="1">
        <f>IFERROR(__xludf.DUMMYFUNCTION("""COMPUTED_VALUE"""),6.03993984E8)</f>
        <v>603993984</v>
      </c>
    </row>
    <row r="5842">
      <c r="A5842" s="2">
        <f>IFERROR(__xludf.DUMMYFUNCTION("""COMPUTED_VALUE"""),39840.666666666664)</f>
        <v>39840.66667</v>
      </c>
      <c r="B5842" s="1">
        <f>IFERROR(__xludf.DUMMYFUNCTION("""COMPUTED_VALUE"""),837.3)</f>
        <v>837.3</v>
      </c>
      <c r="C5842" s="1">
        <f>IFERROR(__xludf.DUMMYFUNCTION("""COMPUTED_VALUE"""),850.45)</f>
        <v>850.45</v>
      </c>
      <c r="D5842" s="1">
        <f>IFERROR(__xludf.DUMMYFUNCTION("""COMPUTED_VALUE"""),835.4)</f>
        <v>835.4</v>
      </c>
      <c r="E5842" s="1">
        <f>IFERROR(__xludf.DUMMYFUNCTION("""COMPUTED_VALUE"""),845.71)</f>
        <v>845.71</v>
      </c>
      <c r="F5842" s="1">
        <f>IFERROR(__xludf.DUMMYFUNCTION("""COMPUTED_VALUE"""),5.35326016E8)</f>
        <v>535326016</v>
      </c>
    </row>
    <row r="5843">
      <c r="A5843" s="2">
        <f>IFERROR(__xludf.DUMMYFUNCTION("""COMPUTED_VALUE"""),39841.666666666664)</f>
        <v>39841.66667</v>
      </c>
      <c r="B5843" s="1">
        <f>IFERROR(__xludf.DUMMYFUNCTION("""COMPUTED_VALUE"""),845.73)</f>
        <v>845.73</v>
      </c>
      <c r="C5843" s="1">
        <f>IFERROR(__xludf.DUMMYFUNCTION("""COMPUTED_VALUE"""),877.86)</f>
        <v>877.86</v>
      </c>
      <c r="D5843" s="1">
        <f>IFERROR(__xludf.DUMMYFUNCTION("""COMPUTED_VALUE"""),845.73)</f>
        <v>845.73</v>
      </c>
      <c r="E5843" s="1">
        <f>IFERROR(__xludf.DUMMYFUNCTION("""COMPUTED_VALUE"""),874.09)</f>
        <v>874.09</v>
      </c>
      <c r="F5843" s="1">
        <f>IFERROR(__xludf.DUMMYFUNCTION("""COMPUTED_VALUE"""),6.19918016E8)</f>
        <v>619918016</v>
      </c>
    </row>
    <row r="5844">
      <c r="A5844" s="2">
        <f>IFERROR(__xludf.DUMMYFUNCTION("""COMPUTED_VALUE"""),39842.666666666664)</f>
        <v>39842.66667</v>
      </c>
      <c r="B5844" s="1">
        <f>IFERROR(__xludf.DUMMYFUNCTION("""COMPUTED_VALUE"""),868.89)</f>
        <v>868.89</v>
      </c>
      <c r="C5844" s="1">
        <f>IFERROR(__xludf.DUMMYFUNCTION("""COMPUTED_VALUE"""),868.89)</f>
        <v>868.89</v>
      </c>
      <c r="D5844" s="1">
        <f>IFERROR(__xludf.DUMMYFUNCTION("""COMPUTED_VALUE"""),844.15)</f>
        <v>844.15</v>
      </c>
      <c r="E5844" s="1">
        <f>IFERROR(__xludf.DUMMYFUNCTION("""COMPUTED_VALUE"""),845.14)</f>
        <v>845.14</v>
      </c>
      <c r="F5844" s="1">
        <f>IFERROR(__xludf.DUMMYFUNCTION("""COMPUTED_VALUE"""),5.06705984E8)</f>
        <v>506705984</v>
      </c>
    </row>
    <row r="5845">
      <c r="A5845" s="2">
        <f>IFERROR(__xludf.DUMMYFUNCTION("""COMPUTED_VALUE"""),39843.666666666664)</f>
        <v>39843.66667</v>
      </c>
      <c r="B5845" s="1">
        <f>IFERROR(__xludf.DUMMYFUNCTION("""COMPUTED_VALUE"""),845.69)</f>
        <v>845.69</v>
      </c>
      <c r="C5845" s="1">
        <f>IFERROR(__xludf.DUMMYFUNCTION("""COMPUTED_VALUE"""),851.66)</f>
        <v>851.66</v>
      </c>
      <c r="D5845" s="1">
        <f>IFERROR(__xludf.DUMMYFUNCTION("""COMPUTED_VALUE"""),821.67)</f>
        <v>821.67</v>
      </c>
      <c r="E5845" s="1">
        <f>IFERROR(__xludf.DUMMYFUNCTION("""COMPUTED_VALUE"""),825.88)</f>
        <v>825.88</v>
      </c>
      <c r="F5845" s="1">
        <f>IFERROR(__xludf.DUMMYFUNCTION("""COMPUTED_VALUE"""),5.35057984E8)</f>
        <v>535057984</v>
      </c>
    </row>
    <row r="5846">
      <c r="A5846" s="2">
        <f>IFERROR(__xludf.DUMMYFUNCTION("""COMPUTED_VALUE"""),39846.666666666664)</f>
        <v>39846.66667</v>
      </c>
      <c r="B5846" s="1">
        <f>IFERROR(__xludf.DUMMYFUNCTION("""COMPUTED_VALUE"""),823.09)</f>
        <v>823.09</v>
      </c>
      <c r="C5846" s="1">
        <f>IFERROR(__xludf.DUMMYFUNCTION("""COMPUTED_VALUE"""),830.78)</f>
        <v>830.78</v>
      </c>
      <c r="D5846" s="1">
        <f>IFERROR(__xludf.DUMMYFUNCTION("""COMPUTED_VALUE"""),812.87)</f>
        <v>812.87</v>
      </c>
      <c r="E5846" s="1">
        <f>IFERROR(__xludf.DUMMYFUNCTION("""COMPUTED_VALUE"""),825.44)</f>
        <v>825.44</v>
      </c>
      <c r="F5846" s="1">
        <f>IFERROR(__xludf.DUMMYFUNCTION("""COMPUTED_VALUE"""),5.67326976E8)</f>
        <v>567326976</v>
      </c>
    </row>
    <row r="5847">
      <c r="A5847" s="2">
        <f>IFERROR(__xludf.DUMMYFUNCTION("""COMPUTED_VALUE"""),39847.666666666664)</f>
        <v>39847.66667</v>
      </c>
      <c r="B5847" s="1">
        <f>IFERROR(__xludf.DUMMYFUNCTION("""COMPUTED_VALUE"""),825.69)</f>
        <v>825.69</v>
      </c>
      <c r="C5847" s="1">
        <f>IFERROR(__xludf.DUMMYFUNCTION("""COMPUTED_VALUE"""),842.6)</f>
        <v>842.6</v>
      </c>
      <c r="D5847" s="1">
        <f>IFERROR(__xludf.DUMMYFUNCTION("""COMPUTED_VALUE"""),821.98)</f>
        <v>821.98</v>
      </c>
      <c r="E5847" s="1">
        <f>IFERROR(__xludf.DUMMYFUNCTION("""COMPUTED_VALUE"""),838.51)</f>
        <v>838.51</v>
      </c>
      <c r="F5847" s="1">
        <f>IFERROR(__xludf.DUMMYFUNCTION("""COMPUTED_VALUE"""),5.88630976E8)</f>
        <v>588630976</v>
      </c>
    </row>
    <row r="5848">
      <c r="A5848" s="2">
        <f>IFERROR(__xludf.DUMMYFUNCTION("""COMPUTED_VALUE"""),39848.666666666664)</f>
        <v>39848.66667</v>
      </c>
      <c r="B5848" s="1">
        <f>IFERROR(__xludf.DUMMYFUNCTION("""COMPUTED_VALUE"""),837.77)</f>
        <v>837.77</v>
      </c>
      <c r="C5848" s="1">
        <f>IFERROR(__xludf.DUMMYFUNCTION("""COMPUTED_VALUE"""),851.85)</f>
        <v>851.85</v>
      </c>
      <c r="D5848" s="1">
        <f>IFERROR(__xludf.DUMMYFUNCTION("""COMPUTED_VALUE"""),829.18)</f>
        <v>829.18</v>
      </c>
      <c r="E5848" s="1">
        <f>IFERROR(__xludf.DUMMYFUNCTION("""COMPUTED_VALUE"""),832.23)</f>
        <v>832.23</v>
      </c>
      <c r="F5848" s="1">
        <f>IFERROR(__xludf.DUMMYFUNCTION("""COMPUTED_VALUE"""),6.42044992E8)</f>
        <v>642044992</v>
      </c>
    </row>
    <row r="5849">
      <c r="A5849" s="2">
        <f>IFERROR(__xludf.DUMMYFUNCTION("""COMPUTED_VALUE"""),39849.666666666664)</f>
        <v>39849.66667</v>
      </c>
      <c r="B5849" s="1">
        <f>IFERROR(__xludf.DUMMYFUNCTION("""COMPUTED_VALUE"""),831.75)</f>
        <v>831.75</v>
      </c>
      <c r="C5849" s="1">
        <f>IFERROR(__xludf.DUMMYFUNCTION("""COMPUTED_VALUE"""),850.55)</f>
        <v>850.55</v>
      </c>
      <c r="D5849" s="1">
        <f>IFERROR(__xludf.DUMMYFUNCTION("""COMPUTED_VALUE"""),819.91)</f>
        <v>819.91</v>
      </c>
      <c r="E5849" s="1">
        <f>IFERROR(__xludf.DUMMYFUNCTION("""COMPUTED_VALUE"""),845.85)</f>
        <v>845.85</v>
      </c>
      <c r="F5849" s="1">
        <f>IFERROR(__xludf.DUMMYFUNCTION("""COMPUTED_VALUE"""),6.62403008E8)</f>
        <v>662403008</v>
      </c>
    </row>
    <row r="5850">
      <c r="A5850" s="2">
        <f>IFERROR(__xludf.DUMMYFUNCTION("""COMPUTED_VALUE"""),39850.666666666664)</f>
        <v>39850.66667</v>
      </c>
      <c r="B5850" s="1">
        <f>IFERROR(__xludf.DUMMYFUNCTION("""COMPUTED_VALUE"""),846.09)</f>
        <v>846.09</v>
      </c>
      <c r="C5850" s="1">
        <f>IFERROR(__xludf.DUMMYFUNCTION("""COMPUTED_VALUE"""),870.75)</f>
        <v>870.75</v>
      </c>
      <c r="D5850" s="1">
        <f>IFERROR(__xludf.DUMMYFUNCTION("""COMPUTED_VALUE"""),845.42)</f>
        <v>845.42</v>
      </c>
      <c r="E5850" s="1">
        <f>IFERROR(__xludf.DUMMYFUNCTION("""COMPUTED_VALUE"""),868.6)</f>
        <v>868.6</v>
      </c>
      <c r="F5850" s="1">
        <f>IFERROR(__xludf.DUMMYFUNCTION("""COMPUTED_VALUE"""),6.48409984E8)</f>
        <v>648409984</v>
      </c>
    </row>
    <row r="5851">
      <c r="A5851" s="2">
        <f>IFERROR(__xludf.DUMMYFUNCTION("""COMPUTED_VALUE"""),39853.666666666664)</f>
        <v>39853.66667</v>
      </c>
      <c r="B5851" s="1">
        <f>IFERROR(__xludf.DUMMYFUNCTION("""COMPUTED_VALUE"""),868.24)</f>
        <v>868.24</v>
      </c>
      <c r="C5851" s="1">
        <f>IFERROR(__xludf.DUMMYFUNCTION("""COMPUTED_VALUE"""),875.01)</f>
        <v>875.01</v>
      </c>
      <c r="D5851" s="1">
        <f>IFERROR(__xludf.DUMMYFUNCTION("""COMPUTED_VALUE"""),861.65)</f>
        <v>861.65</v>
      </c>
      <c r="E5851" s="1">
        <f>IFERROR(__xludf.DUMMYFUNCTION("""COMPUTED_VALUE"""),869.89)</f>
        <v>869.89</v>
      </c>
      <c r="F5851" s="1">
        <f>IFERROR(__xludf.DUMMYFUNCTION("""COMPUTED_VALUE"""),5.57436992E8)</f>
        <v>557436992</v>
      </c>
    </row>
    <row r="5852">
      <c r="A5852" s="2">
        <f>IFERROR(__xludf.DUMMYFUNCTION("""COMPUTED_VALUE"""),39854.666666666664)</f>
        <v>39854.66667</v>
      </c>
      <c r="B5852" s="1">
        <f>IFERROR(__xludf.DUMMYFUNCTION("""COMPUTED_VALUE"""),866.87)</f>
        <v>866.87</v>
      </c>
      <c r="C5852" s="1">
        <f>IFERROR(__xludf.DUMMYFUNCTION("""COMPUTED_VALUE"""),868.05)</f>
        <v>868.05</v>
      </c>
      <c r="D5852" s="1">
        <f>IFERROR(__xludf.DUMMYFUNCTION("""COMPUTED_VALUE"""),822.99)</f>
        <v>822.99</v>
      </c>
      <c r="E5852" s="1">
        <f>IFERROR(__xludf.DUMMYFUNCTION("""COMPUTED_VALUE"""),827.16)</f>
        <v>827.16</v>
      </c>
      <c r="F5852" s="1">
        <f>IFERROR(__xludf.DUMMYFUNCTION("""COMPUTED_VALUE"""),6.7701696E8)</f>
        <v>677016960</v>
      </c>
    </row>
    <row r="5853">
      <c r="A5853" s="2">
        <f>IFERROR(__xludf.DUMMYFUNCTION("""COMPUTED_VALUE"""),39855.666666666664)</f>
        <v>39855.66667</v>
      </c>
      <c r="B5853" s="1">
        <f>IFERROR(__xludf.DUMMYFUNCTION("""COMPUTED_VALUE"""),827.41)</f>
        <v>827.41</v>
      </c>
      <c r="C5853" s="1">
        <f>IFERROR(__xludf.DUMMYFUNCTION("""COMPUTED_VALUE"""),838.22)</f>
        <v>838.22</v>
      </c>
      <c r="D5853" s="1">
        <f>IFERROR(__xludf.DUMMYFUNCTION("""COMPUTED_VALUE"""),822.3)</f>
        <v>822.3</v>
      </c>
      <c r="E5853" s="1">
        <f>IFERROR(__xludf.DUMMYFUNCTION("""COMPUTED_VALUE"""),833.74)</f>
        <v>833.74</v>
      </c>
      <c r="F5853" s="1">
        <f>IFERROR(__xludf.DUMMYFUNCTION("""COMPUTED_VALUE"""),5.92646016E8)</f>
        <v>592646016</v>
      </c>
    </row>
    <row r="5854">
      <c r="A5854" s="2">
        <f>IFERROR(__xludf.DUMMYFUNCTION("""COMPUTED_VALUE"""),39856.666666666664)</f>
        <v>39856.66667</v>
      </c>
      <c r="B5854" s="1">
        <f>IFERROR(__xludf.DUMMYFUNCTION("""COMPUTED_VALUE"""),829.91)</f>
        <v>829.91</v>
      </c>
      <c r="C5854" s="1">
        <f>IFERROR(__xludf.DUMMYFUNCTION("""COMPUTED_VALUE"""),835.48)</f>
        <v>835.48</v>
      </c>
      <c r="D5854" s="1">
        <f>IFERROR(__xludf.DUMMYFUNCTION("""COMPUTED_VALUE"""),808.06)</f>
        <v>808.06</v>
      </c>
      <c r="E5854" s="1">
        <f>IFERROR(__xludf.DUMMYFUNCTION("""COMPUTED_VALUE"""),835.19)</f>
        <v>835.19</v>
      </c>
      <c r="F5854" s="1">
        <f>IFERROR(__xludf.DUMMYFUNCTION("""COMPUTED_VALUE"""),6.47646016E8)</f>
        <v>647646016</v>
      </c>
    </row>
    <row r="5855">
      <c r="A5855" s="2">
        <f>IFERROR(__xludf.DUMMYFUNCTION("""COMPUTED_VALUE"""),39857.666666666664)</f>
        <v>39857.66667</v>
      </c>
      <c r="B5855" s="1">
        <f>IFERROR(__xludf.DUMMYFUNCTION("""COMPUTED_VALUE"""),833.95)</f>
        <v>833.95</v>
      </c>
      <c r="C5855" s="1">
        <f>IFERROR(__xludf.DUMMYFUNCTION("""COMPUTED_VALUE"""),839.43)</f>
        <v>839.43</v>
      </c>
      <c r="D5855" s="1">
        <f>IFERROR(__xludf.DUMMYFUNCTION("""COMPUTED_VALUE"""),825.21)</f>
        <v>825.21</v>
      </c>
      <c r="E5855" s="1">
        <f>IFERROR(__xludf.DUMMYFUNCTION("""COMPUTED_VALUE"""),826.84)</f>
        <v>826.84</v>
      </c>
      <c r="F5855" s="1">
        <f>IFERROR(__xludf.DUMMYFUNCTION("""COMPUTED_VALUE"""),5.29664992E8)</f>
        <v>529664992</v>
      </c>
    </row>
    <row r="5856">
      <c r="A5856" s="2">
        <f>IFERROR(__xludf.DUMMYFUNCTION("""COMPUTED_VALUE"""),39861.666666666664)</f>
        <v>39861.66667</v>
      </c>
      <c r="B5856" s="1">
        <f>IFERROR(__xludf.DUMMYFUNCTION("""COMPUTED_VALUE"""),818.61)</f>
        <v>818.61</v>
      </c>
      <c r="C5856" s="1">
        <f>IFERROR(__xludf.DUMMYFUNCTION("""COMPUTED_VALUE"""),818.61)</f>
        <v>818.61</v>
      </c>
      <c r="D5856" s="1">
        <f>IFERROR(__xludf.DUMMYFUNCTION("""COMPUTED_VALUE"""),789.17)</f>
        <v>789.17</v>
      </c>
      <c r="E5856" s="1">
        <f>IFERROR(__xludf.DUMMYFUNCTION("""COMPUTED_VALUE"""),789.17)</f>
        <v>789.17</v>
      </c>
      <c r="F5856" s="1">
        <f>IFERROR(__xludf.DUMMYFUNCTION("""COMPUTED_VALUE"""),5.90782016E8)</f>
        <v>590782016</v>
      </c>
    </row>
    <row r="5857">
      <c r="A5857" s="2">
        <f>IFERROR(__xludf.DUMMYFUNCTION("""COMPUTED_VALUE"""),39862.666666666664)</f>
        <v>39862.66667</v>
      </c>
      <c r="B5857" s="1">
        <f>IFERROR(__xludf.DUMMYFUNCTION("""COMPUTED_VALUE"""),791.06)</f>
        <v>791.06</v>
      </c>
      <c r="C5857" s="1">
        <f>IFERROR(__xludf.DUMMYFUNCTION("""COMPUTED_VALUE"""),796.17)</f>
        <v>796.17</v>
      </c>
      <c r="D5857" s="1">
        <f>IFERROR(__xludf.DUMMYFUNCTION("""COMPUTED_VALUE"""),780.43)</f>
        <v>780.43</v>
      </c>
      <c r="E5857" s="1">
        <f>IFERROR(__xludf.DUMMYFUNCTION("""COMPUTED_VALUE"""),788.42)</f>
        <v>788.42</v>
      </c>
      <c r="F5857" s="1">
        <f>IFERROR(__xludf.DUMMYFUNCTION("""COMPUTED_VALUE"""),5.74070976E8)</f>
        <v>574070976</v>
      </c>
    </row>
    <row r="5858">
      <c r="A5858" s="2">
        <f>IFERROR(__xludf.DUMMYFUNCTION("""COMPUTED_VALUE"""),39863.666666666664)</f>
        <v>39863.66667</v>
      </c>
      <c r="B5858" s="1">
        <f>IFERROR(__xludf.DUMMYFUNCTION("""COMPUTED_VALUE"""),787.91)</f>
        <v>787.91</v>
      </c>
      <c r="C5858" s="1">
        <f>IFERROR(__xludf.DUMMYFUNCTION("""COMPUTED_VALUE"""),797.58)</f>
        <v>797.58</v>
      </c>
      <c r="D5858" s="1">
        <f>IFERROR(__xludf.DUMMYFUNCTION("""COMPUTED_VALUE"""),777.03)</f>
        <v>777.03</v>
      </c>
      <c r="E5858" s="1">
        <f>IFERROR(__xludf.DUMMYFUNCTION("""COMPUTED_VALUE"""),778.94)</f>
        <v>778.94</v>
      </c>
      <c r="F5858" s="1">
        <f>IFERROR(__xludf.DUMMYFUNCTION("""COMPUTED_VALUE"""),5.74694016E8)</f>
        <v>574694016</v>
      </c>
    </row>
    <row r="5859">
      <c r="A5859" s="2">
        <f>IFERROR(__xludf.DUMMYFUNCTION("""COMPUTED_VALUE"""),39864.666666666664)</f>
        <v>39864.66667</v>
      </c>
      <c r="B5859" s="1">
        <f>IFERROR(__xludf.DUMMYFUNCTION("""COMPUTED_VALUE"""),775.87)</f>
        <v>775.87</v>
      </c>
      <c r="C5859" s="1">
        <f>IFERROR(__xludf.DUMMYFUNCTION("""COMPUTED_VALUE"""),778.69)</f>
        <v>778.69</v>
      </c>
      <c r="D5859" s="1">
        <f>IFERROR(__xludf.DUMMYFUNCTION("""COMPUTED_VALUE"""),754.25)</f>
        <v>754.25</v>
      </c>
      <c r="E5859" s="1">
        <f>IFERROR(__xludf.DUMMYFUNCTION("""COMPUTED_VALUE"""),770.05)</f>
        <v>770.05</v>
      </c>
      <c r="F5859" s="1">
        <f>IFERROR(__xludf.DUMMYFUNCTION("""COMPUTED_VALUE"""),3.2105904E8)</f>
        <v>321059040</v>
      </c>
    </row>
    <row r="5860">
      <c r="A5860" s="2">
        <f>IFERROR(__xludf.DUMMYFUNCTION("""COMPUTED_VALUE"""),39867.666666666664)</f>
        <v>39867.66667</v>
      </c>
      <c r="B5860" s="1">
        <f>IFERROR(__xludf.DUMMYFUNCTION("""COMPUTED_VALUE"""),773.25)</f>
        <v>773.25</v>
      </c>
      <c r="C5860" s="1">
        <f>IFERROR(__xludf.DUMMYFUNCTION("""COMPUTED_VALUE"""),777.85)</f>
        <v>777.85</v>
      </c>
      <c r="D5860" s="1">
        <f>IFERROR(__xludf.DUMMYFUNCTION("""COMPUTED_VALUE"""),742.37)</f>
        <v>742.37</v>
      </c>
      <c r="E5860" s="1">
        <f>IFERROR(__xludf.DUMMYFUNCTION("""COMPUTED_VALUE"""),743.33)</f>
        <v>743.33</v>
      </c>
      <c r="F5860" s="1">
        <f>IFERROR(__xludf.DUMMYFUNCTION("""COMPUTED_VALUE"""),6.50929984E8)</f>
        <v>650929984</v>
      </c>
    </row>
    <row r="5861">
      <c r="A5861" s="2">
        <f>IFERROR(__xludf.DUMMYFUNCTION("""COMPUTED_VALUE"""),39868.666666666664)</f>
        <v>39868.66667</v>
      </c>
      <c r="B5861" s="1">
        <f>IFERROR(__xludf.DUMMYFUNCTION("""COMPUTED_VALUE"""),744.69)</f>
        <v>744.69</v>
      </c>
      <c r="C5861" s="1">
        <f>IFERROR(__xludf.DUMMYFUNCTION("""COMPUTED_VALUE"""),775.49)</f>
        <v>775.49</v>
      </c>
      <c r="D5861" s="1">
        <f>IFERROR(__xludf.DUMMYFUNCTION("""COMPUTED_VALUE"""),744.69)</f>
        <v>744.69</v>
      </c>
      <c r="E5861" s="1">
        <f>IFERROR(__xludf.DUMMYFUNCTION("""COMPUTED_VALUE"""),773.14)</f>
        <v>773.14</v>
      </c>
      <c r="F5861" s="1">
        <f>IFERROR(__xludf.DUMMYFUNCTION("""COMPUTED_VALUE"""),3.2344896E8)</f>
        <v>323448960</v>
      </c>
    </row>
    <row r="5862">
      <c r="A5862" s="2">
        <f>IFERROR(__xludf.DUMMYFUNCTION("""COMPUTED_VALUE"""),39869.666666666664)</f>
        <v>39869.66667</v>
      </c>
      <c r="B5862" s="1">
        <f>IFERROR(__xludf.DUMMYFUNCTION("""COMPUTED_VALUE"""),770.64)</f>
        <v>770.64</v>
      </c>
      <c r="C5862" s="1">
        <f>IFERROR(__xludf.DUMMYFUNCTION("""COMPUTED_VALUE"""),780.12)</f>
        <v>780.12</v>
      </c>
      <c r="D5862" s="1">
        <f>IFERROR(__xludf.DUMMYFUNCTION("""COMPUTED_VALUE"""),752.89)</f>
        <v>752.89</v>
      </c>
      <c r="E5862" s="1">
        <f>IFERROR(__xludf.DUMMYFUNCTION("""COMPUTED_VALUE"""),764.9)</f>
        <v>764.9</v>
      </c>
      <c r="F5862" s="1">
        <f>IFERROR(__xludf.DUMMYFUNCTION("""COMPUTED_VALUE"""),3.48364E8)</f>
        <v>348364000</v>
      </c>
    </row>
    <row r="5863">
      <c r="A5863" s="2">
        <f>IFERROR(__xludf.DUMMYFUNCTION("""COMPUTED_VALUE"""),39870.666666666664)</f>
        <v>39870.66667</v>
      </c>
      <c r="B5863" s="1">
        <f>IFERROR(__xludf.DUMMYFUNCTION("""COMPUTED_VALUE"""),765.76)</f>
        <v>765.76</v>
      </c>
      <c r="C5863" s="1">
        <f>IFERROR(__xludf.DUMMYFUNCTION("""COMPUTED_VALUE"""),779.42)</f>
        <v>779.42</v>
      </c>
      <c r="D5863" s="1">
        <f>IFERROR(__xludf.DUMMYFUNCTION("""COMPUTED_VALUE"""),751.75)</f>
        <v>751.75</v>
      </c>
      <c r="E5863" s="1">
        <f>IFERROR(__xludf.DUMMYFUNCTION("""COMPUTED_VALUE"""),752.83)</f>
        <v>752.83</v>
      </c>
      <c r="F5863" s="1">
        <f>IFERROR(__xludf.DUMMYFUNCTION("""COMPUTED_VALUE"""),3.5999696E8)</f>
        <v>359996960</v>
      </c>
    </row>
    <row r="5864">
      <c r="A5864" s="2">
        <f>IFERROR(__xludf.DUMMYFUNCTION("""COMPUTED_VALUE"""),39871.666666666664)</f>
        <v>39871.66667</v>
      </c>
      <c r="B5864" s="1">
        <f>IFERROR(__xludf.DUMMYFUNCTION("""COMPUTED_VALUE"""),749.93)</f>
        <v>749.93</v>
      </c>
      <c r="C5864" s="1">
        <f>IFERROR(__xludf.DUMMYFUNCTION("""COMPUTED_VALUE"""),751.27)</f>
        <v>751.27</v>
      </c>
      <c r="D5864" s="1">
        <f>IFERROR(__xludf.DUMMYFUNCTION("""COMPUTED_VALUE"""),734.52)</f>
        <v>734.52</v>
      </c>
      <c r="E5864" s="1">
        <f>IFERROR(__xludf.DUMMYFUNCTION("""COMPUTED_VALUE"""),735.09)</f>
        <v>735.09</v>
      </c>
      <c r="F5864" s="1">
        <f>IFERROR(__xludf.DUMMYFUNCTION("""COMPUTED_VALUE"""),3.92648E8)</f>
        <v>392648000</v>
      </c>
    </row>
    <row r="5865">
      <c r="A5865" s="2">
        <f>IFERROR(__xludf.DUMMYFUNCTION("""COMPUTED_VALUE"""),39874.666666666664)</f>
        <v>39874.66667</v>
      </c>
      <c r="B5865" s="1">
        <f>IFERROR(__xludf.DUMMYFUNCTION("""COMPUTED_VALUE"""),729.57)</f>
        <v>729.57</v>
      </c>
      <c r="C5865" s="1">
        <f>IFERROR(__xludf.DUMMYFUNCTION("""COMPUTED_VALUE"""),729.57)</f>
        <v>729.57</v>
      </c>
      <c r="D5865" s="1">
        <f>IFERROR(__xludf.DUMMYFUNCTION("""COMPUTED_VALUE"""),699.7)</f>
        <v>699.7</v>
      </c>
      <c r="E5865" s="1">
        <f>IFERROR(__xludf.DUMMYFUNCTION("""COMPUTED_VALUE"""),700.82)</f>
        <v>700.82</v>
      </c>
      <c r="F5865" s="1">
        <f>IFERROR(__xludf.DUMMYFUNCTION("""COMPUTED_VALUE"""),3.8682896E8)</f>
        <v>386828960</v>
      </c>
    </row>
    <row r="5866">
      <c r="A5866" s="2">
        <f>IFERROR(__xludf.DUMMYFUNCTION("""COMPUTED_VALUE"""),39875.666666666664)</f>
        <v>39875.66667</v>
      </c>
      <c r="B5866" s="1">
        <f>IFERROR(__xludf.DUMMYFUNCTION("""COMPUTED_VALUE"""),704.44)</f>
        <v>704.44</v>
      </c>
      <c r="C5866" s="1">
        <f>IFERROR(__xludf.DUMMYFUNCTION("""COMPUTED_VALUE"""),711.67)</f>
        <v>711.67</v>
      </c>
      <c r="D5866" s="1">
        <f>IFERROR(__xludf.DUMMYFUNCTION("""COMPUTED_VALUE"""),692.3)</f>
        <v>692.3</v>
      </c>
      <c r="E5866" s="1">
        <f>IFERROR(__xludf.DUMMYFUNCTION("""COMPUTED_VALUE"""),696.33)</f>
        <v>696.33</v>
      </c>
      <c r="F5866" s="1">
        <f>IFERROR(__xludf.DUMMYFUNCTION("""COMPUTED_VALUE"""),3.5832304E8)</f>
        <v>358323040</v>
      </c>
    </row>
    <row r="5867">
      <c r="A5867" s="2">
        <f>IFERROR(__xludf.DUMMYFUNCTION("""COMPUTED_VALUE"""),39876.666666666664)</f>
        <v>39876.66667</v>
      </c>
      <c r="B5867" s="1">
        <f>IFERROR(__xludf.DUMMYFUNCTION("""COMPUTED_VALUE"""),712.86)</f>
        <v>712.86</v>
      </c>
      <c r="C5867" s="1">
        <f>IFERROR(__xludf.DUMMYFUNCTION("""COMPUTED_VALUE"""),712.87)</f>
        <v>712.87</v>
      </c>
      <c r="D5867" s="1">
        <f>IFERROR(__xludf.DUMMYFUNCTION("""COMPUTED_VALUE"""),712.86)</f>
        <v>712.86</v>
      </c>
      <c r="E5867" s="1">
        <f>IFERROR(__xludf.DUMMYFUNCTION("""COMPUTED_VALUE"""),712.87)</f>
        <v>712.87</v>
      </c>
      <c r="F5867" s="1">
        <f>IFERROR(__xludf.DUMMYFUNCTION("""COMPUTED_VALUE"""),3.67361984E8)</f>
        <v>367361984</v>
      </c>
    </row>
    <row r="5868">
      <c r="A5868" s="2">
        <f>IFERROR(__xludf.DUMMYFUNCTION("""COMPUTED_VALUE"""),39877.666666666664)</f>
        <v>39877.66667</v>
      </c>
      <c r="B5868" s="1">
        <f>IFERROR(__xludf.DUMMYFUNCTION("""COMPUTED_VALUE"""),708.27)</f>
        <v>708.27</v>
      </c>
      <c r="C5868" s="1">
        <f>IFERROR(__xludf.DUMMYFUNCTION("""COMPUTED_VALUE"""),708.27)</f>
        <v>708.27</v>
      </c>
      <c r="D5868" s="1">
        <f>IFERROR(__xludf.DUMMYFUNCTION("""COMPUTED_VALUE"""),677.93)</f>
        <v>677.93</v>
      </c>
      <c r="E5868" s="1">
        <f>IFERROR(__xludf.DUMMYFUNCTION("""COMPUTED_VALUE"""),682.55)</f>
        <v>682.55</v>
      </c>
      <c r="F5868" s="1">
        <f>IFERROR(__xludf.DUMMYFUNCTION("""COMPUTED_VALUE"""),3.5072496E8)</f>
        <v>350724960</v>
      </c>
    </row>
    <row r="5869">
      <c r="A5869" s="2">
        <f>IFERROR(__xludf.DUMMYFUNCTION("""COMPUTED_VALUE"""),39878.666666666664)</f>
        <v>39878.66667</v>
      </c>
      <c r="B5869" s="1">
        <f>IFERROR(__xludf.DUMMYFUNCTION("""COMPUTED_VALUE"""),684.04)</f>
        <v>684.04</v>
      </c>
      <c r="C5869" s="1">
        <f>IFERROR(__xludf.DUMMYFUNCTION("""COMPUTED_VALUE"""),699.09)</f>
        <v>699.09</v>
      </c>
      <c r="D5869" s="1">
        <f>IFERROR(__xludf.DUMMYFUNCTION("""COMPUTED_VALUE"""),666.79)</f>
        <v>666.79</v>
      </c>
      <c r="E5869" s="1">
        <f>IFERROR(__xludf.DUMMYFUNCTION("""COMPUTED_VALUE"""),683.38)</f>
        <v>683.38</v>
      </c>
      <c r="F5869" s="1">
        <f>IFERROR(__xludf.DUMMYFUNCTION("""COMPUTED_VALUE"""),3.3318304E8)</f>
        <v>333183040</v>
      </c>
    </row>
    <row r="5870">
      <c r="A5870" s="2">
        <f>IFERROR(__xludf.DUMMYFUNCTION("""COMPUTED_VALUE"""),39881.666666666664)</f>
        <v>39881.66667</v>
      </c>
      <c r="B5870" s="1">
        <f>IFERROR(__xludf.DUMMYFUNCTION("""COMPUTED_VALUE"""),680.76)</f>
        <v>680.76</v>
      </c>
      <c r="C5870" s="1">
        <f>IFERROR(__xludf.DUMMYFUNCTION("""COMPUTED_VALUE"""),695.27)</f>
        <v>695.27</v>
      </c>
      <c r="D5870" s="1">
        <f>IFERROR(__xludf.DUMMYFUNCTION("""COMPUTED_VALUE"""),672.88)</f>
        <v>672.88</v>
      </c>
      <c r="E5870" s="1">
        <f>IFERROR(__xludf.DUMMYFUNCTION("""COMPUTED_VALUE"""),676.53)</f>
        <v>676.53</v>
      </c>
      <c r="F5870" s="1">
        <f>IFERROR(__xludf.DUMMYFUNCTION("""COMPUTED_VALUE"""),3.27732E8)</f>
        <v>327732000</v>
      </c>
    </row>
    <row r="5871">
      <c r="A5871" s="2">
        <f>IFERROR(__xludf.DUMMYFUNCTION("""COMPUTED_VALUE"""),39882.666666666664)</f>
        <v>39882.66667</v>
      </c>
      <c r="B5871" s="1">
        <f>IFERROR(__xludf.DUMMYFUNCTION("""COMPUTED_VALUE"""),679.28)</f>
        <v>679.28</v>
      </c>
      <c r="C5871" s="1">
        <f>IFERROR(__xludf.DUMMYFUNCTION("""COMPUTED_VALUE"""),719.6)</f>
        <v>719.6</v>
      </c>
      <c r="D5871" s="1">
        <f>IFERROR(__xludf.DUMMYFUNCTION("""COMPUTED_VALUE"""),679.28)</f>
        <v>679.28</v>
      </c>
      <c r="E5871" s="1">
        <f>IFERROR(__xludf.DUMMYFUNCTION("""COMPUTED_VALUE"""),719.6)</f>
        <v>719.6</v>
      </c>
      <c r="F5871" s="1">
        <f>IFERROR(__xludf.DUMMYFUNCTION("""COMPUTED_VALUE"""),3.6183296E8)</f>
        <v>361832960</v>
      </c>
    </row>
    <row r="5872">
      <c r="A5872" s="2">
        <f>IFERROR(__xludf.DUMMYFUNCTION("""COMPUTED_VALUE"""),39883.666666666664)</f>
        <v>39883.66667</v>
      </c>
      <c r="B5872" s="1">
        <f>IFERROR(__xludf.DUMMYFUNCTION("""COMPUTED_VALUE"""),719.59)</f>
        <v>719.59</v>
      </c>
      <c r="C5872" s="1">
        <f>IFERROR(__xludf.DUMMYFUNCTION("""COMPUTED_VALUE"""),731.92)</f>
        <v>731.92</v>
      </c>
      <c r="D5872" s="1">
        <f>IFERROR(__xludf.DUMMYFUNCTION("""COMPUTED_VALUE"""),713.85)</f>
        <v>713.85</v>
      </c>
      <c r="E5872" s="1">
        <f>IFERROR(__xludf.DUMMYFUNCTION("""COMPUTED_VALUE"""),721.36)</f>
        <v>721.36</v>
      </c>
      <c r="F5872" s="1">
        <f>IFERROR(__xludf.DUMMYFUNCTION("""COMPUTED_VALUE"""),3.2878096E8)</f>
        <v>328780960</v>
      </c>
    </row>
    <row r="5873">
      <c r="A5873" s="2">
        <f>IFERROR(__xludf.DUMMYFUNCTION("""COMPUTED_VALUE"""),39884.666666666664)</f>
        <v>39884.66667</v>
      </c>
      <c r="B5873" s="1">
        <f>IFERROR(__xludf.DUMMYFUNCTION("""COMPUTED_VALUE"""),720.89)</f>
        <v>720.89</v>
      </c>
      <c r="C5873" s="1">
        <f>IFERROR(__xludf.DUMMYFUNCTION("""COMPUTED_VALUE"""),752.63)</f>
        <v>752.63</v>
      </c>
      <c r="D5873" s="1">
        <f>IFERROR(__xludf.DUMMYFUNCTION("""COMPUTED_VALUE"""),714.76)</f>
        <v>714.76</v>
      </c>
      <c r="E5873" s="1">
        <f>IFERROR(__xludf.DUMMYFUNCTION("""COMPUTED_VALUE"""),750.74)</f>
        <v>750.74</v>
      </c>
      <c r="F5873" s="1">
        <f>IFERROR(__xludf.DUMMYFUNCTION("""COMPUTED_VALUE"""),3.3266304E8)</f>
        <v>332663040</v>
      </c>
    </row>
    <row r="5874">
      <c r="A5874" s="2">
        <f>IFERROR(__xludf.DUMMYFUNCTION("""COMPUTED_VALUE"""),39885.666666666664)</f>
        <v>39885.66667</v>
      </c>
      <c r="B5874" s="1">
        <f>IFERROR(__xludf.DUMMYFUNCTION("""COMPUTED_VALUE"""),751.97)</f>
        <v>751.97</v>
      </c>
      <c r="C5874" s="1">
        <f>IFERROR(__xludf.DUMMYFUNCTION("""COMPUTED_VALUE"""),758.29)</f>
        <v>758.29</v>
      </c>
      <c r="D5874" s="1">
        <f>IFERROR(__xludf.DUMMYFUNCTION("""COMPUTED_VALUE"""),742.46)</f>
        <v>742.46</v>
      </c>
      <c r="E5874" s="1">
        <f>IFERROR(__xludf.DUMMYFUNCTION("""COMPUTED_VALUE"""),756.55)</f>
        <v>756.55</v>
      </c>
      <c r="F5874" s="1">
        <f>IFERROR(__xludf.DUMMYFUNCTION("""COMPUTED_VALUE"""),6.78708992E8)</f>
        <v>678708992</v>
      </c>
    </row>
    <row r="5875">
      <c r="A5875" s="2">
        <f>IFERROR(__xludf.DUMMYFUNCTION("""COMPUTED_VALUE"""),39888.666666666664)</f>
        <v>39888.66667</v>
      </c>
      <c r="B5875" s="1">
        <f>IFERROR(__xludf.DUMMYFUNCTION("""COMPUTED_VALUE"""),758.84)</f>
        <v>758.84</v>
      </c>
      <c r="C5875" s="1">
        <f>IFERROR(__xludf.DUMMYFUNCTION("""COMPUTED_VALUE"""),774.53)</f>
        <v>774.53</v>
      </c>
      <c r="D5875" s="1">
        <f>IFERROR(__xludf.DUMMYFUNCTION("""COMPUTED_VALUE"""),753.37)</f>
        <v>753.37</v>
      </c>
      <c r="E5875" s="1">
        <f>IFERROR(__xludf.DUMMYFUNCTION("""COMPUTED_VALUE"""),753.89)</f>
        <v>753.89</v>
      </c>
      <c r="F5875" s="1">
        <f>IFERROR(__xludf.DUMMYFUNCTION("""COMPUTED_VALUE"""),3.88353984E8)</f>
        <v>388353984</v>
      </c>
    </row>
    <row r="5876">
      <c r="A5876" s="2">
        <f>IFERROR(__xludf.DUMMYFUNCTION("""COMPUTED_VALUE"""),39889.666666666664)</f>
        <v>39889.66667</v>
      </c>
      <c r="B5876" s="1">
        <f>IFERROR(__xludf.DUMMYFUNCTION("""COMPUTED_VALUE"""),753.88)</f>
        <v>753.88</v>
      </c>
      <c r="C5876" s="1">
        <f>IFERROR(__xludf.DUMMYFUNCTION("""COMPUTED_VALUE"""),778.12)</f>
        <v>778.12</v>
      </c>
      <c r="D5876" s="1">
        <f>IFERROR(__xludf.DUMMYFUNCTION("""COMPUTED_VALUE"""),749.93)</f>
        <v>749.93</v>
      </c>
      <c r="E5876" s="1">
        <f>IFERROR(__xludf.DUMMYFUNCTION("""COMPUTED_VALUE"""),778.12)</f>
        <v>778.12</v>
      </c>
      <c r="F5876" s="1">
        <f>IFERROR(__xludf.DUMMYFUNCTION("""COMPUTED_VALUE"""),6.1568E8)</f>
        <v>615680000</v>
      </c>
    </row>
    <row r="5877">
      <c r="A5877" s="2">
        <f>IFERROR(__xludf.DUMMYFUNCTION("""COMPUTED_VALUE"""),39890.666666666664)</f>
        <v>39890.66667</v>
      </c>
      <c r="B5877" s="1">
        <f>IFERROR(__xludf.DUMMYFUNCTION("""COMPUTED_VALUE"""),776.01)</f>
        <v>776.01</v>
      </c>
      <c r="C5877" s="1">
        <f>IFERROR(__xludf.DUMMYFUNCTION("""COMPUTED_VALUE"""),803.04)</f>
        <v>803.04</v>
      </c>
      <c r="D5877" s="1">
        <f>IFERROR(__xludf.DUMMYFUNCTION("""COMPUTED_VALUE"""),765.64)</f>
        <v>765.64</v>
      </c>
      <c r="E5877" s="1">
        <f>IFERROR(__xludf.DUMMYFUNCTION("""COMPUTED_VALUE"""),794.35)</f>
        <v>794.35</v>
      </c>
      <c r="F5877" s="1">
        <f>IFERROR(__xludf.DUMMYFUNCTION("""COMPUTED_VALUE"""),4.0984496E8)</f>
        <v>409844960</v>
      </c>
    </row>
    <row r="5878">
      <c r="A5878" s="2">
        <f>IFERROR(__xludf.DUMMYFUNCTION("""COMPUTED_VALUE"""),39891.666666666664)</f>
        <v>39891.66667</v>
      </c>
      <c r="B5878" s="1">
        <f>IFERROR(__xludf.DUMMYFUNCTION("""COMPUTED_VALUE"""),797.92)</f>
        <v>797.92</v>
      </c>
      <c r="C5878" s="1">
        <f>IFERROR(__xludf.DUMMYFUNCTION("""COMPUTED_VALUE"""),803.24)</f>
        <v>803.24</v>
      </c>
      <c r="D5878" s="1">
        <f>IFERROR(__xludf.DUMMYFUNCTION("""COMPUTED_VALUE"""),781.82)</f>
        <v>781.82</v>
      </c>
      <c r="E5878" s="1">
        <f>IFERROR(__xludf.DUMMYFUNCTION("""COMPUTED_VALUE"""),784.04)</f>
        <v>784.04</v>
      </c>
      <c r="F5878" s="1">
        <f>IFERROR(__xludf.DUMMYFUNCTION("""COMPUTED_VALUE"""),4.0338704E8)</f>
        <v>403387040</v>
      </c>
    </row>
    <row r="5879">
      <c r="A5879" s="2">
        <f>IFERROR(__xludf.DUMMYFUNCTION("""COMPUTED_VALUE"""),39892.666666666664)</f>
        <v>39892.66667</v>
      </c>
      <c r="B5879" s="1">
        <f>IFERROR(__xludf.DUMMYFUNCTION("""COMPUTED_VALUE"""),784.58)</f>
        <v>784.58</v>
      </c>
      <c r="C5879" s="1">
        <f>IFERROR(__xludf.DUMMYFUNCTION("""COMPUTED_VALUE"""),788.91)</f>
        <v>788.91</v>
      </c>
      <c r="D5879" s="1">
        <f>IFERROR(__xludf.DUMMYFUNCTION("""COMPUTED_VALUE"""),766.2)</f>
        <v>766.2</v>
      </c>
      <c r="E5879" s="1">
        <f>IFERROR(__xludf.DUMMYFUNCTION("""COMPUTED_VALUE"""),768.54)</f>
        <v>768.54</v>
      </c>
      <c r="F5879" s="1">
        <f>IFERROR(__xludf.DUMMYFUNCTION("""COMPUTED_VALUE"""),3.64372E8)</f>
        <v>364372000</v>
      </c>
    </row>
    <row r="5880">
      <c r="A5880" s="2">
        <f>IFERROR(__xludf.DUMMYFUNCTION("""COMPUTED_VALUE"""),39895.666666666664)</f>
        <v>39895.66667</v>
      </c>
      <c r="B5880" s="1">
        <f>IFERROR(__xludf.DUMMYFUNCTION("""COMPUTED_VALUE"""),772.31)</f>
        <v>772.31</v>
      </c>
      <c r="C5880" s="1">
        <f>IFERROR(__xludf.DUMMYFUNCTION("""COMPUTED_VALUE"""),823.37)</f>
        <v>823.37</v>
      </c>
      <c r="D5880" s="1">
        <f>IFERROR(__xludf.DUMMYFUNCTION("""COMPUTED_VALUE"""),772.31)</f>
        <v>772.31</v>
      </c>
      <c r="E5880" s="1">
        <f>IFERROR(__xludf.DUMMYFUNCTION("""COMPUTED_VALUE"""),822.92)</f>
        <v>822.92</v>
      </c>
      <c r="F5880" s="1">
        <f>IFERROR(__xludf.DUMMYFUNCTION("""COMPUTED_VALUE"""),3.7157696E8)</f>
        <v>371576960</v>
      </c>
    </row>
    <row r="5881">
      <c r="A5881" s="2">
        <f>IFERROR(__xludf.DUMMYFUNCTION("""COMPUTED_VALUE"""),39896.666666666664)</f>
        <v>39896.66667</v>
      </c>
      <c r="B5881" s="1">
        <f>IFERROR(__xludf.DUMMYFUNCTION("""COMPUTED_VALUE"""),868.24)</f>
        <v>868.24</v>
      </c>
      <c r="C5881" s="1">
        <f>IFERROR(__xludf.DUMMYFUNCTION("""COMPUTED_VALUE"""),875.01)</f>
        <v>875.01</v>
      </c>
      <c r="D5881" s="1">
        <f>IFERROR(__xludf.DUMMYFUNCTION("""COMPUTED_VALUE"""),666.79)</f>
        <v>666.79</v>
      </c>
      <c r="E5881" s="1">
        <f>IFERROR(__xludf.DUMMYFUNCTION("""COMPUTED_VALUE"""),806.25)</f>
        <v>806.25</v>
      </c>
      <c r="F5881" s="1">
        <f>IFERROR(__xludf.DUMMYFUNCTION("""COMPUTED_VALUE"""),6.76798016E8)</f>
        <v>676798016</v>
      </c>
    </row>
    <row r="5882">
      <c r="A5882" s="2">
        <f>IFERROR(__xludf.DUMMYFUNCTION("""COMPUTED_VALUE"""),39897.666666666664)</f>
        <v>39897.66667</v>
      </c>
      <c r="B5882" s="1">
        <f>IFERROR(__xludf.DUMMYFUNCTION("""COMPUTED_VALUE"""),806.81)</f>
        <v>806.81</v>
      </c>
      <c r="C5882" s="1">
        <f>IFERROR(__xludf.DUMMYFUNCTION("""COMPUTED_VALUE"""),826.78)</f>
        <v>826.78</v>
      </c>
      <c r="D5882" s="1">
        <f>IFERROR(__xludf.DUMMYFUNCTION("""COMPUTED_VALUE"""),791.37)</f>
        <v>791.37</v>
      </c>
      <c r="E5882" s="1">
        <f>IFERROR(__xludf.DUMMYFUNCTION("""COMPUTED_VALUE"""),813.88)</f>
        <v>813.88</v>
      </c>
      <c r="F5882" s="1">
        <f>IFERROR(__xludf.DUMMYFUNCTION("""COMPUTED_VALUE"""),3.68718016E8)</f>
        <v>368718016</v>
      </c>
    </row>
    <row r="5883">
      <c r="A5883" s="2">
        <f>IFERROR(__xludf.DUMMYFUNCTION("""COMPUTED_VALUE"""),39898.666666666664)</f>
        <v>39898.66667</v>
      </c>
      <c r="B5883" s="1">
        <f>IFERROR(__xludf.DUMMYFUNCTION("""COMPUTED_VALUE"""),814.06)</f>
        <v>814.06</v>
      </c>
      <c r="C5883" s="1">
        <f>IFERROR(__xludf.DUMMYFUNCTION("""COMPUTED_VALUE"""),832.98)</f>
        <v>832.98</v>
      </c>
      <c r="D5883" s="1">
        <f>IFERROR(__xludf.DUMMYFUNCTION("""COMPUTED_VALUE"""),814.06)</f>
        <v>814.06</v>
      </c>
      <c r="E5883" s="1">
        <f>IFERROR(__xludf.DUMMYFUNCTION("""COMPUTED_VALUE"""),832.86)</f>
        <v>832.86</v>
      </c>
      <c r="F5883" s="1">
        <f>IFERROR(__xludf.DUMMYFUNCTION("""COMPUTED_VALUE"""),6.99296E8)</f>
        <v>699296000</v>
      </c>
    </row>
    <row r="5884">
      <c r="A5884" s="2">
        <f>IFERROR(__xludf.DUMMYFUNCTION("""COMPUTED_VALUE"""),39899.666666666664)</f>
        <v>39899.66667</v>
      </c>
      <c r="B5884" s="1">
        <f>IFERROR(__xludf.DUMMYFUNCTION("""COMPUTED_VALUE"""),828.68)</f>
        <v>828.68</v>
      </c>
      <c r="C5884" s="1">
        <f>IFERROR(__xludf.DUMMYFUNCTION("""COMPUTED_VALUE"""),828.68)</f>
        <v>828.68</v>
      </c>
      <c r="D5884" s="1">
        <f>IFERROR(__xludf.DUMMYFUNCTION("""COMPUTED_VALUE"""),813.43)</f>
        <v>813.43</v>
      </c>
      <c r="E5884" s="1">
        <f>IFERROR(__xludf.DUMMYFUNCTION("""COMPUTED_VALUE"""),815.94)</f>
        <v>815.94</v>
      </c>
      <c r="F5884" s="1">
        <f>IFERROR(__xludf.DUMMYFUNCTION("""COMPUTED_VALUE"""),5.60020992E8)</f>
        <v>560020992</v>
      </c>
    </row>
    <row r="5885">
      <c r="A5885" s="2">
        <f>IFERROR(__xludf.DUMMYFUNCTION("""COMPUTED_VALUE"""),39902.666666666664)</f>
        <v>39902.66667</v>
      </c>
      <c r="B5885" s="1">
        <f>IFERROR(__xludf.DUMMYFUNCTION("""COMPUTED_VALUE"""),809.07)</f>
        <v>809.07</v>
      </c>
      <c r="C5885" s="1">
        <f>IFERROR(__xludf.DUMMYFUNCTION("""COMPUTED_VALUE"""),809.07)</f>
        <v>809.07</v>
      </c>
      <c r="D5885" s="1">
        <f>IFERROR(__xludf.DUMMYFUNCTION("""COMPUTED_VALUE"""),779.81)</f>
        <v>779.81</v>
      </c>
      <c r="E5885" s="1">
        <f>IFERROR(__xludf.DUMMYFUNCTION("""COMPUTED_VALUE"""),787.53)</f>
        <v>787.53</v>
      </c>
      <c r="F5885" s="1">
        <f>IFERROR(__xludf.DUMMYFUNCTION("""COMPUTED_VALUE"""),5.91265984E8)</f>
        <v>591265984</v>
      </c>
    </row>
    <row r="5886">
      <c r="A5886" s="2">
        <f>IFERROR(__xludf.DUMMYFUNCTION("""COMPUTED_VALUE"""),39903.666666666664)</f>
        <v>39903.66667</v>
      </c>
      <c r="B5886" s="1">
        <f>IFERROR(__xludf.DUMMYFUNCTION("""COMPUTED_VALUE"""),790.88)</f>
        <v>790.88</v>
      </c>
      <c r="C5886" s="1">
        <f>IFERROR(__xludf.DUMMYFUNCTION("""COMPUTED_VALUE"""),810.48)</f>
        <v>810.48</v>
      </c>
      <c r="D5886" s="1">
        <f>IFERROR(__xludf.DUMMYFUNCTION("""COMPUTED_VALUE"""),790.88)</f>
        <v>790.88</v>
      </c>
      <c r="E5886" s="1">
        <f>IFERROR(__xludf.DUMMYFUNCTION("""COMPUTED_VALUE"""),797.87)</f>
        <v>797.87</v>
      </c>
      <c r="F5886" s="1">
        <f>IFERROR(__xludf.DUMMYFUNCTION("""COMPUTED_VALUE"""),6.08910016E8)</f>
        <v>608910016</v>
      </c>
    </row>
    <row r="5887">
      <c r="A5887" s="2">
        <f>IFERROR(__xludf.DUMMYFUNCTION("""COMPUTED_VALUE"""),39904.666666666664)</f>
        <v>39904.66667</v>
      </c>
      <c r="B5887" s="1">
        <f>IFERROR(__xludf.DUMMYFUNCTION("""COMPUTED_VALUE"""),793.59)</f>
        <v>793.59</v>
      </c>
      <c r="C5887" s="1">
        <f>IFERROR(__xludf.DUMMYFUNCTION("""COMPUTED_VALUE"""),813.62)</f>
        <v>813.62</v>
      </c>
      <c r="D5887" s="1">
        <f>IFERROR(__xludf.DUMMYFUNCTION("""COMPUTED_VALUE"""),783.32)</f>
        <v>783.32</v>
      </c>
      <c r="E5887" s="1">
        <f>IFERROR(__xludf.DUMMYFUNCTION("""COMPUTED_VALUE"""),811.08)</f>
        <v>811.08</v>
      </c>
      <c r="F5887" s="1">
        <f>IFERROR(__xludf.DUMMYFUNCTION("""COMPUTED_VALUE"""),6.03414016E8)</f>
        <v>603414016</v>
      </c>
    </row>
    <row r="5888">
      <c r="A5888" s="2">
        <f>IFERROR(__xludf.DUMMYFUNCTION("""COMPUTED_VALUE"""),39905.666666666664)</f>
        <v>39905.66667</v>
      </c>
      <c r="B5888" s="1">
        <f>IFERROR(__xludf.DUMMYFUNCTION("""COMPUTED_VALUE"""),814.53)</f>
        <v>814.53</v>
      </c>
      <c r="C5888" s="1">
        <f>IFERROR(__xludf.DUMMYFUNCTION("""COMPUTED_VALUE"""),845.61)</f>
        <v>845.61</v>
      </c>
      <c r="D5888" s="1">
        <f>IFERROR(__xludf.DUMMYFUNCTION("""COMPUTED_VALUE"""),814.53)</f>
        <v>814.53</v>
      </c>
      <c r="E5888" s="1">
        <f>IFERROR(__xludf.DUMMYFUNCTION("""COMPUTED_VALUE"""),834.38)</f>
        <v>834.38</v>
      </c>
      <c r="F5888" s="1">
        <f>IFERROR(__xludf.DUMMYFUNCTION("""COMPUTED_VALUE"""),3.5428096E8)</f>
        <v>354280960</v>
      </c>
    </row>
    <row r="5889">
      <c r="A5889" s="2">
        <f>IFERROR(__xludf.DUMMYFUNCTION("""COMPUTED_VALUE"""),39906.666666666664)</f>
        <v>39906.66667</v>
      </c>
      <c r="B5889" s="1">
        <f>IFERROR(__xludf.DUMMYFUNCTION("""COMPUTED_VALUE"""),835.13)</f>
        <v>835.13</v>
      </c>
      <c r="C5889" s="1">
        <f>IFERROR(__xludf.DUMMYFUNCTION("""COMPUTED_VALUE"""),842.5)</f>
        <v>842.5</v>
      </c>
      <c r="D5889" s="1">
        <f>IFERROR(__xludf.DUMMYFUNCTION("""COMPUTED_VALUE"""),826.7)</f>
        <v>826.7</v>
      </c>
      <c r="E5889" s="1">
        <f>IFERROR(__xludf.DUMMYFUNCTION("""COMPUTED_VALUE"""),842.5)</f>
        <v>842.5</v>
      </c>
      <c r="F5889" s="1">
        <f>IFERROR(__xludf.DUMMYFUNCTION("""COMPUTED_VALUE"""),5.85564032E8)</f>
        <v>585564032</v>
      </c>
    </row>
    <row r="5890">
      <c r="A5890" s="2">
        <f>IFERROR(__xludf.DUMMYFUNCTION("""COMPUTED_VALUE"""),39909.666666666664)</f>
        <v>39909.66667</v>
      </c>
      <c r="B5890" s="1">
        <f>IFERROR(__xludf.DUMMYFUNCTION("""COMPUTED_VALUE"""),839.75)</f>
        <v>839.75</v>
      </c>
      <c r="C5890" s="1">
        <f>IFERROR(__xludf.DUMMYFUNCTION("""COMPUTED_VALUE"""),839.75)</f>
        <v>839.75</v>
      </c>
      <c r="D5890" s="1">
        <f>IFERROR(__xludf.DUMMYFUNCTION("""COMPUTED_VALUE"""),822.79)</f>
        <v>822.79</v>
      </c>
      <c r="E5890" s="1">
        <f>IFERROR(__xludf.DUMMYFUNCTION("""COMPUTED_VALUE"""),835.48)</f>
        <v>835.48</v>
      </c>
      <c r="F5890" s="1">
        <f>IFERROR(__xludf.DUMMYFUNCTION("""COMPUTED_VALUE"""),6.21E8)</f>
        <v>621000000</v>
      </c>
    </row>
    <row r="5891">
      <c r="A5891" s="2">
        <f>IFERROR(__xludf.DUMMYFUNCTION("""COMPUTED_VALUE"""),39910.666666666664)</f>
        <v>39910.66667</v>
      </c>
      <c r="B5891" s="1">
        <f>IFERROR(__xludf.DUMMYFUNCTION("""COMPUTED_VALUE"""),817.98)</f>
        <v>817.98</v>
      </c>
      <c r="C5891" s="1">
        <f>IFERROR(__xludf.DUMMYFUNCTION("""COMPUTED_VALUE"""),825.56)</f>
        <v>825.56</v>
      </c>
      <c r="D5891" s="1">
        <f>IFERROR(__xludf.DUMMYFUNCTION("""COMPUTED_VALUE"""),814.53)</f>
        <v>814.53</v>
      </c>
      <c r="E5891" s="1">
        <f>IFERROR(__xludf.DUMMYFUNCTION("""COMPUTED_VALUE"""),815.55)</f>
        <v>815.55</v>
      </c>
      <c r="F5891" s="1">
        <f>IFERROR(__xludf.DUMMYFUNCTION("""COMPUTED_VALUE"""),5.15558016E8)</f>
        <v>515558016</v>
      </c>
    </row>
    <row r="5892">
      <c r="A5892" s="2">
        <f>IFERROR(__xludf.DUMMYFUNCTION("""COMPUTED_VALUE"""),39911.666666666664)</f>
        <v>39911.66667</v>
      </c>
      <c r="B5892" s="1">
        <f>IFERROR(__xludf.DUMMYFUNCTION("""COMPUTED_VALUE"""),816.76)</f>
        <v>816.76</v>
      </c>
      <c r="C5892" s="1">
        <f>IFERROR(__xludf.DUMMYFUNCTION("""COMPUTED_VALUE"""),828.42)</f>
        <v>828.42</v>
      </c>
      <c r="D5892" s="1">
        <f>IFERROR(__xludf.DUMMYFUNCTION("""COMPUTED_VALUE"""),814.84)</f>
        <v>814.84</v>
      </c>
      <c r="E5892" s="1">
        <f>IFERROR(__xludf.DUMMYFUNCTION("""COMPUTED_VALUE"""),825.16)</f>
        <v>825.16</v>
      </c>
      <c r="F5892" s="1">
        <f>IFERROR(__xludf.DUMMYFUNCTION("""COMPUTED_VALUE"""),5.93846016E8)</f>
        <v>593846016</v>
      </c>
    </row>
    <row r="5893">
      <c r="A5893" s="2">
        <f>IFERROR(__xludf.DUMMYFUNCTION("""COMPUTED_VALUE"""),39912.666666666664)</f>
        <v>39912.66667</v>
      </c>
      <c r="B5893" s="1">
        <f>IFERROR(__xludf.DUMMYFUNCTION("""COMPUTED_VALUE"""),829.29)</f>
        <v>829.29</v>
      </c>
      <c r="C5893" s="1">
        <f>IFERROR(__xludf.DUMMYFUNCTION("""COMPUTED_VALUE"""),856.91)</f>
        <v>856.91</v>
      </c>
      <c r="D5893" s="1">
        <f>IFERROR(__xludf.DUMMYFUNCTION("""COMPUTED_VALUE"""),829.29)</f>
        <v>829.29</v>
      </c>
      <c r="E5893" s="1">
        <f>IFERROR(__xludf.DUMMYFUNCTION("""COMPUTED_VALUE"""),856.56)</f>
        <v>856.56</v>
      </c>
      <c r="F5893" s="1">
        <f>IFERROR(__xludf.DUMMYFUNCTION("""COMPUTED_VALUE"""),3.6007104E8)</f>
        <v>360071040</v>
      </c>
    </row>
    <row r="5894">
      <c r="A5894" s="2">
        <f>IFERROR(__xludf.DUMMYFUNCTION("""COMPUTED_VALUE"""),39916.666666666664)</f>
        <v>39916.66667</v>
      </c>
      <c r="B5894" s="1">
        <f>IFERROR(__xludf.DUMMYFUNCTION("""COMPUTED_VALUE"""),855.33)</f>
        <v>855.33</v>
      </c>
      <c r="C5894" s="1">
        <f>IFERROR(__xludf.DUMMYFUNCTION("""COMPUTED_VALUE"""),864.31)</f>
        <v>864.31</v>
      </c>
      <c r="D5894" s="1">
        <f>IFERROR(__xludf.DUMMYFUNCTION("""COMPUTED_VALUE"""),845.35)</f>
        <v>845.35</v>
      </c>
      <c r="E5894" s="1">
        <f>IFERROR(__xludf.DUMMYFUNCTION("""COMPUTED_VALUE"""),858.73)</f>
        <v>858.73</v>
      </c>
      <c r="F5894" s="1">
        <f>IFERROR(__xludf.DUMMYFUNCTION("""COMPUTED_VALUE"""),6.43489024E8)</f>
        <v>643489024</v>
      </c>
    </row>
    <row r="5895">
      <c r="A5895" s="2">
        <f>IFERROR(__xludf.DUMMYFUNCTION("""COMPUTED_VALUE"""),39917.666666666664)</f>
        <v>39917.66667</v>
      </c>
      <c r="B5895" s="1">
        <f>IFERROR(__xludf.DUMMYFUNCTION("""COMPUTED_VALUE"""),856.88)</f>
        <v>856.88</v>
      </c>
      <c r="C5895" s="1">
        <f>IFERROR(__xludf.DUMMYFUNCTION("""COMPUTED_VALUE"""),856.88)</f>
        <v>856.88</v>
      </c>
      <c r="D5895" s="1">
        <f>IFERROR(__xludf.DUMMYFUNCTION("""COMPUTED_VALUE"""),840.25)</f>
        <v>840.25</v>
      </c>
      <c r="E5895" s="1">
        <f>IFERROR(__xludf.DUMMYFUNCTION("""COMPUTED_VALUE"""),841.5)</f>
        <v>841.5</v>
      </c>
      <c r="F5895" s="1">
        <f>IFERROR(__xludf.DUMMYFUNCTION("""COMPUTED_VALUE"""),3.56984E8)</f>
        <v>356984000</v>
      </c>
    </row>
    <row r="5896">
      <c r="A5896" s="2">
        <f>IFERROR(__xludf.DUMMYFUNCTION("""COMPUTED_VALUE"""),39918.666666666664)</f>
        <v>39918.66667</v>
      </c>
      <c r="B5896" s="1">
        <f>IFERROR(__xludf.DUMMYFUNCTION("""COMPUTED_VALUE"""),839.44)</f>
        <v>839.44</v>
      </c>
      <c r="C5896" s="1">
        <f>IFERROR(__xludf.DUMMYFUNCTION("""COMPUTED_VALUE"""),852.93)</f>
        <v>852.93</v>
      </c>
      <c r="D5896" s="1">
        <f>IFERROR(__xludf.DUMMYFUNCTION("""COMPUTED_VALUE"""),835.58)</f>
        <v>835.58</v>
      </c>
      <c r="E5896" s="1">
        <f>IFERROR(__xludf.DUMMYFUNCTION("""COMPUTED_VALUE"""),852.06)</f>
        <v>852.06</v>
      </c>
      <c r="F5896" s="1">
        <f>IFERROR(__xludf.DUMMYFUNCTION("""COMPUTED_VALUE"""),6.24110016E8)</f>
        <v>624110016</v>
      </c>
    </row>
    <row r="5897">
      <c r="A5897" s="2">
        <f>IFERROR(__xludf.DUMMYFUNCTION("""COMPUTED_VALUE"""),39919.666666666664)</f>
        <v>39919.66667</v>
      </c>
      <c r="B5897" s="1">
        <f>IFERROR(__xludf.DUMMYFUNCTION("""COMPUTED_VALUE"""),854.54)</f>
        <v>854.54</v>
      </c>
      <c r="C5897" s="1">
        <f>IFERROR(__xludf.DUMMYFUNCTION("""COMPUTED_VALUE"""),870.35)</f>
        <v>870.35</v>
      </c>
      <c r="D5897" s="1">
        <f>IFERROR(__xludf.DUMMYFUNCTION("""COMPUTED_VALUE"""),847.04)</f>
        <v>847.04</v>
      </c>
      <c r="E5897" s="1">
        <f>IFERROR(__xludf.DUMMYFUNCTION("""COMPUTED_VALUE"""),865.3)</f>
        <v>865.3</v>
      </c>
      <c r="F5897" s="1">
        <f>IFERROR(__xludf.DUMMYFUNCTION("""COMPUTED_VALUE"""),6.59867008E8)</f>
        <v>659867008</v>
      </c>
    </row>
    <row r="5898">
      <c r="A5898" s="2">
        <f>IFERROR(__xludf.DUMMYFUNCTION("""COMPUTED_VALUE"""),39920.666666666664)</f>
        <v>39920.66667</v>
      </c>
      <c r="B5898" s="1">
        <f>IFERROR(__xludf.DUMMYFUNCTION("""COMPUTED_VALUE"""),865.18)</f>
        <v>865.18</v>
      </c>
      <c r="C5898" s="1">
        <f>IFERROR(__xludf.DUMMYFUNCTION("""COMPUTED_VALUE"""),875.63)</f>
        <v>875.63</v>
      </c>
      <c r="D5898" s="1">
        <f>IFERROR(__xludf.DUMMYFUNCTION("""COMPUTED_VALUE"""),860.87)</f>
        <v>860.87</v>
      </c>
      <c r="E5898" s="1">
        <f>IFERROR(__xludf.DUMMYFUNCTION("""COMPUTED_VALUE"""),869.6)</f>
        <v>869.6</v>
      </c>
      <c r="F5898" s="1">
        <f>IFERROR(__xludf.DUMMYFUNCTION("""COMPUTED_VALUE"""),3.3520096E8)</f>
        <v>335200960</v>
      </c>
    </row>
    <row r="5899">
      <c r="A5899" s="2">
        <f>IFERROR(__xludf.DUMMYFUNCTION("""COMPUTED_VALUE"""),39923.666666666664)</f>
        <v>39923.66667</v>
      </c>
      <c r="B5899" s="1">
        <f>IFERROR(__xludf.DUMMYFUNCTION("""COMPUTED_VALUE"""),868.27)</f>
        <v>868.27</v>
      </c>
      <c r="C5899" s="1">
        <f>IFERROR(__xludf.DUMMYFUNCTION("""COMPUTED_VALUE"""),868.27)</f>
        <v>868.27</v>
      </c>
      <c r="D5899" s="1">
        <f>IFERROR(__xludf.DUMMYFUNCTION("""COMPUTED_VALUE"""),832.39)</f>
        <v>832.39</v>
      </c>
      <c r="E5899" s="1">
        <f>IFERROR(__xludf.DUMMYFUNCTION("""COMPUTED_VALUE"""),832.39)</f>
        <v>832.39</v>
      </c>
      <c r="F5899" s="1">
        <f>IFERROR(__xludf.DUMMYFUNCTION("""COMPUTED_VALUE"""),6.97395968E8)</f>
        <v>697395968</v>
      </c>
    </row>
    <row r="5900">
      <c r="A5900" s="2">
        <f>IFERROR(__xludf.DUMMYFUNCTION("""COMPUTED_VALUE"""),39924.666666666664)</f>
        <v>39924.66667</v>
      </c>
      <c r="B5900" s="1">
        <f>IFERROR(__xludf.DUMMYFUNCTION("""COMPUTED_VALUE"""),831.25)</f>
        <v>831.25</v>
      </c>
      <c r="C5900" s="1">
        <f>IFERROR(__xludf.DUMMYFUNCTION("""COMPUTED_VALUE"""),850.09)</f>
        <v>850.09</v>
      </c>
      <c r="D5900" s="1">
        <f>IFERROR(__xludf.DUMMYFUNCTION("""COMPUTED_VALUE"""),826.83)</f>
        <v>826.83</v>
      </c>
      <c r="E5900" s="1">
        <f>IFERROR(__xludf.DUMMYFUNCTION("""COMPUTED_VALUE"""),850.08)</f>
        <v>850.08</v>
      </c>
      <c r="F5900" s="1">
        <f>IFERROR(__xludf.DUMMYFUNCTION("""COMPUTED_VALUE"""),3.4364896E8)</f>
        <v>343648960</v>
      </c>
    </row>
    <row r="5901">
      <c r="A5901" s="2">
        <f>IFERROR(__xludf.DUMMYFUNCTION("""COMPUTED_VALUE"""),39925.666666666664)</f>
        <v>39925.66667</v>
      </c>
      <c r="B5901" s="1">
        <f>IFERROR(__xludf.DUMMYFUNCTION("""COMPUTED_VALUE"""),847.26)</f>
        <v>847.26</v>
      </c>
      <c r="C5901" s="1">
        <f>IFERROR(__xludf.DUMMYFUNCTION("""COMPUTED_VALUE"""),861.78)</f>
        <v>861.78</v>
      </c>
      <c r="D5901" s="1">
        <f>IFERROR(__xludf.DUMMYFUNCTION("""COMPUTED_VALUE"""),840.57)</f>
        <v>840.57</v>
      </c>
      <c r="E5901" s="1">
        <f>IFERROR(__xludf.DUMMYFUNCTION("""COMPUTED_VALUE"""),843.55)</f>
        <v>843.55</v>
      </c>
      <c r="F5901" s="1">
        <f>IFERROR(__xludf.DUMMYFUNCTION("""COMPUTED_VALUE"""),3.32785984E8)</f>
        <v>332785984</v>
      </c>
    </row>
    <row r="5902">
      <c r="A5902" s="2">
        <f>IFERROR(__xludf.DUMMYFUNCTION("""COMPUTED_VALUE"""),39926.666666666664)</f>
        <v>39926.66667</v>
      </c>
      <c r="B5902" s="1">
        <f>IFERROR(__xludf.DUMMYFUNCTION("""COMPUTED_VALUE"""),844.62)</f>
        <v>844.62</v>
      </c>
      <c r="C5902" s="1">
        <f>IFERROR(__xludf.DUMMYFUNCTION("""COMPUTED_VALUE"""),852.87)</f>
        <v>852.87</v>
      </c>
      <c r="D5902" s="1">
        <f>IFERROR(__xludf.DUMMYFUNCTION("""COMPUTED_VALUE"""),835.45)</f>
        <v>835.45</v>
      </c>
      <c r="E5902" s="1">
        <f>IFERROR(__xludf.DUMMYFUNCTION("""COMPUTED_VALUE"""),851.92)</f>
        <v>851.92</v>
      </c>
      <c r="F5902" s="1">
        <f>IFERROR(__xludf.DUMMYFUNCTION("""COMPUTED_VALUE"""),6.56310016E8)</f>
        <v>656310016</v>
      </c>
    </row>
    <row r="5903">
      <c r="A5903" s="2">
        <f>IFERROR(__xludf.DUMMYFUNCTION("""COMPUTED_VALUE"""),39927.666666666664)</f>
        <v>39927.66667</v>
      </c>
      <c r="B5903" s="1">
        <f>IFERROR(__xludf.DUMMYFUNCTION("""COMPUTED_VALUE"""),853.91)</f>
        <v>853.91</v>
      </c>
      <c r="C5903" s="1">
        <f>IFERROR(__xludf.DUMMYFUNCTION("""COMPUTED_VALUE"""),871.8)</f>
        <v>871.8</v>
      </c>
      <c r="D5903" s="1">
        <f>IFERROR(__xludf.DUMMYFUNCTION("""COMPUTED_VALUE"""),853.91)</f>
        <v>853.91</v>
      </c>
      <c r="E5903" s="1">
        <f>IFERROR(__xludf.DUMMYFUNCTION("""COMPUTED_VALUE"""),866.23)</f>
        <v>866.23</v>
      </c>
      <c r="F5903" s="1">
        <f>IFERROR(__xludf.DUMMYFUNCTION("""COMPUTED_VALUE"""),3.11444E8)</f>
        <v>311444000</v>
      </c>
    </row>
    <row r="5904">
      <c r="A5904" s="2">
        <f>IFERROR(__xludf.DUMMYFUNCTION("""COMPUTED_VALUE"""),39930.666666666664)</f>
        <v>39930.66667</v>
      </c>
      <c r="B5904" s="1">
        <f>IFERROR(__xludf.DUMMYFUNCTION("""COMPUTED_VALUE"""),862.82)</f>
        <v>862.82</v>
      </c>
      <c r="C5904" s="1">
        <f>IFERROR(__xludf.DUMMYFUNCTION("""COMPUTED_VALUE"""),868.83)</f>
        <v>868.83</v>
      </c>
      <c r="D5904" s="1">
        <f>IFERROR(__xludf.DUMMYFUNCTION("""COMPUTED_VALUE"""),854.65)</f>
        <v>854.65</v>
      </c>
      <c r="E5904" s="1">
        <f>IFERROR(__xludf.DUMMYFUNCTION("""COMPUTED_VALUE"""),857.51)</f>
        <v>857.51</v>
      </c>
      <c r="F5904" s="1">
        <f>IFERROR(__xludf.DUMMYFUNCTION("""COMPUTED_VALUE"""),5.61345984E8)</f>
        <v>561345984</v>
      </c>
    </row>
    <row r="5905">
      <c r="A5905" s="2">
        <f>IFERROR(__xludf.DUMMYFUNCTION("""COMPUTED_VALUE"""),39931.666666666664)</f>
        <v>39931.66667</v>
      </c>
      <c r="B5905" s="1">
        <f>IFERROR(__xludf.DUMMYFUNCTION("""COMPUTED_VALUE"""),854.48)</f>
        <v>854.48</v>
      </c>
      <c r="C5905" s="1">
        <f>IFERROR(__xludf.DUMMYFUNCTION("""COMPUTED_VALUE"""),864.48)</f>
        <v>864.48</v>
      </c>
      <c r="D5905" s="1">
        <f>IFERROR(__xludf.DUMMYFUNCTION("""COMPUTED_VALUE"""),847.12)</f>
        <v>847.12</v>
      </c>
      <c r="E5905" s="1">
        <f>IFERROR(__xludf.DUMMYFUNCTION("""COMPUTED_VALUE"""),855.16)</f>
        <v>855.16</v>
      </c>
      <c r="F5905" s="1">
        <f>IFERROR(__xludf.DUMMYFUNCTION("""COMPUTED_VALUE"""),6.328E8)</f>
        <v>632800000</v>
      </c>
    </row>
    <row r="5906">
      <c r="A5906" s="2">
        <f>IFERROR(__xludf.DUMMYFUNCTION("""COMPUTED_VALUE"""),39932.666666666664)</f>
        <v>39932.66667</v>
      </c>
      <c r="B5906" s="1">
        <f>IFERROR(__xludf.DUMMYFUNCTION("""COMPUTED_VALUE"""),856.85)</f>
        <v>856.85</v>
      </c>
      <c r="C5906" s="1">
        <f>IFERROR(__xludf.DUMMYFUNCTION("""COMPUTED_VALUE"""),882.06)</f>
        <v>882.06</v>
      </c>
      <c r="D5906" s="1">
        <f>IFERROR(__xludf.DUMMYFUNCTION("""COMPUTED_VALUE"""),856.85)</f>
        <v>856.85</v>
      </c>
      <c r="E5906" s="1">
        <f>IFERROR(__xludf.DUMMYFUNCTION("""COMPUTED_VALUE"""),873.64)</f>
        <v>873.64</v>
      </c>
      <c r="F5906" s="1">
        <f>IFERROR(__xludf.DUMMYFUNCTION("""COMPUTED_VALUE"""),6.10161984E8)</f>
        <v>610161984</v>
      </c>
    </row>
    <row r="5907">
      <c r="A5907" s="2">
        <f>IFERROR(__xludf.DUMMYFUNCTION("""COMPUTED_VALUE"""),39933.666666666664)</f>
        <v>39933.66667</v>
      </c>
      <c r="B5907" s="1">
        <f>IFERROR(__xludf.DUMMYFUNCTION("""COMPUTED_VALUE"""),876.59)</f>
        <v>876.59</v>
      </c>
      <c r="C5907" s="1">
        <f>IFERROR(__xludf.DUMMYFUNCTION("""COMPUTED_VALUE"""),888.7)</f>
        <v>888.7</v>
      </c>
      <c r="D5907" s="1">
        <f>IFERROR(__xludf.DUMMYFUNCTION("""COMPUTED_VALUE"""),868.51)</f>
        <v>868.51</v>
      </c>
      <c r="E5907" s="1">
        <f>IFERROR(__xludf.DUMMYFUNCTION("""COMPUTED_VALUE"""),872.81)</f>
        <v>872.81</v>
      </c>
      <c r="F5907" s="1">
        <f>IFERROR(__xludf.DUMMYFUNCTION("""COMPUTED_VALUE"""),6.86254016E8)</f>
        <v>686254016</v>
      </c>
    </row>
    <row r="5908">
      <c r="A5908" s="2">
        <f>IFERROR(__xludf.DUMMYFUNCTION("""COMPUTED_VALUE"""),39934.666666666664)</f>
        <v>39934.66667</v>
      </c>
      <c r="B5908" s="1">
        <f>IFERROR(__xludf.DUMMYFUNCTION("""COMPUTED_VALUE"""),872.74)</f>
        <v>872.74</v>
      </c>
      <c r="C5908" s="1">
        <f>IFERROR(__xludf.DUMMYFUNCTION("""COMPUTED_VALUE"""),880.48)</f>
        <v>880.48</v>
      </c>
      <c r="D5908" s="1">
        <f>IFERROR(__xludf.DUMMYFUNCTION("""COMPUTED_VALUE"""),866.1)</f>
        <v>866.1</v>
      </c>
      <c r="E5908" s="1">
        <f>IFERROR(__xludf.DUMMYFUNCTION("""COMPUTED_VALUE"""),877.52)</f>
        <v>877.52</v>
      </c>
      <c r="F5908" s="1">
        <f>IFERROR(__xludf.DUMMYFUNCTION("""COMPUTED_VALUE"""),5.31216992E8)</f>
        <v>531216992</v>
      </c>
    </row>
    <row r="5909">
      <c r="A5909" s="2">
        <f>IFERROR(__xludf.DUMMYFUNCTION("""COMPUTED_VALUE"""),39937.666666666664)</f>
        <v>39937.66667</v>
      </c>
      <c r="B5909" s="1">
        <f>IFERROR(__xludf.DUMMYFUNCTION("""COMPUTED_VALUE"""),879.21)</f>
        <v>879.21</v>
      </c>
      <c r="C5909" s="1">
        <f>IFERROR(__xludf.DUMMYFUNCTION("""COMPUTED_VALUE"""),907.85)</f>
        <v>907.85</v>
      </c>
      <c r="D5909" s="1">
        <f>IFERROR(__xludf.DUMMYFUNCTION("""COMPUTED_VALUE"""),879.21)</f>
        <v>879.21</v>
      </c>
      <c r="E5909" s="1">
        <f>IFERROR(__xludf.DUMMYFUNCTION("""COMPUTED_VALUE"""),907.24)</f>
        <v>907.24</v>
      </c>
      <c r="F5909" s="1">
        <f>IFERROR(__xludf.DUMMYFUNCTION("""COMPUTED_VALUE"""),3.03884E8)</f>
        <v>303884000</v>
      </c>
    </row>
    <row r="5910">
      <c r="A5910" s="2">
        <f>IFERROR(__xludf.DUMMYFUNCTION("""COMPUTED_VALUE"""),39938.666666666664)</f>
        <v>39938.66667</v>
      </c>
      <c r="B5910" s="1">
        <f>IFERROR(__xludf.DUMMYFUNCTION("""COMPUTED_VALUE"""),906.1)</f>
        <v>906.1</v>
      </c>
      <c r="C5910" s="1">
        <f>IFERROR(__xludf.DUMMYFUNCTION("""COMPUTED_VALUE"""),907.7)</f>
        <v>907.7</v>
      </c>
      <c r="D5910" s="1">
        <f>IFERROR(__xludf.DUMMYFUNCTION("""COMPUTED_VALUE"""),897.34)</f>
        <v>897.34</v>
      </c>
      <c r="E5910" s="1">
        <f>IFERROR(__xludf.DUMMYFUNCTION("""COMPUTED_VALUE"""),903.8)</f>
        <v>903.8</v>
      </c>
      <c r="F5910" s="1">
        <f>IFERROR(__xludf.DUMMYFUNCTION("""COMPUTED_VALUE"""),6.88286016E8)</f>
        <v>688286016</v>
      </c>
    </row>
    <row r="5911">
      <c r="A5911" s="2">
        <f>IFERROR(__xludf.DUMMYFUNCTION("""COMPUTED_VALUE"""),39939.666666666664)</f>
        <v>39939.66667</v>
      </c>
      <c r="B5911" s="1">
        <f>IFERROR(__xludf.DUMMYFUNCTION("""COMPUTED_VALUE"""),903.95)</f>
        <v>903.95</v>
      </c>
      <c r="C5911" s="1">
        <f>IFERROR(__xludf.DUMMYFUNCTION("""COMPUTED_VALUE"""),920.28)</f>
        <v>920.28</v>
      </c>
      <c r="D5911" s="1">
        <f>IFERROR(__xludf.DUMMYFUNCTION("""COMPUTED_VALUE"""),903.95)</f>
        <v>903.95</v>
      </c>
      <c r="E5911" s="1">
        <f>IFERROR(__xludf.DUMMYFUNCTION("""COMPUTED_VALUE"""),919.53)</f>
        <v>919.53</v>
      </c>
      <c r="F5911" s="1">
        <f>IFERROR(__xludf.DUMMYFUNCTION("""COMPUTED_VALUE"""),3.55504E8)</f>
        <v>355504000</v>
      </c>
    </row>
    <row r="5912">
      <c r="A5912" s="2">
        <f>IFERROR(__xludf.DUMMYFUNCTION("""COMPUTED_VALUE"""),39940.666666666664)</f>
        <v>39940.66667</v>
      </c>
      <c r="B5912" s="1">
        <f>IFERROR(__xludf.DUMMYFUNCTION("""COMPUTED_VALUE"""),919.58)</f>
        <v>919.58</v>
      </c>
      <c r="C5912" s="1">
        <f>IFERROR(__xludf.DUMMYFUNCTION("""COMPUTED_VALUE"""),929.58)</f>
        <v>929.58</v>
      </c>
      <c r="D5912" s="1">
        <f>IFERROR(__xludf.DUMMYFUNCTION("""COMPUTED_VALUE"""),901.36)</f>
        <v>901.36</v>
      </c>
      <c r="E5912" s="1">
        <f>IFERROR(__xludf.DUMMYFUNCTION("""COMPUTED_VALUE"""),907.39)</f>
        <v>907.39</v>
      </c>
      <c r="F5912" s="1">
        <f>IFERROR(__xludf.DUMMYFUNCTION("""COMPUTED_VALUE"""),4.12009984E8)</f>
        <v>412009984</v>
      </c>
    </row>
    <row r="5913">
      <c r="A5913" s="2">
        <f>IFERROR(__xludf.DUMMYFUNCTION("""COMPUTED_VALUE"""),39941.666666666664)</f>
        <v>39941.66667</v>
      </c>
      <c r="B5913" s="1">
        <f>IFERROR(__xludf.DUMMYFUNCTION("""COMPUTED_VALUE"""),909.03)</f>
        <v>909.03</v>
      </c>
      <c r="C5913" s="1">
        <f>IFERROR(__xludf.DUMMYFUNCTION("""COMPUTED_VALUE"""),930.17)</f>
        <v>930.17</v>
      </c>
      <c r="D5913" s="1">
        <f>IFERROR(__xludf.DUMMYFUNCTION("""COMPUTED_VALUE"""),909.03)</f>
        <v>909.03</v>
      </c>
      <c r="E5913" s="1">
        <f>IFERROR(__xludf.DUMMYFUNCTION("""COMPUTED_VALUE"""),929.23)</f>
        <v>929.23</v>
      </c>
      <c r="F5913" s="1">
        <f>IFERROR(__xludf.DUMMYFUNCTION("""COMPUTED_VALUE"""),3.16328E8)</f>
        <v>316328000</v>
      </c>
    </row>
    <row r="5914">
      <c r="A5914" s="2">
        <f>IFERROR(__xludf.DUMMYFUNCTION("""COMPUTED_VALUE"""),39944.666666666664)</f>
        <v>39944.66667</v>
      </c>
      <c r="B5914" s="1">
        <f>IFERROR(__xludf.DUMMYFUNCTION("""COMPUTED_VALUE"""),913.82)</f>
        <v>913.82</v>
      </c>
      <c r="C5914" s="1">
        <f>IFERROR(__xludf.DUMMYFUNCTION("""COMPUTED_VALUE"""),918.72)</f>
        <v>918.72</v>
      </c>
      <c r="D5914" s="1">
        <f>IFERROR(__xludf.DUMMYFUNCTION("""COMPUTED_VALUE"""),908.68)</f>
        <v>908.68</v>
      </c>
      <c r="E5914" s="1">
        <f>IFERROR(__xludf.DUMMYFUNCTION("""COMPUTED_VALUE"""),909.24)</f>
        <v>909.24</v>
      </c>
      <c r="F5914" s="1">
        <f>IFERROR(__xludf.DUMMYFUNCTION("""COMPUTED_VALUE"""),6.15059968E8)</f>
        <v>615059968</v>
      </c>
    </row>
    <row r="5915">
      <c r="A5915" s="2">
        <f>IFERROR(__xludf.DUMMYFUNCTION("""COMPUTED_VALUE"""),39945.666666666664)</f>
        <v>39945.66667</v>
      </c>
      <c r="B5915" s="1">
        <f>IFERROR(__xludf.DUMMYFUNCTION("""COMPUTED_VALUE"""),910.52)</f>
        <v>910.52</v>
      </c>
      <c r="C5915" s="1">
        <f>IFERROR(__xludf.DUMMYFUNCTION("""COMPUTED_VALUE"""),915.57)</f>
        <v>915.57</v>
      </c>
      <c r="D5915" s="1">
        <f>IFERROR(__xludf.DUMMYFUNCTION("""COMPUTED_VALUE"""),896.46)</f>
        <v>896.46</v>
      </c>
      <c r="E5915" s="1">
        <f>IFERROR(__xludf.DUMMYFUNCTION("""COMPUTED_VALUE"""),908.35)</f>
        <v>908.35</v>
      </c>
      <c r="F5915" s="1">
        <f>IFERROR(__xludf.DUMMYFUNCTION("""COMPUTED_VALUE"""),6.8717504E8)</f>
        <v>687175040</v>
      </c>
    </row>
    <row r="5916">
      <c r="A5916" s="2">
        <f>IFERROR(__xludf.DUMMYFUNCTION("""COMPUTED_VALUE"""),39946.666666666664)</f>
        <v>39946.66667</v>
      </c>
      <c r="B5916" s="1">
        <f>IFERROR(__xludf.DUMMYFUNCTION("""COMPUTED_VALUE"""),905.4)</f>
        <v>905.4</v>
      </c>
      <c r="C5916" s="1">
        <f>IFERROR(__xludf.DUMMYFUNCTION("""COMPUTED_VALUE"""),905.4)</f>
        <v>905.4</v>
      </c>
      <c r="D5916" s="1">
        <f>IFERROR(__xludf.DUMMYFUNCTION("""COMPUTED_VALUE"""),882.8)</f>
        <v>882.8</v>
      </c>
      <c r="E5916" s="1">
        <f>IFERROR(__xludf.DUMMYFUNCTION("""COMPUTED_VALUE"""),883.92)</f>
        <v>883.92</v>
      </c>
      <c r="F5916" s="1">
        <f>IFERROR(__xludf.DUMMYFUNCTION("""COMPUTED_VALUE"""),3.09182016E8)</f>
        <v>309182016</v>
      </c>
    </row>
    <row r="5917">
      <c r="A5917" s="2">
        <f>IFERROR(__xludf.DUMMYFUNCTION("""COMPUTED_VALUE"""),39947.666666666664)</f>
        <v>39947.66667</v>
      </c>
      <c r="B5917" s="1">
        <f>IFERROR(__xludf.DUMMYFUNCTION("""COMPUTED_VALUE"""),884.24)</f>
        <v>884.24</v>
      </c>
      <c r="C5917" s="1">
        <f>IFERROR(__xludf.DUMMYFUNCTION("""COMPUTED_VALUE"""),898.36)</f>
        <v>898.36</v>
      </c>
      <c r="D5917" s="1">
        <f>IFERROR(__xludf.DUMMYFUNCTION("""COMPUTED_VALUE"""),882.52)</f>
        <v>882.52</v>
      </c>
      <c r="E5917" s="1">
        <f>IFERROR(__xludf.DUMMYFUNCTION("""COMPUTED_VALUE"""),893.07)</f>
        <v>893.07</v>
      </c>
      <c r="F5917" s="1">
        <f>IFERROR(__xludf.DUMMYFUNCTION("""COMPUTED_VALUE"""),6.13486976E8)</f>
        <v>613486976</v>
      </c>
    </row>
    <row r="5918">
      <c r="A5918" s="2">
        <f>IFERROR(__xludf.DUMMYFUNCTION("""COMPUTED_VALUE"""),39948.666666666664)</f>
        <v>39948.66667</v>
      </c>
      <c r="B5918" s="1">
        <f>IFERROR(__xludf.DUMMYFUNCTION("""COMPUTED_VALUE"""),892.76)</f>
        <v>892.76</v>
      </c>
      <c r="C5918" s="1">
        <f>IFERROR(__xludf.DUMMYFUNCTION("""COMPUTED_VALUE"""),896.97)</f>
        <v>896.97</v>
      </c>
      <c r="D5918" s="1">
        <f>IFERROR(__xludf.DUMMYFUNCTION("""COMPUTED_VALUE"""),878.94)</f>
        <v>878.94</v>
      </c>
      <c r="E5918" s="1">
        <f>IFERROR(__xludf.DUMMYFUNCTION("""COMPUTED_VALUE"""),882.88)</f>
        <v>882.88</v>
      </c>
      <c r="F5918" s="1">
        <f>IFERROR(__xludf.DUMMYFUNCTION("""COMPUTED_VALUE"""),5.43971968E8)</f>
        <v>543971968</v>
      </c>
    </row>
    <row r="5919">
      <c r="A5919" s="2">
        <f>IFERROR(__xludf.DUMMYFUNCTION("""COMPUTED_VALUE"""),39951.666666666664)</f>
        <v>39951.66667</v>
      </c>
      <c r="B5919" s="1">
        <f>IFERROR(__xludf.DUMMYFUNCTION("""COMPUTED_VALUE"""),886.07)</f>
        <v>886.07</v>
      </c>
      <c r="C5919" s="1">
        <f>IFERROR(__xludf.DUMMYFUNCTION("""COMPUTED_VALUE"""),910.0)</f>
        <v>910</v>
      </c>
      <c r="D5919" s="1">
        <f>IFERROR(__xludf.DUMMYFUNCTION("""COMPUTED_VALUE"""),886.07)</f>
        <v>886.07</v>
      </c>
      <c r="E5919" s="1">
        <f>IFERROR(__xludf.DUMMYFUNCTION("""COMPUTED_VALUE"""),909.71)</f>
        <v>909.71</v>
      </c>
      <c r="F5919" s="1">
        <f>IFERROR(__xludf.DUMMYFUNCTION("""COMPUTED_VALUE"""),5.70214976E8)</f>
        <v>570214976</v>
      </c>
    </row>
    <row r="5920">
      <c r="A5920" s="2">
        <f>IFERROR(__xludf.DUMMYFUNCTION("""COMPUTED_VALUE"""),39952.666666666664)</f>
        <v>39952.66667</v>
      </c>
      <c r="B5920" s="1">
        <f>IFERROR(__xludf.DUMMYFUNCTION("""COMPUTED_VALUE"""),909.67)</f>
        <v>909.67</v>
      </c>
      <c r="C5920" s="1">
        <f>IFERROR(__xludf.DUMMYFUNCTION("""COMPUTED_VALUE"""),916.39)</f>
        <v>916.39</v>
      </c>
      <c r="D5920" s="1">
        <f>IFERROR(__xludf.DUMMYFUNCTION("""COMPUTED_VALUE"""),905.22)</f>
        <v>905.22</v>
      </c>
      <c r="E5920" s="1">
        <f>IFERROR(__xludf.DUMMYFUNCTION("""COMPUTED_VALUE"""),908.13)</f>
        <v>908.13</v>
      </c>
      <c r="F5920" s="1">
        <f>IFERROR(__xludf.DUMMYFUNCTION("""COMPUTED_VALUE"""),6.61627008E8)</f>
        <v>661627008</v>
      </c>
    </row>
    <row r="5921">
      <c r="A5921" s="2">
        <f>IFERROR(__xludf.DUMMYFUNCTION("""COMPUTED_VALUE"""),39953.666666666664)</f>
        <v>39953.66667</v>
      </c>
      <c r="B5921" s="1">
        <f>IFERROR(__xludf.DUMMYFUNCTION("""COMPUTED_VALUE"""),908.62)</f>
        <v>908.62</v>
      </c>
      <c r="C5921" s="1">
        <f>IFERROR(__xludf.DUMMYFUNCTION("""COMPUTED_VALUE"""),924.6)</f>
        <v>924.6</v>
      </c>
      <c r="D5921" s="1">
        <f>IFERROR(__xludf.DUMMYFUNCTION("""COMPUTED_VALUE"""),901.37)</f>
        <v>901.37</v>
      </c>
      <c r="E5921" s="1">
        <f>IFERROR(__xludf.DUMMYFUNCTION("""COMPUTED_VALUE"""),903.47)</f>
        <v>903.47</v>
      </c>
      <c r="F5921" s="1">
        <f>IFERROR(__xludf.DUMMYFUNCTION("""COMPUTED_VALUE"""),3.20505984E8)</f>
        <v>320505984</v>
      </c>
    </row>
    <row r="5922">
      <c r="A5922" s="2">
        <f>IFERROR(__xludf.DUMMYFUNCTION("""COMPUTED_VALUE"""),39954.666666666664)</f>
        <v>39954.66667</v>
      </c>
      <c r="B5922" s="1">
        <f>IFERROR(__xludf.DUMMYFUNCTION("""COMPUTED_VALUE"""),900.42)</f>
        <v>900.42</v>
      </c>
      <c r="C5922" s="1">
        <f>IFERROR(__xludf.DUMMYFUNCTION("""COMPUTED_VALUE"""),900.42)</f>
        <v>900.42</v>
      </c>
      <c r="D5922" s="1">
        <f>IFERROR(__xludf.DUMMYFUNCTION("""COMPUTED_VALUE"""),879.61)</f>
        <v>879.61</v>
      </c>
      <c r="E5922" s="1">
        <f>IFERROR(__xludf.DUMMYFUNCTION("""COMPUTED_VALUE"""),888.33)</f>
        <v>888.33</v>
      </c>
      <c r="F5922" s="1">
        <f>IFERROR(__xludf.DUMMYFUNCTION("""COMPUTED_VALUE"""),6.01984E8)</f>
        <v>601984000</v>
      </c>
    </row>
    <row r="5923">
      <c r="A5923" s="2">
        <f>IFERROR(__xludf.DUMMYFUNCTION("""COMPUTED_VALUE"""),39955.666666666664)</f>
        <v>39955.66667</v>
      </c>
      <c r="B5923" s="1">
        <f>IFERROR(__xludf.DUMMYFUNCTION("""COMPUTED_VALUE"""),888.68)</f>
        <v>888.68</v>
      </c>
      <c r="C5923" s="1">
        <f>IFERROR(__xludf.DUMMYFUNCTION("""COMPUTED_VALUE"""),896.65)</f>
        <v>896.65</v>
      </c>
      <c r="D5923" s="1">
        <f>IFERROR(__xludf.DUMMYFUNCTION("""COMPUTED_VALUE"""),883.75)</f>
        <v>883.75</v>
      </c>
      <c r="E5923" s="1">
        <f>IFERROR(__xludf.DUMMYFUNCTION("""COMPUTED_VALUE"""),887.0)</f>
        <v>887</v>
      </c>
      <c r="F5923" s="1">
        <f>IFERROR(__xludf.DUMMYFUNCTION("""COMPUTED_VALUE"""),5.15532E8)</f>
        <v>515532000</v>
      </c>
    </row>
    <row r="5924">
      <c r="A5924" s="2">
        <f>IFERROR(__xludf.DUMMYFUNCTION("""COMPUTED_VALUE"""),39959.666666666664)</f>
        <v>39959.66667</v>
      </c>
      <c r="B5924" s="1">
        <f>IFERROR(__xludf.DUMMYFUNCTION("""COMPUTED_VALUE"""),887.0)</f>
        <v>887</v>
      </c>
      <c r="C5924" s="1">
        <f>IFERROR(__xludf.DUMMYFUNCTION("""COMPUTED_VALUE"""),911.76)</f>
        <v>911.76</v>
      </c>
      <c r="D5924" s="1">
        <f>IFERROR(__xludf.DUMMYFUNCTION("""COMPUTED_VALUE"""),881.46)</f>
        <v>881.46</v>
      </c>
      <c r="E5924" s="1">
        <f>IFERROR(__xludf.DUMMYFUNCTION("""COMPUTED_VALUE"""),910.33)</f>
        <v>910.33</v>
      </c>
      <c r="F5924" s="1">
        <f>IFERROR(__xludf.DUMMYFUNCTION("""COMPUTED_VALUE"""),5.66705024E8)</f>
        <v>566705024</v>
      </c>
    </row>
    <row r="5925">
      <c r="A5925" s="2">
        <f>IFERROR(__xludf.DUMMYFUNCTION("""COMPUTED_VALUE"""),39960.666666666664)</f>
        <v>39960.66667</v>
      </c>
      <c r="B5925" s="1">
        <f>IFERROR(__xludf.DUMMYFUNCTION("""COMPUTED_VALUE"""),909.95)</f>
        <v>909.95</v>
      </c>
      <c r="C5925" s="1">
        <f>IFERROR(__xludf.DUMMYFUNCTION("""COMPUTED_VALUE"""),913.84)</f>
        <v>913.84</v>
      </c>
      <c r="D5925" s="1">
        <f>IFERROR(__xludf.DUMMYFUNCTION("""COMPUTED_VALUE"""),891.87)</f>
        <v>891.87</v>
      </c>
      <c r="E5925" s="1">
        <f>IFERROR(__xludf.DUMMYFUNCTION("""COMPUTED_VALUE"""),893.06)</f>
        <v>893.06</v>
      </c>
      <c r="F5925" s="1">
        <f>IFERROR(__xludf.DUMMYFUNCTION("""COMPUTED_VALUE"""),5.6988E8)</f>
        <v>569880000</v>
      </c>
    </row>
    <row r="5926">
      <c r="A5926" s="2">
        <f>IFERROR(__xludf.DUMMYFUNCTION("""COMPUTED_VALUE"""),39961.666666666664)</f>
        <v>39961.66667</v>
      </c>
      <c r="B5926" s="1">
        <f>IFERROR(__xludf.DUMMYFUNCTION("""COMPUTED_VALUE"""),892.96)</f>
        <v>892.96</v>
      </c>
      <c r="C5926" s="1">
        <f>IFERROR(__xludf.DUMMYFUNCTION("""COMPUTED_VALUE"""),909.45)</f>
        <v>909.45</v>
      </c>
      <c r="D5926" s="1">
        <f>IFERROR(__xludf.DUMMYFUNCTION("""COMPUTED_VALUE"""),887.6)</f>
        <v>887.6</v>
      </c>
      <c r="E5926" s="1">
        <f>IFERROR(__xludf.DUMMYFUNCTION("""COMPUTED_VALUE"""),906.83)</f>
        <v>906.83</v>
      </c>
      <c r="F5926" s="1">
        <f>IFERROR(__xludf.DUMMYFUNCTION("""COMPUTED_VALUE"""),5.73897984E8)</f>
        <v>573897984</v>
      </c>
    </row>
    <row r="5927">
      <c r="A5927" s="2">
        <f>IFERROR(__xludf.DUMMYFUNCTION("""COMPUTED_VALUE"""),39962.666666666664)</f>
        <v>39962.66667</v>
      </c>
      <c r="B5927" s="1">
        <f>IFERROR(__xludf.DUMMYFUNCTION("""COMPUTED_VALUE"""),907.02)</f>
        <v>907.02</v>
      </c>
      <c r="C5927" s="1">
        <f>IFERROR(__xludf.DUMMYFUNCTION("""COMPUTED_VALUE"""),920.02)</f>
        <v>920.02</v>
      </c>
      <c r="D5927" s="1">
        <f>IFERROR(__xludf.DUMMYFUNCTION("""COMPUTED_VALUE"""),903.56)</f>
        <v>903.56</v>
      </c>
      <c r="E5927" s="1">
        <f>IFERROR(__xludf.DUMMYFUNCTION("""COMPUTED_VALUE"""),919.14)</f>
        <v>919.14</v>
      </c>
      <c r="F5927" s="1">
        <f>IFERROR(__xludf.DUMMYFUNCTION("""COMPUTED_VALUE"""),6.05041984E8)</f>
        <v>605041984</v>
      </c>
    </row>
    <row r="5928">
      <c r="A5928" s="2">
        <f>IFERROR(__xludf.DUMMYFUNCTION("""COMPUTED_VALUE"""),39965.666666666664)</f>
        <v>39965.66667</v>
      </c>
      <c r="B5928" s="1">
        <f>IFERROR(__xludf.DUMMYFUNCTION("""COMPUTED_VALUE"""),923.26)</f>
        <v>923.26</v>
      </c>
      <c r="C5928" s="1">
        <f>IFERROR(__xludf.DUMMYFUNCTION("""COMPUTED_VALUE"""),947.77)</f>
        <v>947.77</v>
      </c>
      <c r="D5928" s="1">
        <f>IFERROR(__xludf.DUMMYFUNCTION("""COMPUTED_VALUE"""),923.26)</f>
        <v>923.26</v>
      </c>
      <c r="E5928" s="1">
        <f>IFERROR(__xludf.DUMMYFUNCTION("""COMPUTED_VALUE"""),942.87)</f>
        <v>942.87</v>
      </c>
      <c r="F5928" s="1">
        <f>IFERROR(__xludf.DUMMYFUNCTION("""COMPUTED_VALUE"""),6.37043968E8)</f>
        <v>637043968</v>
      </c>
    </row>
    <row r="5929">
      <c r="A5929" s="2">
        <f>IFERROR(__xludf.DUMMYFUNCTION("""COMPUTED_VALUE"""),39966.666666666664)</f>
        <v>39966.66667</v>
      </c>
      <c r="B5929" s="1">
        <f>IFERROR(__xludf.DUMMYFUNCTION("""COMPUTED_VALUE"""),942.87)</f>
        <v>942.87</v>
      </c>
      <c r="C5929" s="1">
        <f>IFERROR(__xludf.DUMMYFUNCTION("""COMPUTED_VALUE"""),949.38)</f>
        <v>949.38</v>
      </c>
      <c r="D5929" s="1">
        <f>IFERROR(__xludf.DUMMYFUNCTION("""COMPUTED_VALUE"""),938.46)</f>
        <v>938.46</v>
      </c>
      <c r="E5929" s="1">
        <f>IFERROR(__xludf.DUMMYFUNCTION("""COMPUTED_VALUE"""),944.74)</f>
        <v>944.74</v>
      </c>
      <c r="F5929" s="1">
        <f>IFERROR(__xludf.DUMMYFUNCTION("""COMPUTED_VALUE"""),5.98734016E8)</f>
        <v>598734016</v>
      </c>
    </row>
    <row r="5930">
      <c r="A5930" s="2">
        <f>IFERROR(__xludf.DUMMYFUNCTION("""COMPUTED_VALUE"""),39967.666666666664)</f>
        <v>39967.66667</v>
      </c>
      <c r="B5930" s="1">
        <f>IFERROR(__xludf.DUMMYFUNCTION("""COMPUTED_VALUE"""),942.51)</f>
        <v>942.51</v>
      </c>
      <c r="C5930" s="1">
        <f>IFERROR(__xludf.DUMMYFUNCTION("""COMPUTED_VALUE"""),942.51)</f>
        <v>942.51</v>
      </c>
      <c r="D5930" s="1">
        <f>IFERROR(__xludf.DUMMYFUNCTION("""COMPUTED_VALUE"""),923.85)</f>
        <v>923.85</v>
      </c>
      <c r="E5930" s="1">
        <f>IFERROR(__xludf.DUMMYFUNCTION("""COMPUTED_VALUE"""),931.76)</f>
        <v>931.76</v>
      </c>
      <c r="F5930" s="1">
        <f>IFERROR(__xludf.DUMMYFUNCTION("""COMPUTED_VALUE"""),5.32376992E8)</f>
        <v>532376992</v>
      </c>
    </row>
    <row r="5931">
      <c r="A5931" s="2">
        <f>IFERROR(__xludf.DUMMYFUNCTION("""COMPUTED_VALUE"""),39968.666666666664)</f>
        <v>39968.66667</v>
      </c>
      <c r="B5931" s="1">
        <f>IFERROR(__xludf.DUMMYFUNCTION("""COMPUTED_VALUE"""),932.49)</f>
        <v>932.49</v>
      </c>
      <c r="C5931" s="1">
        <f>IFERROR(__xludf.DUMMYFUNCTION("""COMPUTED_VALUE"""),942.47)</f>
        <v>942.47</v>
      </c>
      <c r="D5931" s="1">
        <f>IFERROR(__xludf.DUMMYFUNCTION("""COMPUTED_VALUE"""),929.32)</f>
        <v>929.32</v>
      </c>
      <c r="E5931" s="1">
        <f>IFERROR(__xludf.DUMMYFUNCTION("""COMPUTED_VALUE"""),942.46)</f>
        <v>942.46</v>
      </c>
      <c r="F5931" s="1">
        <f>IFERROR(__xludf.DUMMYFUNCTION("""COMPUTED_VALUE"""),5.35288992E8)</f>
        <v>535288992</v>
      </c>
    </row>
    <row r="5932">
      <c r="A5932" s="2">
        <f>IFERROR(__xludf.DUMMYFUNCTION("""COMPUTED_VALUE"""),39969.666666666664)</f>
        <v>39969.66667</v>
      </c>
      <c r="B5932" s="1">
        <f>IFERROR(__xludf.DUMMYFUNCTION("""COMPUTED_VALUE"""),945.67)</f>
        <v>945.67</v>
      </c>
      <c r="C5932" s="1">
        <f>IFERROR(__xludf.DUMMYFUNCTION("""COMPUTED_VALUE"""),951.69)</f>
        <v>951.69</v>
      </c>
      <c r="D5932" s="1">
        <f>IFERROR(__xludf.DUMMYFUNCTION("""COMPUTED_VALUE"""),934.13)</f>
        <v>934.13</v>
      </c>
      <c r="E5932" s="1">
        <f>IFERROR(__xludf.DUMMYFUNCTION("""COMPUTED_VALUE"""),940.09)</f>
        <v>940.09</v>
      </c>
      <c r="F5932" s="1">
        <f>IFERROR(__xludf.DUMMYFUNCTION("""COMPUTED_VALUE"""),5.27791008E8)</f>
        <v>527791008</v>
      </c>
    </row>
    <row r="5933">
      <c r="A5933" s="2">
        <f>IFERROR(__xludf.DUMMYFUNCTION("""COMPUTED_VALUE"""),39972.666666666664)</f>
        <v>39972.66667</v>
      </c>
      <c r="B5933" s="1">
        <f>IFERROR(__xludf.DUMMYFUNCTION("""COMPUTED_VALUE"""),938.12)</f>
        <v>938.12</v>
      </c>
      <c r="C5933" s="1">
        <f>IFERROR(__xludf.DUMMYFUNCTION("""COMPUTED_VALUE"""),946.33)</f>
        <v>946.33</v>
      </c>
      <c r="D5933" s="1">
        <f>IFERROR(__xludf.DUMMYFUNCTION("""COMPUTED_VALUE"""),926.44)</f>
        <v>926.44</v>
      </c>
      <c r="E5933" s="1">
        <f>IFERROR(__xludf.DUMMYFUNCTION("""COMPUTED_VALUE"""),939.14)</f>
        <v>939.14</v>
      </c>
      <c r="F5933" s="1">
        <f>IFERROR(__xludf.DUMMYFUNCTION("""COMPUTED_VALUE"""),4.48343008E8)</f>
        <v>448343008</v>
      </c>
    </row>
    <row r="5934">
      <c r="A5934" s="2">
        <f>IFERROR(__xludf.DUMMYFUNCTION("""COMPUTED_VALUE"""),39973.666666666664)</f>
        <v>39973.66667</v>
      </c>
      <c r="B5934" s="1">
        <f>IFERROR(__xludf.DUMMYFUNCTION("""COMPUTED_VALUE"""),940.35)</f>
        <v>940.35</v>
      </c>
      <c r="C5934" s="1">
        <f>IFERROR(__xludf.DUMMYFUNCTION("""COMPUTED_VALUE"""),946.92)</f>
        <v>946.92</v>
      </c>
      <c r="D5934" s="1">
        <f>IFERROR(__xludf.DUMMYFUNCTION("""COMPUTED_VALUE"""),936.15)</f>
        <v>936.15</v>
      </c>
      <c r="E5934" s="1">
        <f>IFERROR(__xludf.DUMMYFUNCTION("""COMPUTED_VALUE"""),942.43)</f>
        <v>942.43</v>
      </c>
      <c r="F5934" s="1">
        <f>IFERROR(__xludf.DUMMYFUNCTION("""COMPUTED_VALUE"""),4.43995008E8)</f>
        <v>443995008</v>
      </c>
    </row>
    <row r="5935">
      <c r="A5935" s="2">
        <f>IFERROR(__xludf.DUMMYFUNCTION("""COMPUTED_VALUE"""),39974.666666666664)</f>
        <v>39974.66667</v>
      </c>
      <c r="B5935" s="1">
        <f>IFERROR(__xludf.DUMMYFUNCTION("""COMPUTED_VALUE"""),942.73)</f>
        <v>942.73</v>
      </c>
      <c r="C5935" s="1">
        <f>IFERROR(__xludf.DUMMYFUNCTION("""COMPUTED_VALUE"""),949.77)</f>
        <v>949.77</v>
      </c>
      <c r="D5935" s="1">
        <f>IFERROR(__xludf.DUMMYFUNCTION("""COMPUTED_VALUE"""),927.97)</f>
        <v>927.97</v>
      </c>
      <c r="E5935" s="1">
        <f>IFERROR(__xludf.DUMMYFUNCTION("""COMPUTED_VALUE"""),939.15)</f>
        <v>939.15</v>
      </c>
      <c r="F5935" s="1">
        <f>IFERROR(__xludf.DUMMYFUNCTION("""COMPUTED_VALUE"""),5.37942016E8)</f>
        <v>537942016</v>
      </c>
    </row>
    <row r="5936">
      <c r="A5936" s="2">
        <f>IFERROR(__xludf.DUMMYFUNCTION("""COMPUTED_VALUE"""),39975.666666666664)</f>
        <v>39975.66667</v>
      </c>
      <c r="B5936" s="1">
        <f>IFERROR(__xludf.DUMMYFUNCTION("""COMPUTED_VALUE"""),939.04)</f>
        <v>939.04</v>
      </c>
      <c r="C5936" s="1">
        <f>IFERROR(__xludf.DUMMYFUNCTION("""COMPUTED_VALUE"""),956.23)</f>
        <v>956.23</v>
      </c>
      <c r="D5936" s="1">
        <f>IFERROR(__xludf.DUMMYFUNCTION("""COMPUTED_VALUE"""),939.04)</f>
        <v>939.04</v>
      </c>
      <c r="E5936" s="1">
        <f>IFERROR(__xludf.DUMMYFUNCTION("""COMPUTED_VALUE"""),944.89)</f>
        <v>944.89</v>
      </c>
      <c r="F5936" s="1">
        <f>IFERROR(__xludf.DUMMYFUNCTION("""COMPUTED_VALUE"""),5.50083968E8)</f>
        <v>550083968</v>
      </c>
    </row>
    <row r="5937">
      <c r="A5937" s="2">
        <f>IFERROR(__xludf.DUMMYFUNCTION("""COMPUTED_VALUE"""),39976.666666666664)</f>
        <v>39976.66667</v>
      </c>
      <c r="B5937" s="1">
        <f>IFERROR(__xludf.DUMMYFUNCTION("""COMPUTED_VALUE"""),943.44)</f>
        <v>943.44</v>
      </c>
      <c r="C5937" s="1">
        <f>IFERROR(__xludf.DUMMYFUNCTION("""COMPUTED_VALUE"""),946.3)</f>
        <v>946.3</v>
      </c>
      <c r="D5937" s="1">
        <f>IFERROR(__xludf.DUMMYFUNCTION("""COMPUTED_VALUE"""),935.66)</f>
        <v>935.66</v>
      </c>
      <c r="E5937" s="1">
        <f>IFERROR(__xludf.DUMMYFUNCTION("""COMPUTED_VALUE"""),946.21)</f>
        <v>946.21</v>
      </c>
      <c r="F5937" s="1">
        <f>IFERROR(__xludf.DUMMYFUNCTION("""COMPUTED_VALUE"""),4.52812E8)</f>
        <v>452812000</v>
      </c>
    </row>
    <row r="5938">
      <c r="A5938" s="2">
        <f>IFERROR(__xludf.DUMMYFUNCTION("""COMPUTED_VALUE"""),39979.666666666664)</f>
        <v>39979.66667</v>
      </c>
      <c r="B5938" s="1">
        <f>IFERROR(__xludf.DUMMYFUNCTION("""COMPUTED_VALUE"""),942.45)</f>
        <v>942.45</v>
      </c>
      <c r="C5938" s="1">
        <f>IFERROR(__xludf.DUMMYFUNCTION("""COMPUTED_VALUE"""),942.45)</f>
        <v>942.45</v>
      </c>
      <c r="D5938" s="1">
        <f>IFERROR(__xludf.DUMMYFUNCTION("""COMPUTED_VALUE"""),919.65)</f>
        <v>919.65</v>
      </c>
      <c r="E5938" s="1">
        <f>IFERROR(__xludf.DUMMYFUNCTION("""COMPUTED_VALUE"""),923.72)</f>
        <v>923.72</v>
      </c>
      <c r="F5938" s="1">
        <f>IFERROR(__xludf.DUMMYFUNCTION("""COMPUTED_VALUE"""),4.69788E8)</f>
        <v>469788000</v>
      </c>
    </row>
    <row r="5939">
      <c r="A5939" s="2">
        <f>IFERROR(__xludf.DUMMYFUNCTION("""COMPUTED_VALUE"""),39980.666666666664)</f>
        <v>39980.66667</v>
      </c>
      <c r="B5939" s="1">
        <f>IFERROR(__xludf.DUMMYFUNCTION("""COMPUTED_VALUE"""),925.6)</f>
        <v>925.6</v>
      </c>
      <c r="C5939" s="1">
        <f>IFERROR(__xludf.DUMMYFUNCTION("""COMPUTED_VALUE"""),928.0)</f>
        <v>928</v>
      </c>
      <c r="D5939" s="1">
        <f>IFERROR(__xludf.DUMMYFUNCTION("""COMPUTED_VALUE"""),911.6)</f>
        <v>911.6</v>
      </c>
      <c r="E5939" s="1">
        <f>IFERROR(__xludf.DUMMYFUNCTION("""COMPUTED_VALUE"""),911.97)</f>
        <v>911.97</v>
      </c>
      <c r="F5939" s="1">
        <f>IFERROR(__xludf.DUMMYFUNCTION("""COMPUTED_VALUE"""),4.9512E8)</f>
        <v>495120000</v>
      </c>
    </row>
    <row r="5940">
      <c r="A5940" s="2">
        <f>IFERROR(__xludf.DUMMYFUNCTION("""COMPUTED_VALUE"""),39981.666666666664)</f>
        <v>39981.66667</v>
      </c>
      <c r="B5940" s="1">
        <f>IFERROR(__xludf.DUMMYFUNCTION("""COMPUTED_VALUE"""),911.89)</f>
        <v>911.89</v>
      </c>
      <c r="C5940" s="1">
        <f>IFERROR(__xludf.DUMMYFUNCTION("""COMPUTED_VALUE"""),918.44)</f>
        <v>918.44</v>
      </c>
      <c r="D5940" s="1">
        <f>IFERROR(__xludf.DUMMYFUNCTION("""COMPUTED_VALUE"""),903.78)</f>
        <v>903.78</v>
      </c>
      <c r="E5940" s="1">
        <f>IFERROR(__xludf.DUMMYFUNCTION("""COMPUTED_VALUE"""),910.71)</f>
        <v>910.71</v>
      </c>
      <c r="F5940" s="1">
        <f>IFERROR(__xludf.DUMMYFUNCTION("""COMPUTED_VALUE"""),5.52364992E8)</f>
        <v>552364992</v>
      </c>
    </row>
    <row r="5941">
      <c r="A5941" s="2">
        <f>IFERROR(__xludf.DUMMYFUNCTION("""COMPUTED_VALUE"""),39982.666666666664)</f>
        <v>39982.66667</v>
      </c>
      <c r="B5941" s="1">
        <f>IFERROR(__xludf.DUMMYFUNCTION("""COMPUTED_VALUE"""),910.86)</f>
        <v>910.86</v>
      </c>
      <c r="C5941" s="1">
        <f>IFERROR(__xludf.DUMMYFUNCTION("""COMPUTED_VALUE"""),921.93)</f>
        <v>921.93</v>
      </c>
      <c r="D5941" s="1">
        <f>IFERROR(__xludf.DUMMYFUNCTION("""COMPUTED_VALUE"""),907.94)</f>
        <v>907.94</v>
      </c>
      <c r="E5941" s="1">
        <f>IFERROR(__xludf.DUMMYFUNCTION("""COMPUTED_VALUE"""),918.37)</f>
        <v>918.37</v>
      </c>
      <c r="F5941" s="1">
        <f>IFERROR(__xludf.DUMMYFUNCTION("""COMPUTED_VALUE"""),4.68400992E8)</f>
        <v>468400992</v>
      </c>
    </row>
    <row r="5942">
      <c r="A5942" s="2">
        <f>IFERROR(__xludf.DUMMYFUNCTION("""COMPUTED_VALUE"""),39983.666666666664)</f>
        <v>39983.66667</v>
      </c>
      <c r="B5942" s="1">
        <f>IFERROR(__xludf.DUMMYFUNCTION("""COMPUTED_VALUE"""),919.96)</f>
        <v>919.96</v>
      </c>
      <c r="C5942" s="1">
        <f>IFERROR(__xludf.DUMMYFUNCTION("""COMPUTED_VALUE"""),927.09)</f>
        <v>927.09</v>
      </c>
      <c r="D5942" s="1">
        <f>IFERROR(__xludf.DUMMYFUNCTION("""COMPUTED_VALUE"""),915.8)</f>
        <v>915.8</v>
      </c>
      <c r="E5942" s="1">
        <f>IFERROR(__xludf.DUMMYFUNCTION("""COMPUTED_VALUE"""),921.23)</f>
        <v>921.23</v>
      </c>
      <c r="F5942" s="1">
        <f>IFERROR(__xludf.DUMMYFUNCTION("""COMPUTED_VALUE"""),5.71339008E8)</f>
        <v>571339008</v>
      </c>
    </row>
    <row r="5943">
      <c r="A5943" s="2">
        <f>IFERROR(__xludf.DUMMYFUNCTION("""COMPUTED_VALUE"""),39986.666666666664)</f>
        <v>39986.66667</v>
      </c>
      <c r="B5943" s="1">
        <f>IFERROR(__xludf.DUMMYFUNCTION("""COMPUTED_VALUE"""),918.13)</f>
        <v>918.13</v>
      </c>
      <c r="C5943" s="1">
        <f>IFERROR(__xludf.DUMMYFUNCTION("""COMPUTED_VALUE"""),918.13)</f>
        <v>918.13</v>
      </c>
      <c r="D5943" s="1">
        <f>IFERROR(__xludf.DUMMYFUNCTION("""COMPUTED_VALUE"""),893.04)</f>
        <v>893.04</v>
      </c>
      <c r="E5943" s="1">
        <f>IFERROR(__xludf.DUMMYFUNCTION("""COMPUTED_VALUE"""),893.04)</f>
        <v>893.04</v>
      </c>
      <c r="F5943" s="1">
        <f>IFERROR(__xludf.DUMMYFUNCTION("""COMPUTED_VALUE"""),4.90393984E8)</f>
        <v>490393984</v>
      </c>
    </row>
    <row r="5944">
      <c r="A5944" s="2">
        <f>IFERROR(__xludf.DUMMYFUNCTION("""COMPUTED_VALUE"""),39987.666666666664)</f>
        <v>39987.66667</v>
      </c>
      <c r="B5944" s="1">
        <f>IFERROR(__xludf.DUMMYFUNCTION("""COMPUTED_VALUE"""),893.46)</f>
        <v>893.46</v>
      </c>
      <c r="C5944" s="1">
        <f>IFERROR(__xludf.DUMMYFUNCTION("""COMPUTED_VALUE"""),898.69)</f>
        <v>898.69</v>
      </c>
      <c r="D5944" s="1">
        <f>IFERROR(__xludf.DUMMYFUNCTION("""COMPUTED_VALUE"""),888.86)</f>
        <v>888.86</v>
      </c>
      <c r="E5944" s="1">
        <f>IFERROR(__xludf.DUMMYFUNCTION("""COMPUTED_VALUE"""),895.1)</f>
        <v>895.1</v>
      </c>
      <c r="F5944" s="1">
        <f>IFERROR(__xludf.DUMMYFUNCTION("""COMPUTED_VALUE"""),5.07102016E8)</f>
        <v>507102016</v>
      </c>
    </row>
    <row r="5945">
      <c r="A5945" s="2">
        <f>IFERROR(__xludf.DUMMYFUNCTION("""COMPUTED_VALUE"""),39988.666666666664)</f>
        <v>39988.66667</v>
      </c>
      <c r="B5945" s="1">
        <f>IFERROR(__xludf.DUMMYFUNCTION("""COMPUTED_VALUE"""),896.31)</f>
        <v>896.31</v>
      </c>
      <c r="C5945" s="1">
        <f>IFERROR(__xludf.DUMMYFUNCTION("""COMPUTED_VALUE"""),910.85)</f>
        <v>910.85</v>
      </c>
      <c r="D5945" s="1">
        <f>IFERROR(__xludf.DUMMYFUNCTION("""COMPUTED_VALUE"""),896.31)</f>
        <v>896.31</v>
      </c>
      <c r="E5945" s="1">
        <f>IFERROR(__xludf.DUMMYFUNCTION("""COMPUTED_VALUE"""),900.94)</f>
        <v>900.94</v>
      </c>
      <c r="F5945" s="1">
        <f>IFERROR(__xludf.DUMMYFUNCTION("""COMPUTED_VALUE"""),4.63672E8)</f>
        <v>463672000</v>
      </c>
    </row>
    <row r="5946">
      <c r="A5946" s="2">
        <f>IFERROR(__xludf.DUMMYFUNCTION("""COMPUTED_VALUE"""),39989.666666666664)</f>
        <v>39989.66667</v>
      </c>
      <c r="B5946" s="1">
        <f>IFERROR(__xludf.DUMMYFUNCTION("""COMPUTED_VALUE"""),899.45)</f>
        <v>899.45</v>
      </c>
      <c r="C5946" s="1">
        <f>IFERROR(__xludf.DUMMYFUNCTION("""COMPUTED_VALUE"""),921.42)</f>
        <v>921.42</v>
      </c>
      <c r="D5946" s="1">
        <f>IFERROR(__xludf.DUMMYFUNCTION("""COMPUTED_VALUE"""),896.27)</f>
        <v>896.27</v>
      </c>
      <c r="E5946" s="1">
        <f>IFERROR(__xludf.DUMMYFUNCTION("""COMPUTED_VALUE"""),920.26)</f>
        <v>920.26</v>
      </c>
      <c r="F5946" s="1">
        <f>IFERROR(__xludf.DUMMYFUNCTION("""COMPUTED_VALUE"""),4.91124E8)</f>
        <v>491124000</v>
      </c>
    </row>
    <row r="5947">
      <c r="A5947" s="2">
        <f>IFERROR(__xludf.DUMMYFUNCTION("""COMPUTED_VALUE"""),39990.666666666664)</f>
        <v>39990.66667</v>
      </c>
      <c r="B5947" s="1">
        <f>IFERROR(__xludf.DUMMYFUNCTION("""COMPUTED_VALUE"""),918.84)</f>
        <v>918.84</v>
      </c>
      <c r="C5947" s="1">
        <f>IFERROR(__xludf.DUMMYFUNCTION("""COMPUTED_VALUE"""),922.0)</f>
        <v>922</v>
      </c>
      <c r="D5947" s="1">
        <f>IFERROR(__xludf.DUMMYFUNCTION("""COMPUTED_VALUE"""),913.03)</f>
        <v>913.03</v>
      </c>
      <c r="E5947" s="1">
        <f>IFERROR(__xludf.DUMMYFUNCTION("""COMPUTED_VALUE"""),918.9)</f>
        <v>918.9</v>
      </c>
      <c r="F5947" s="1">
        <f>IFERROR(__xludf.DUMMYFUNCTION("""COMPUTED_VALUE"""),6.07665984E8)</f>
        <v>607665984</v>
      </c>
    </row>
    <row r="5948">
      <c r="A5948" s="2">
        <f>IFERROR(__xludf.DUMMYFUNCTION("""COMPUTED_VALUE"""),39993.666666666664)</f>
        <v>39993.66667</v>
      </c>
      <c r="B5948" s="1">
        <f>IFERROR(__xludf.DUMMYFUNCTION("""COMPUTED_VALUE"""),919.86)</f>
        <v>919.86</v>
      </c>
      <c r="C5948" s="1">
        <f>IFERROR(__xludf.DUMMYFUNCTION("""COMPUTED_VALUE"""),927.99)</f>
        <v>927.99</v>
      </c>
      <c r="D5948" s="1">
        <f>IFERROR(__xludf.DUMMYFUNCTION("""COMPUTED_VALUE"""),916.18)</f>
        <v>916.18</v>
      </c>
      <c r="E5948" s="1">
        <f>IFERROR(__xludf.DUMMYFUNCTION("""COMPUTED_VALUE"""),927.23)</f>
        <v>927.23</v>
      </c>
      <c r="F5948" s="1">
        <f>IFERROR(__xludf.DUMMYFUNCTION("""COMPUTED_VALUE"""),4.21176E8)</f>
        <v>421176000</v>
      </c>
    </row>
    <row r="5949">
      <c r="A5949" s="2">
        <f>IFERROR(__xludf.DUMMYFUNCTION("""COMPUTED_VALUE"""),39994.666666666664)</f>
        <v>39994.66667</v>
      </c>
      <c r="B5949" s="1">
        <f>IFERROR(__xludf.DUMMYFUNCTION("""COMPUTED_VALUE"""),927.15)</f>
        <v>927.15</v>
      </c>
      <c r="C5949" s="1">
        <f>IFERROR(__xludf.DUMMYFUNCTION("""COMPUTED_VALUE"""),930.01)</f>
        <v>930.01</v>
      </c>
      <c r="D5949" s="1">
        <f>IFERROR(__xludf.DUMMYFUNCTION("""COMPUTED_VALUE"""),912.86)</f>
        <v>912.86</v>
      </c>
      <c r="E5949" s="1">
        <f>IFERROR(__xludf.DUMMYFUNCTION("""COMPUTED_VALUE"""),919.32)</f>
        <v>919.32</v>
      </c>
      <c r="F5949" s="1">
        <f>IFERROR(__xludf.DUMMYFUNCTION("""COMPUTED_VALUE"""),4.62756992E8)</f>
        <v>462756992</v>
      </c>
    </row>
    <row r="5950">
      <c r="A5950" s="2">
        <f>IFERROR(__xludf.DUMMYFUNCTION("""COMPUTED_VALUE"""),39995.666666666664)</f>
        <v>39995.66667</v>
      </c>
      <c r="B5950" s="1">
        <f>IFERROR(__xludf.DUMMYFUNCTION("""COMPUTED_VALUE"""),920.82)</f>
        <v>920.82</v>
      </c>
      <c r="C5950" s="1">
        <f>IFERROR(__xludf.DUMMYFUNCTION("""COMPUTED_VALUE"""),931.92)</f>
        <v>931.92</v>
      </c>
      <c r="D5950" s="1">
        <f>IFERROR(__xludf.DUMMYFUNCTION("""COMPUTED_VALUE"""),920.82)</f>
        <v>920.82</v>
      </c>
      <c r="E5950" s="1">
        <f>IFERROR(__xludf.DUMMYFUNCTION("""COMPUTED_VALUE"""),923.33)</f>
        <v>923.33</v>
      </c>
      <c r="F5950" s="1">
        <f>IFERROR(__xludf.DUMMYFUNCTION("""COMPUTED_VALUE"""),3.9194E8)</f>
        <v>391940000</v>
      </c>
    </row>
    <row r="5951">
      <c r="A5951" s="2">
        <f>IFERROR(__xludf.DUMMYFUNCTION("""COMPUTED_VALUE"""),39996.666666666664)</f>
        <v>39996.66667</v>
      </c>
      <c r="B5951" s="1">
        <f>IFERROR(__xludf.DUMMYFUNCTION("""COMPUTED_VALUE"""),921.24)</f>
        <v>921.24</v>
      </c>
      <c r="C5951" s="1">
        <f>IFERROR(__xludf.DUMMYFUNCTION("""COMPUTED_VALUE"""),921.24)</f>
        <v>921.24</v>
      </c>
      <c r="D5951" s="1">
        <f>IFERROR(__xludf.DUMMYFUNCTION("""COMPUTED_VALUE"""),896.42)</f>
        <v>896.42</v>
      </c>
      <c r="E5951" s="1">
        <f>IFERROR(__xludf.DUMMYFUNCTION("""COMPUTED_VALUE"""),896.42)</f>
        <v>896.42</v>
      </c>
      <c r="F5951" s="1">
        <f>IFERROR(__xludf.DUMMYFUNCTION("""COMPUTED_VALUE"""),3.931E8)</f>
        <v>393100000</v>
      </c>
    </row>
    <row r="5952">
      <c r="A5952" s="2">
        <f>IFERROR(__xludf.DUMMYFUNCTION("""COMPUTED_VALUE"""),40000.666666666664)</f>
        <v>40000.66667</v>
      </c>
      <c r="B5952" s="1">
        <f>IFERROR(__xludf.DUMMYFUNCTION("""COMPUTED_VALUE"""),894.27)</f>
        <v>894.27</v>
      </c>
      <c r="C5952" s="1">
        <f>IFERROR(__xludf.DUMMYFUNCTION("""COMPUTED_VALUE"""),898.72)</f>
        <v>898.72</v>
      </c>
      <c r="D5952" s="1">
        <f>IFERROR(__xludf.DUMMYFUNCTION("""COMPUTED_VALUE"""),886.36)</f>
        <v>886.36</v>
      </c>
      <c r="E5952" s="1">
        <f>IFERROR(__xludf.DUMMYFUNCTION("""COMPUTED_VALUE"""),898.72)</f>
        <v>898.72</v>
      </c>
      <c r="F5952" s="1">
        <f>IFERROR(__xludf.DUMMYFUNCTION("""COMPUTED_VALUE"""),4.71257984E8)</f>
        <v>471257984</v>
      </c>
    </row>
    <row r="5953">
      <c r="A5953" s="2">
        <f>IFERROR(__xludf.DUMMYFUNCTION("""COMPUTED_VALUE"""),40001.666666666664)</f>
        <v>40001.66667</v>
      </c>
      <c r="B5953" s="1">
        <f>IFERROR(__xludf.DUMMYFUNCTION("""COMPUTED_VALUE"""),898.6)</f>
        <v>898.6</v>
      </c>
      <c r="C5953" s="1">
        <f>IFERROR(__xludf.DUMMYFUNCTION("""COMPUTED_VALUE"""),898.6)</f>
        <v>898.6</v>
      </c>
      <c r="D5953" s="1">
        <f>IFERROR(__xludf.DUMMYFUNCTION("""COMPUTED_VALUE"""),879.93)</f>
        <v>879.93</v>
      </c>
      <c r="E5953" s="1">
        <f>IFERROR(__xludf.DUMMYFUNCTION("""COMPUTED_VALUE"""),881.03)</f>
        <v>881.03</v>
      </c>
      <c r="F5953" s="1">
        <f>IFERROR(__xludf.DUMMYFUNCTION("""COMPUTED_VALUE"""),4.67329984E8)</f>
        <v>467329984</v>
      </c>
    </row>
    <row r="5954">
      <c r="A5954" s="2">
        <f>IFERROR(__xludf.DUMMYFUNCTION("""COMPUTED_VALUE"""),40002.666666666664)</f>
        <v>40002.66667</v>
      </c>
      <c r="B5954" s="1">
        <f>IFERROR(__xludf.DUMMYFUNCTION("""COMPUTED_VALUE"""),881.9)</f>
        <v>881.9</v>
      </c>
      <c r="C5954" s="1">
        <f>IFERROR(__xludf.DUMMYFUNCTION("""COMPUTED_VALUE"""),886.8)</f>
        <v>886.8</v>
      </c>
      <c r="D5954" s="1">
        <f>IFERROR(__xludf.DUMMYFUNCTION("""COMPUTED_VALUE"""),869.32)</f>
        <v>869.32</v>
      </c>
      <c r="E5954" s="1">
        <f>IFERROR(__xludf.DUMMYFUNCTION("""COMPUTED_VALUE"""),879.56)</f>
        <v>879.56</v>
      </c>
      <c r="F5954" s="1">
        <f>IFERROR(__xludf.DUMMYFUNCTION("""COMPUTED_VALUE"""),5.72177984E8)</f>
        <v>572177984</v>
      </c>
    </row>
    <row r="5955">
      <c r="A5955" s="2">
        <f>IFERROR(__xludf.DUMMYFUNCTION("""COMPUTED_VALUE"""),40003.666666666664)</f>
        <v>40003.66667</v>
      </c>
      <c r="B5955" s="1">
        <f>IFERROR(__xludf.DUMMYFUNCTION("""COMPUTED_VALUE"""),881.28)</f>
        <v>881.28</v>
      </c>
      <c r="C5955" s="1">
        <f>IFERROR(__xludf.DUMMYFUNCTION("""COMPUTED_VALUE"""),887.86)</f>
        <v>887.86</v>
      </c>
      <c r="D5955" s="1">
        <f>IFERROR(__xludf.DUMMYFUNCTION("""COMPUTED_VALUE"""),878.45)</f>
        <v>878.45</v>
      </c>
      <c r="E5955" s="1">
        <f>IFERROR(__xludf.DUMMYFUNCTION("""COMPUTED_VALUE"""),882.68)</f>
        <v>882.68</v>
      </c>
      <c r="F5955" s="1">
        <f>IFERROR(__xludf.DUMMYFUNCTION("""COMPUTED_VALUE"""),4.34716992E8)</f>
        <v>434716992</v>
      </c>
    </row>
    <row r="5956">
      <c r="A5956" s="2">
        <f>IFERROR(__xludf.DUMMYFUNCTION("""COMPUTED_VALUE"""),40004.666666666664)</f>
        <v>40004.66667</v>
      </c>
      <c r="B5956" s="1">
        <f>IFERROR(__xludf.DUMMYFUNCTION("""COMPUTED_VALUE"""),880.03)</f>
        <v>880.03</v>
      </c>
      <c r="C5956" s="1">
        <f>IFERROR(__xludf.DUMMYFUNCTION("""COMPUTED_VALUE"""),883.57)</f>
        <v>883.57</v>
      </c>
      <c r="D5956" s="1">
        <f>IFERROR(__xludf.DUMMYFUNCTION("""COMPUTED_VALUE"""),872.81)</f>
        <v>872.81</v>
      </c>
      <c r="E5956" s="1">
        <f>IFERROR(__xludf.DUMMYFUNCTION("""COMPUTED_VALUE"""),879.13)</f>
        <v>879.13</v>
      </c>
      <c r="F5956" s="1">
        <f>IFERROR(__xludf.DUMMYFUNCTION("""COMPUTED_VALUE"""),3.91208E8)</f>
        <v>391208000</v>
      </c>
    </row>
    <row r="5957">
      <c r="A5957" s="2">
        <f>IFERROR(__xludf.DUMMYFUNCTION("""COMPUTED_VALUE"""),40007.666666666664)</f>
        <v>40007.66667</v>
      </c>
      <c r="B5957" s="1">
        <f>IFERROR(__xludf.DUMMYFUNCTION("""COMPUTED_VALUE"""),879.57)</f>
        <v>879.57</v>
      </c>
      <c r="C5957" s="1">
        <f>IFERROR(__xludf.DUMMYFUNCTION("""COMPUTED_VALUE"""),901.05)</f>
        <v>901.05</v>
      </c>
      <c r="D5957" s="1">
        <f>IFERROR(__xludf.DUMMYFUNCTION("""COMPUTED_VALUE"""),875.32)</f>
        <v>875.32</v>
      </c>
      <c r="E5957" s="1">
        <f>IFERROR(__xludf.DUMMYFUNCTION("""COMPUTED_VALUE"""),901.05)</f>
        <v>901.05</v>
      </c>
      <c r="F5957" s="1">
        <f>IFERROR(__xludf.DUMMYFUNCTION("""COMPUTED_VALUE"""),4.49944E8)</f>
        <v>449944000</v>
      </c>
    </row>
    <row r="5958">
      <c r="A5958" s="2">
        <f>IFERROR(__xludf.DUMMYFUNCTION("""COMPUTED_VALUE"""),40008.666666666664)</f>
        <v>40008.66667</v>
      </c>
      <c r="B5958" s="1">
        <f>IFERROR(__xludf.DUMMYFUNCTION("""COMPUTED_VALUE"""),900.77)</f>
        <v>900.77</v>
      </c>
      <c r="C5958" s="1">
        <f>IFERROR(__xludf.DUMMYFUNCTION("""COMPUTED_VALUE"""),905.84)</f>
        <v>905.84</v>
      </c>
      <c r="D5958" s="1">
        <f>IFERROR(__xludf.DUMMYFUNCTION("""COMPUTED_VALUE"""),896.5)</f>
        <v>896.5</v>
      </c>
      <c r="E5958" s="1">
        <f>IFERROR(__xludf.DUMMYFUNCTION("""COMPUTED_VALUE"""),905.84)</f>
        <v>905.84</v>
      </c>
      <c r="F5958" s="1">
        <f>IFERROR(__xludf.DUMMYFUNCTION("""COMPUTED_VALUE"""),4.14903008E8)</f>
        <v>414903008</v>
      </c>
    </row>
    <row r="5959">
      <c r="A5959" s="2">
        <f>IFERROR(__xludf.DUMMYFUNCTION("""COMPUTED_VALUE"""),40009.666666666664)</f>
        <v>40009.66667</v>
      </c>
      <c r="B5959" s="1">
        <f>IFERROR(__xludf.DUMMYFUNCTION("""COMPUTED_VALUE"""),910.15)</f>
        <v>910.15</v>
      </c>
      <c r="C5959" s="1">
        <f>IFERROR(__xludf.DUMMYFUNCTION("""COMPUTED_VALUE"""),933.95)</f>
        <v>933.95</v>
      </c>
      <c r="D5959" s="1">
        <f>IFERROR(__xludf.DUMMYFUNCTION("""COMPUTED_VALUE"""),910.15)</f>
        <v>910.15</v>
      </c>
      <c r="E5959" s="1">
        <f>IFERROR(__xludf.DUMMYFUNCTION("""COMPUTED_VALUE"""),932.68)</f>
        <v>932.68</v>
      </c>
      <c r="F5959" s="1">
        <f>IFERROR(__xludf.DUMMYFUNCTION("""COMPUTED_VALUE"""),5.23883008E8)</f>
        <v>523883008</v>
      </c>
    </row>
    <row r="5960">
      <c r="A5960" s="2">
        <f>IFERROR(__xludf.DUMMYFUNCTION("""COMPUTED_VALUE"""),40010.666666666664)</f>
        <v>40010.66667</v>
      </c>
      <c r="B5960" s="1">
        <f>IFERROR(__xludf.DUMMYFUNCTION("""COMPUTED_VALUE"""),930.17)</f>
        <v>930.17</v>
      </c>
      <c r="C5960" s="1">
        <f>IFERROR(__xludf.DUMMYFUNCTION("""COMPUTED_VALUE"""),943.96)</f>
        <v>943.96</v>
      </c>
      <c r="D5960" s="1">
        <f>IFERROR(__xludf.DUMMYFUNCTION("""COMPUTED_VALUE"""),927.45)</f>
        <v>927.45</v>
      </c>
      <c r="E5960" s="1">
        <f>IFERROR(__xludf.DUMMYFUNCTION("""COMPUTED_VALUE"""),940.74)</f>
        <v>940.74</v>
      </c>
      <c r="F5960" s="1">
        <f>IFERROR(__xludf.DUMMYFUNCTION("""COMPUTED_VALUE"""),4.89864E8)</f>
        <v>489864000</v>
      </c>
    </row>
    <row r="5961">
      <c r="A5961" s="2">
        <f>IFERROR(__xludf.DUMMYFUNCTION("""COMPUTED_VALUE"""),40011.666666666664)</f>
        <v>40011.66667</v>
      </c>
      <c r="B5961" s="1">
        <f>IFERROR(__xludf.DUMMYFUNCTION("""COMPUTED_VALUE"""),940.56)</f>
        <v>940.56</v>
      </c>
      <c r="C5961" s="1">
        <f>IFERROR(__xludf.DUMMYFUNCTION("""COMPUTED_VALUE"""),941.89)</f>
        <v>941.89</v>
      </c>
      <c r="D5961" s="1">
        <f>IFERROR(__xludf.DUMMYFUNCTION("""COMPUTED_VALUE"""),934.65)</f>
        <v>934.65</v>
      </c>
      <c r="E5961" s="1">
        <f>IFERROR(__xludf.DUMMYFUNCTION("""COMPUTED_VALUE"""),940.38)</f>
        <v>940.38</v>
      </c>
      <c r="F5961" s="1">
        <f>IFERROR(__xludf.DUMMYFUNCTION("""COMPUTED_VALUE"""),5.14137984E8)</f>
        <v>514137984</v>
      </c>
    </row>
    <row r="5962">
      <c r="A5962" s="2">
        <f>IFERROR(__xludf.DUMMYFUNCTION("""COMPUTED_VALUE"""),40014.666666666664)</f>
        <v>40014.66667</v>
      </c>
      <c r="B5962" s="1">
        <f>IFERROR(__xludf.DUMMYFUNCTION("""COMPUTED_VALUE"""),942.07)</f>
        <v>942.07</v>
      </c>
      <c r="C5962" s="1">
        <f>IFERROR(__xludf.DUMMYFUNCTION("""COMPUTED_VALUE"""),951.62)</f>
        <v>951.62</v>
      </c>
      <c r="D5962" s="1">
        <f>IFERROR(__xludf.DUMMYFUNCTION("""COMPUTED_VALUE"""),940.99)</f>
        <v>940.99</v>
      </c>
      <c r="E5962" s="1">
        <f>IFERROR(__xludf.DUMMYFUNCTION("""COMPUTED_VALUE"""),951.13)</f>
        <v>951.13</v>
      </c>
      <c r="F5962" s="1">
        <f>IFERROR(__xludf.DUMMYFUNCTION("""COMPUTED_VALUE"""),4.85315008E8)</f>
        <v>485315008</v>
      </c>
    </row>
    <row r="5963">
      <c r="A5963" s="2">
        <f>IFERROR(__xludf.DUMMYFUNCTION("""COMPUTED_VALUE"""),40015.666666666664)</f>
        <v>40015.66667</v>
      </c>
      <c r="B5963" s="1">
        <f>IFERROR(__xludf.DUMMYFUNCTION("""COMPUTED_VALUE"""),951.97)</f>
        <v>951.97</v>
      </c>
      <c r="C5963" s="1">
        <f>IFERROR(__xludf.DUMMYFUNCTION("""COMPUTED_VALUE"""),956.53)</f>
        <v>956.53</v>
      </c>
      <c r="D5963" s="1">
        <f>IFERROR(__xludf.DUMMYFUNCTION("""COMPUTED_VALUE"""),943.22)</f>
        <v>943.22</v>
      </c>
      <c r="E5963" s="1">
        <f>IFERROR(__xludf.DUMMYFUNCTION("""COMPUTED_VALUE"""),954.58)</f>
        <v>954.58</v>
      </c>
      <c r="F5963" s="1">
        <f>IFERROR(__xludf.DUMMYFUNCTION("""COMPUTED_VALUE"""),5.30929984E8)</f>
        <v>530929984</v>
      </c>
    </row>
    <row r="5964">
      <c r="A5964" s="2">
        <f>IFERROR(__xludf.DUMMYFUNCTION("""COMPUTED_VALUE"""),40016.666666666664)</f>
        <v>40016.66667</v>
      </c>
      <c r="B5964" s="1">
        <f>IFERROR(__xludf.DUMMYFUNCTION("""COMPUTED_VALUE"""),953.4)</f>
        <v>953.4</v>
      </c>
      <c r="C5964" s="1">
        <f>IFERROR(__xludf.DUMMYFUNCTION("""COMPUTED_VALUE"""),959.83)</f>
        <v>959.83</v>
      </c>
      <c r="D5964" s="1">
        <f>IFERROR(__xludf.DUMMYFUNCTION("""COMPUTED_VALUE"""),947.75)</f>
        <v>947.75</v>
      </c>
      <c r="E5964" s="1">
        <f>IFERROR(__xludf.DUMMYFUNCTION("""COMPUTED_VALUE"""),954.07)</f>
        <v>954.07</v>
      </c>
      <c r="F5964" s="1">
        <f>IFERROR(__xludf.DUMMYFUNCTION("""COMPUTED_VALUE"""),4.63409984E8)</f>
        <v>463409984</v>
      </c>
    </row>
    <row r="5965">
      <c r="A5965" s="2">
        <f>IFERROR(__xludf.DUMMYFUNCTION("""COMPUTED_VALUE"""),40017.666666666664)</f>
        <v>40017.66667</v>
      </c>
      <c r="B5965" s="1">
        <f>IFERROR(__xludf.DUMMYFUNCTION("""COMPUTED_VALUE"""),954.07)</f>
        <v>954.07</v>
      </c>
      <c r="C5965" s="1">
        <f>IFERROR(__xludf.DUMMYFUNCTION("""COMPUTED_VALUE"""),979.42)</f>
        <v>979.42</v>
      </c>
      <c r="D5965" s="1">
        <f>IFERROR(__xludf.DUMMYFUNCTION("""COMPUTED_VALUE"""),953.27)</f>
        <v>953.27</v>
      </c>
      <c r="E5965" s="1">
        <f>IFERROR(__xludf.DUMMYFUNCTION("""COMPUTED_VALUE"""),976.29)</f>
        <v>976.29</v>
      </c>
      <c r="F5965" s="1">
        <f>IFERROR(__xludf.DUMMYFUNCTION("""COMPUTED_VALUE"""),5.76164992E8)</f>
        <v>576164992</v>
      </c>
    </row>
    <row r="5966">
      <c r="A5966" s="2">
        <f>IFERROR(__xludf.DUMMYFUNCTION("""COMPUTED_VALUE"""),40018.666666666664)</f>
        <v>40018.66667</v>
      </c>
      <c r="B5966" s="1">
        <f>IFERROR(__xludf.DUMMYFUNCTION("""COMPUTED_VALUE"""),972.16)</f>
        <v>972.16</v>
      </c>
      <c r="C5966" s="1">
        <f>IFERROR(__xludf.DUMMYFUNCTION("""COMPUTED_VALUE"""),979.79)</f>
        <v>979.79</v>
      </c>
      <c r="D5966" s="1">
        <f>IFERROR(__xludf.DUMMYFUNCTION("""COMPUTED_VALUE"""),965.95)</f>
        <v>965.95</v>
      </c>
      <c r="E5966" s="1">
        <f>IFERROR(__xludf.DUMMYFUNCTION("""COMPUTED_VALUE"""),979.26)</f>
        <v>979.26</v>
      </c>
      <c r="F5966" s="1">
        <f>IFERROR(__xludf.DUMMYFUNCTION("""COMPUTED_VALUE"""),4.45830016E8)</f>
        <v>445830016</v>
      </c>
    </row>
    <row r="5967">
      <c r="A5967" s="2">
        <f>IFERROR(__xludf.DUMMYFUNCTION("""COMPUTED_VALUE"""),40021.666666666664)</f>
        <v>40021.66667</v>
      </c>
      <c r="B5967" s="1">
        <f>IFERROR(__xludf.DUMMYFUNCTION("""COMPUTED_VALUE"""),978.63)</f>
        <v>978.63</v>
      </c>
      <c r="C5967" s="1">
        <f>IFERROR(__xludf.DUMMYFUNCTION("""COMPUTED_VALUE"""),982.49)</f>
        <v>982.49</v>
      </c>
      <c r="D5967" s="1">
        <f>IFERROR(__xludf.DUMMYFUNCTION("""COMPUTED_VALUE"""),972.29)</f>
        <v>972.29</v>
      </c>
      <c r="E5967" s="1">
        <f>IFERROR(__xludf.DUMMYFUNCTION("""COMPUTED_VALUE"""),982.18)</f>
        <v>982.18</v>
      </c>
      <c r="F5967" s="1">
        <f>IFERROR(__xludf.DUMMYFUNCTION("""COMPUTED_VALUE"""),4.63128992E8)</f>
        <v>463128992</v>
      </c>
    </row>
    <row r="5968">
      <c r="A5968" s="2">
        <f>IFERROR(__xludf.DUMMYFUNCTION("""COMPUTED_VALUE"""),40022.666666666664)</f>
        <v>40022.66667</v>
      </c>
      <c r="B5968" s="1">
        <f>IFERROR(__xludf.DUMMYFUNCTION("""COMPUTED_VALUE"""),981.48)</f>
        <v>981.48</v>
      </c>
      <c r="C5968" s="1">
        <f>IFERROR(__xludf.DUMMYFUNCTION("""COMPUTED_VALUE"""),982.35)</f>
        <v>982.35</v>
      </c>
      <c r="D5968" s="1">
        <f>IFERROR(__xludf.DUMMYFUNCTION("""COMPUTED_VALUE"""),969.35)</f>
        <v>969.35</v>
      </c>
      <c r="E5968" s="1">
        <f>IFERROR(__xludf.DUMMYFUNCTION("""COMPUTED_VALUE"""),979.62)</f>
        <v>979.62</v>
      </c>
      <c r="F5968" s="1">
        <f>IFERROR(__xludf.DUMMYFUNCTION("""COMPUTED_VALUE"""),5.49035008E8)</f>
        <v>549035008</v>
      </c>
    </row>
    <row r="5969">
      <c r="A5969" s="2">
        <f>IFERROR(__xludf.DUMMYFUNCTION("""COMPUTED_VALUE"""),40023.666666666664)</f>
        <v>40023.66667</v>
      </c>
      <c r="B5969" s="1">
        <f>IFERROR(__xludf.DUMMYFUNCTION("""COMPUTED_VALUE"""),977.66)</f>
        <v>977.66</v>
      </c>
      <c r="C5969" s="1">
        <f>IFERROR(__xludf.DUMMYFUNCTION("""COMPUTED_VALUE"""),977.76)</f>
        <v>977.76</v>
      </c>
      <c r="D5969" s="1">
        <f>IFERROR(__xludf.DUMMYFUNCTION("""COMPUTED_VALUE"""),968.65)</f>
        <v>968.65</v>
      </c>
      <c r="E5969" s="1">
        <f>IFERROR(__xludf.DUMMYFUNCTION("""COMPUTED_VALUE"""),975.15)</f>
        <v>975.15</v>
      </c>
      <c r="F5969" s="1">
        <f>IFERROR(__xludf.DUMMYFUNCTION("""COMPUTED_VALUE"""),5.17876992E8)</f>
        <v>517876992</v>
      </c>
    </row>
    <row r="5970">
      <c r="A5970" s="2">
        <f>IFERROR(__xludf.DUMMYFUNCTION("""COMPUTED_VALUE"""),40024.666666666664)</f>
        <v>40024.66667</v>
      </c>
      <c r="B5970" s="1">
        <f>IFERROR(__xludf.DUMMYFUNCTION("""COMPUTED_VALUE"""),976.01)</f>
        <v>976.01</v>
      </c>
      <c r="C5970" s="1">
        <f>IFERROR(__xludf.DUMMYFUNCTION("""COMPUTED_VALUE"""),996.68)</f>
        <v>996.68</v>
      </c>
      <c r="D5970" s="1">
        <f>IFERROR(__xludf.DUMMYFUNCTION("""COMPUTED_VALUE"""),976.01)</f>
        <v>976.01</v>
      </c>
      <c r="E5970" s="1">
        <f>IFERROR(__xludf.DUMMYFUNCTION("""COMPUTED_VALUE"""),986.75)</f>
        <v>986.75</v>
      </c>
      <c r="F5970" s="1">
        <f>IFERROR(__xludf.DUMMYFUNCTION("""COMPUTED_VALUE"""),6.03518016E8)</f>
        <v>603518016</v>
      </c>
    </row>
    <row r="5971">
      <c r="A5971" s="2">
        <f>IFERROR(__xludf.DUMMYFUNCTION("""COMPUTED_VALUE"""),40025.666666666664)</f>
        <v>40025.66667</v>
      </c>
      <c r="B5971" s="1">
        <f>IFERROR(__xludf.DUMMYFUNCTION("""COMPUTED_VALUE"""),986.8)</f>
        <v>986.8</v>
      </c>
      <c r="C5971" s="1">
        <f>IFERROR(__xludf.DUMMYFUNCTION("""COMPUTED_VALUE"""),993.18)</f>
        <v>993.18</v>
      </c>
      <c r="D5971" s="1">
        <f>IFERROR(__xludf.DUMMYFUNCTION("""COMPUTED_VALUE"""),982.85)</f>
        <v>982.85</v>
      </c>
      <c r="E5971" s="1">
        <f>IFERROR(__xludf.DUMMYFUNCTION("""COMPUTED_VALUE"""),987.48)</f>
        <v>987.48</v>
      </c>
      <c r="F5971" s="1">
        <f>IFERROR(__xludf.DUMMYFUNCTION("""COMPUTED_VALUE"""),5.13907008E8)</f>
        <v>513907008</v>
      </c>
    </row>
    <row r="5972">
      <c r="A5972" s="2">
        <f>IFERROR(__xludf.DUMMYFUNCTION("""COMPUTED_VALUE"""),40028.666666666664)</f>
        <v>40028.66667</v>
      </c>
      <c r="B5972" s="1">
        <f>IFERROR(__xludf.DUMMYFUNCTION("""COMPUTED_VALUE"""),990.22)</f>
        <v>990.22</v>
      </c>
      <c r="C5972" s="1">
        <f>IFERROR(__xludf.DUMMYFUNCTION("""COMPUTED_VALUE"""),1003.61)</f>
        <v>1003.61</v>
      </c>
      <c r="D5972" s="1">
        <f>IFERROR(__xludf.DUMMYFUNCTION("""COMPUTED_VALUE"""),990.22)</f>
        <v>990.22</v>
      </c>
      <c r="E5972" s="1">
        <f>IFERROR(__xludf.DUMMYFUNCTION("""COMPUTED_VALUE"""),1002.63)</f>
        <v>1002.63</v>
      </c>
      <c r="F5972" s="1">
        <f>IFERROR(__xludf.DUMMYFUNCTION("""COMPUTED_VALUE"""),5.60344E8)</f>
        <v>560344000</v>
      </c>
    </row>
    <row r="5973">
      <c r="A5973" s="2">
        <f>IFERROR(__xludf.DUMMYFUNCTION("""COMPUTED_VALUE"""),40029.666666666664)</f>
        <v>40029.66667</v>
      </c>
      <c r="B5973" s="1">
        <f>IFERROR(__xludf.DUMMYFUNCTION("""COMPUTED_VALUE"""),1001.41)</f>
        <v>1001.41</v>
      </c>
      <c r="C5973" s="1">
        <f>IFERROR(__xludf.DUMMYFUNCTION("""COMPUTED_VALUE"""),1007.12)</f>
        <v>1007.12</v>
      </c>
      <c r="D5973" s="1">
        <f>IFERROR(__xludf.DUMMYFUNCTION("""COMPUTED_VALUE"""),996.68)</f>
        <v>996.68</v>
      </c>
      <c r="E5973" s="1">
        <f>IFERROR(__xludf.DUMMYFUNCTION("""COMPUTED_VALUE"""),1005.65)</f>
        <v>1005.65</v>
      </c>
      <c r="F5973" s="1">
        <f>IFERROR(__xludf.DUMMYFUNCTION("""COMPUTED_VALUE"""),5.71369984E8)</f>
        <v>571369984</v>
      </c>
    </row>
    <row r="5974">
      <c r="A5974" s="2">
        <f>IFERROR(__xludf.DUMMYFUNCTION("""COMPUTED_VALUE"""),40030.666666666664)</f>
        <v>40030.66667</v>
      </c>
      <c r="B5974" s="1">
        <f>IFERROR(__xludf.DUMMYFUNCTION("""COMPUTED_VALUE"""),1005.41)</f>
        <v>1005.41</v>
      </c>
      <c r="C5974" s="1">
        <f>IFERROR(__xludf.DUMMYFUNCTION("""COMPUTED_VALUE"""),1006.64)</f>
        <v>1006.64</v>
      </c>
      <c r="D5974" s="1">
        <f>IFERROR(__xludf.DUMMYFUNCTION("""COMPUTED_VALUE"""),994.31)</f>
        <v>994.31</v>
      </c>
      <c r="E5974" s="1">
        <f>IFERROR(__xludf.DUMMYFUNCTION("""COMPUTED_VALUE"""),1002.72)</f>
        <v>1002.72</v>
      </c>
      <c r="F5974" s="1">
        <f>IFERROR(__xludf.DUMMYFUNCTION("""COMPUTED_VALUE"""),3.24212E8)</f>
        <v>324212000</v>
      </c>
    </row>
    <row r="5975">
      <c r="A5975" s="2">
        <f>IFERROR(__xludf.DUMMYFUNCTION("""COMPUTED_VALUE"""),40031.666666666664)</f>
        <v>40031.66667</v>
      </c>
      <c r="B5975" s="1">
        <f>IFERROR(__xludf.DUMMYFUNCTION("""COMPUTED_VALUE"""),1004.06)</f>
        <v>1004.06</v>
      </c>
      <c r="C5975" s="1">
        <f>IFERROR(__xludf.DUMMYFUNCTION("""COMPUTED_VALUE"""),1008.0)</f>
        <v>1008</v>
      </c>
      <c r="D5975" s="1">
        <f>IFERROR(__xludf.DUMMYFUNCTION("""COMPUTED_VALUE"""),992.49)</f>
        <v>992.49</v>
      </c>
      <c r="E5975" s="1">
        <f>IFERROR(__xludf.DUMMYFUNCTION("""COMPUTED_VALUE"""),997.08)</f>
        <v>997.08</v>
      </c>
      <c r="F5975" s="1">
        <f>IFERROR(__xludf.DUMMYFUNCTION("""COMPUTED_VALUE"""),6.75337984E8)</f>
        <v>675337984</v>
      </c>
    </row>
    <row r="5976">
      <c r="A5976" s="2">
        <f>IFERROR(__xludf.DUMMYFUNCTION("""COMPUTED_VALUE"""),40032.666666666664)</f>
        <v>40032.66667</v>
      </c>
      <c r="B5976" s="1">
        <f>IFERROR(__xludf.DUMMYFUNCTION("""COMPUTED_VALUE"""),999.83)</f>
        <v>999.83</v>
      </c>
      <c r="C5976" s="1">
        <f>IFERROR(__xludf.DUMMYFUNCTION("""COMPUTED_VALUE"""),1018.0)</f>
        <v>1018</v>
      </c>
      <c r="D5976" s="1">
        <f>IFERROR(__xludf.DUMMYFUNCTION("""COMPUTED_VALUE"""),999.83)</f>
        <v>999.83</v>
      </c>
      <c r="E5976" s="1">
        <f>IFERROR(__xludf.DUMMYFUNCTION("""COMPUTED_VALUE"""),1010.48)</f>
        <v>1010.48</v>
      </c>
      <c r="F5976" s="1">
        <f>IFERROR(__xludf.DUMMYFUNCTION("""COMPUTED_VALUE"""),6.82708992E8)</f>
        <v>682708992</v>
      </c>
    </row>
    <row r="5977">
      <c r="A5977" s="2">
        <f>IFERROR(__xludf.DUMMYFUNCTION("""COMPUTED_VALUE"""),40035.666666666664)</f>
        <v>40035.66667</v>
      </c>
      <c r="B5977" s="1">
        <f>IFERROR(__xludf.DUMMYFUNCTION("""COMPUTED_VALUE"""),1008.89)</f>
        <v>1008.89</v>
      </c>
      <c r="C5977" s="1">
        <f>IFERROR(__xludf.DUMMYFUNCTION("""COMPUTED_VALUE"""),1010.12)</f>
        <v>1010.12</v>
      </c>
      <c r="D5977" s="1">
        <f>IFERROR(__xludf.DUMMYFUNCTION("""COMPUTED_VALUE"""),1000.99)</f>
        <v>1000.99</v>
      </c>
      <c r="E5977" s="1">
        <f>IFERROR(__xludf.DUMMYFUNCTION("""COMPUTED_VALUE"""),1007.1)</f>
        <v>1007.1</v>
      </c>
      <c r="F5977" s="1">
        <f>IFERROR(__xludf.DUMMYFUNCTION("""COMPUTED_VALUE"""),5.40608E8)</f>
        <v>540608000</v>
      </c>
    </row>
    <row r="5978">
      <c r="A5978" s="2">
        <f>IFERROR(__xludf.DUMMYFUNCTION("""COMPUTED_VALUE"""),40036.666666666664)</f>
        <v>40036.66667</v>
      </c>
      <c r="B5978" s="1">
        <f>IFERROR(__xludf.DUMMYFUNCTION("""COMPUTED_VALUE"""),1005.77)</f>
        <v>1005.77</v>
      </c>
      <c r="C5978" s="1">
        <f>IFERROR(__xludf.DUMMYFUNCTION("""COMPUTED_VALUE"""),1005.77)</f>
        <v>1005.77</v>
      </c>
      <c r="D5978" s="1">
        <f>IFERROR(__xludf.DUMMYFUNCTION("""COMPUTED_VALUE"""),992.4)</f>
        <v>992.4</v>
      </c>
      <c r="E5978" s="1">
        <f>IFERROR(__xludf.DUMMYFUNCTION("""COMPUTED_VALUE"""),994.35)</f>
        <v>994.35</v>
      </c>
      <c r="F5978" s="1">
        <f>IFERROR(__xludf.DUMMYFUNCTION("""COMPUTED_VALUE"""),5.77315968E8)</f>
        <v>577315968</v>
      </c>
    </row>
    <row r="5979">
      <c r="A5979" s="2">
        <f>IFERROR(__xludf.DUMMYFUNCTION("""COMPUTED_VALUE"""),40037.666666666664)</f>
        <v>40037.66667</v>
      </c>
      <c r="B5979" s="1">
        <f>IFERROR(__xludf.DUMMYFUNCTION("""COMPUTED_VALUE"""),994.0)</f>
        <v>994</v>
      </c>
      <c r="C5979" s="1">
        <f>IFERROR(__xludf.DUMMYFUNCTION("""COMPUTED_VALUE"""),1012.78)</f>
        <v>1012.78</v>
      </c>
      <c r="D5979" s="1">
        <f>IFERROR(__xludf.DUMMYFUNCTION("""COMPUTED_VALUE"""),993.36)</f>
        <v>993.36</v>
      </c>
      <c r="E5979" s="1">
        <f>IFERROR(__xludf.DUMMYFUNCTION("""COMPUTED_VALUE"""),1005.81)</f>
        <v>1005.81</v>
      </c>
      <c r="F5979" s="1">
        <f>IFERROR(__xludf.DUMMYFUNCTION("""COMPUTED_VALUE"""),5.49817024E8)</f>
        <v>549817024</v>
      </c>
    </row>
    <row r="5980">
      <c r="A5980" s="2">
        <f>IFERROR(__xludf.DUMMYFUNCTION("""COMPUTED_VALUE"""),40038.666666666664)</f>
        <v>40038.66667</v>
      </c>
      <c r="B5980" s="1">
        <f>IFERROR(__xludf.DUMMYFUNCTION("""COMPUTED_VALUE"""),1005.86)</f>
        <v>1005.86</v>
      </c>
      <c r="C5980" s="1">
        <f>IFERROR(__xludf.DUMMYFUNCTION("""COMPUTED_VALUE"""),1013.14)</f>
        <v>1013.14</v>
      </c>
      <c r="D5980" s="1">
        <f>IFERROR(__xludf.DUMMYFUNCTION("""COMPUTED_VALUE"""),1000.82)</f>
        <v>1000.82</v>
      </c>
      <c r="E5980" s="1">
        <f>IFERROR(__xludf.DUMMYFUNCTION("""COMPUTED_VALUE"""),1012.73)</f>
        <v>1012.73</v>
      </c>
      <c r="F5980" s="1">
        <f>IFERROR(__xludf.DUMMYFUNCTION("""COMPUTED_VALUE"""),5.25065984E8)</f>
        <v>525065984</v>
      </c>
    </row>
    <row r="5981">
      <c r="A5981" s="2">
        <f>IFERROR(__xludf.DUMMYFUNCTION("""COMPUTED_VALUE"""),40039.666666666664)</f>
        <v>40039.66667</v>
      </c>
      <c r="B5981" s="1">
        <f>IFERROR(__xludf.DUMMYFUNCTION("""COMPUTED_VALUE"""),1012.23)</f>
        <v>1012.23</v>
      </c>
      <c r="C5981" s="1">
        <f>IFERROR(__xludf.DUMMYFUNCTION("""COMPUTED_VALUE"""),1012.6)</f>
        <v>1012.6</v>
      </c>
      <c r="D5981" s="1">
        <f>IFERROR(__xludf.DUMMYFUNCTION("""COMPUTED_VALUE"""),994.6)</f>
        <v>994.6</v>
      </c>
      <c r="E5981" s="1">
        <f>IFERROR(__xludf.DUMMYFUNCTION("""COMPUTED_VALUE"""),1004.09)</f>
        <v>1004.09</v>
      </c>
      <c r="F5981" s="1">
        <f>IFERROR(__xludf.DUMMYFUNCTION("""COMPUTED_VALUE"""),4.94075008E8)</f>
        <v>494075008</v>
      </c>
    </row>
    <row r="5982">
      <c r="A5982" s="2">
        <f>IFERROR(__xludf.DUMMYFUNCTION("""COMPUTED_VALUE"""),40042.666666666664)</f>
        <v>40042.66667</v>
      </c>
      <c r="B5982" s="1">
        <f>IFERROR(__xludf.DUMMYFUNCTION("""COMPUTED_VALUE"""),998.18)</f>
        <v>998.18</v>
      </c>
      <c r="C5982" s="1">
        <f>IFERROR(__xludf.DUMMYFUNCTION("""COMPUTED_VALUE"""),998.18)</f>
        <v>998.18</v>
      </c>
      <c r="D5982" s="1">
        <f>IFERROR(__xludf.DUMMYFUNCTION("""COMPUTED_VALUE"""),978.51)</f>
        <v>978.51</v>
      </c>
      <c r="E5982" s="1">
        <f>IFERROR(__xludf.DUMMYFUNCTION("""COMPUTED_VALUE"""),979.73)</f>
        <v>979.73</v>
      </c>
      <c r="F5982" s="1">
        <f>IFERROR(__xludf.DUMMYFUNCTION("""COMPUTED_VALUE"""),4.08856992E8)</f>
        <v>408856992</v>
      </c>
    </row>
    <row r="5983">
      <c r="A5983" s="2">
        <f>IFERROR(__xludf.DUMMYFUNCTION("""COMPUTED_VALUE"""),40043.666666666664)</f>
        <v>40043.66667</v>
      </c>
      <c r="B5983" s="1">
        <f>IFERROR(__xludf.DUMMYFUNCTION("""COMPUTED_VALUE"""),980.62)</f>
        <v>980.62</v>
      </c>
      <c r="C5983" s="1">
        <f>IFERROR(__xludf.DUMMYFUNCTION("""COMPUTED_VALUE"""),991.2)</f>
        <v>991.2</v>
      </c>
      <c r="D5983" s="1">
        <f>IFERROR(__xludf.DUMMYFUNCTION("""COMPUTED_VALUE"""),980.62)</f>
        <v>980.62</v>
      </c>
      <c r="E5983" s="1">
        <f>IFERROR(__xludf.DUMMYFUNCTION("""COMPUTED_VALUE"""),989.67)</f>
        <v>989.67</v>
      </c>
      <c r="F5983" s="1">
        <f>IFERROR(__xludf.DUMMYFUNCTION("""COMPUTED_VALUE"""),4.19896992E8)</f>
        <v>419896992</v>
      </c>
    </row>
    <row r="5984">
      <c r="A5984" s="2">
        <f>IFERROR(__xludf.DUMMYFUNCTION("""COMPUTED_VALUE"""),40044.666666666664)</f>
        <v>40044.66667</v>
      </c>
      <c r="B5984" s="1">
        <f>IFERROR(__xludf.DUMMYFUNCTION("""COMPUTED_VALUE"""),986.88)</f>
        <v>986.88</v>
      </c>
      <c r="C5984" s="1">
        <f>IFERROR(__xludf.DUMMYFUNCTION("""COMPUTED_VALUE"""),999.61)</f>
        <v>999.61</v>
      </c>
      <c r="D5984" s="1">
        <f>IFERROR(__xludf.DUMMYFUNCTION("""COMPUTED_VALUE"""),980.62)</f>
        <v>980.62</v>
      </c>
      <c r="E5984" s="1">
        <f>IFERROR(__xludf.DUMMYFUNCTION("""COMPUTED_VALUE"""),996.46)</f>
        <v>996.46</v>
      </c>
      <c r="F5984" s="1">
        <f>IFERROR(__xludf.DUMMYFUNCTION("""COMPUTED_VALUE"""),4.257E8)</f>
        <v>425700000</v>
      </c>
    </row>
    <row r="5985">
      <c r="A5985" s="2">
        <f>IFERROR(__xludf.DUMMYFUNCTION("""COMPUTED_VALUE"""),40045.666666666664)</f>
        <v>40045.66667</v>
      </c>
      <c r="B5985" s="1">
        <f>IFERROR(__xludf.DUMMYFUNCTION("""COMPUTED_VALUE"""),996.41)</f>
        <v>996.41</v>
      </c>
      <c r="C5985" s="1">
        <f>IFERROR(__xludf.DUMMYFUNCTION("""COMPUTED_VALUE"""),1008.92)</f>
        <v>1008.92</v>
      </c>
      <c r="D5985" s="1">
        <f>IFERROR(__xludf.DUMMYFUNCTION("""COMPUTED_VALUE"""),996.39)</f>
        <v>996.39</v>
      </c>
      <c r="E5985" s="1">
        <f>IFERROR(__xludf.DUMMYFUNCTION("""COMPUTED_VALUE"""),1007.37)</f>
        <v>1007.37</v>
      </c>
      <c r="F5985" s="1">
        <f>IFERROR(__xludf.DUMMYFUNCTION("""COMPUTED_VALUE"""),4.89316E8)</f>
        <v>489316000</v>
      </c>
    </row>
    <row r="5986">
      <c r="A5986" s="2">
        <f>IFERROR(__xludf.DUMMYFUNCTION("""COMPUTED_VALUE"""),40046.666666666664)</f>
        <v>40046.66667</v>
      </c>
      <c r="B5986" s="1">
        <f>IFERROR(__xludf.DUMMYFUNCTION("""COMPUTED_VALUE"""),1009.06)</f>
        <v>1009.06</v>
      </c>
      <c r="C5986" s="1">
        <f>IFERROR(__xludf.DUMMYFUNCTION("""COMPUTED_VALUE"""),1027.59)</f>
        <v>1027.59</v>
      </c>
      <c r="D5986" s="1">
        <f>IFERROR(__xludf.DUMMYFUNCTION("""COMPUTED_VALUE"""),1009.06)</f>
        <v>1009.06</v>
      </c>
      <c r="E5986" s="1">
        <f>IFERROR(__xludf.DUMMYFUNCTION("""COMPUTED_VALUE"""),1026.13)</f>
        <v>1026.13</v>
      </c>
      <c r="F5986" s="1">
        <f>IFERROR(__xludf.DUMMYFUNCTION("""COMPUTED_VALUE"""),5.88555008E8)</f>
        <v>588555008</v>
      </c>
    </row>
    <row r="5987">
      <c r="A5987" s="2">
        <f>IFERROR(__xludf.DUMMYFUNCTION("""COMPUTED_VALUE"""),40049.666666666664)</f>
        <v>40049.66667</v>
      </c>
      <c r="B5987" s="1">
        <f>IFERROR(__xludf.DUMMYFUNCTION("""COMPUTED_VALUE"""),1026.59)</f>
        <v>1026.59</v>
      </c>
      <c r="C5987" s="1">
        <f>IFERROR(__xludf.DUMMYFUNCTION("""COMPUTED_VALUE"""),1035.81)</f>
        <v>1035.81</v>
      </c>
      <c r="D5987" s="1">
        <f>IFERROR(__xludf.DUMMYFUNCTION("""COMPUTED_VALUE"""),1022.48)</f>
        <v>1022.48</v>
      </c>
      <c r="E5987" s="1">
        <f>IFERROR(__xludf.DUMMYFUNCTION("""COMPUTED_VALUE"""),1025.56)</f>
        <v>1025.56</v>
      </c>
      <c r="F5987" s="1">
        <f>IFERROR(__xludf.DUMMYFUNCTION("""COMPUTED_VALUE"""),6.30244992E8)</f>
        <v>630244992</v>
      </c>
    </row>
    <row r="5988">
      <c r="A5988" s="2">
        <f>IFERROR(__xludf.DUMMYFUNCTION("""COMPUTED_VALUE"""),40050.666666666664)</f>
        <v>40050.66667</v>
      </c>
      <c r="B5988" s="1">
        <f>IFERROR(__xludf.DUMMYFUNCTION("""COMPUTED_VALUE"""),1026.63)</f>
        <v>1026.63</v>
      </c>
      <c r="C5988" s="1">
        <f>IFERROR(__xludf.DUMMYFUNCTION("""COMPUTED_VALUE"""),1037.75)</f>
        <v>1037.75</v>
      </c>
      <c r="D5988" s="1">
        <f>IFERROR(__xludf.DUMMYFUNCTION("""COMPUTED_VALUE"""),1026.21)</f>
        <v>1026.21</v>
      </c>
      <c r="E5988" s="1">
        <f>IFERROR(__xludf.DUMMYFUNCTION("""COMPUTED_VALUE"""),1028.0)</f>
        <v>1028</v>
      </c>
      <c r="F5988" s="1">
        <f>IFERROR(__xludf.DUMMYFUNCTION("""COMPUTED_VALUE"""),5.76873984E8)</f>
        <v>576873984</v>
      </c>
    </row>
    <row r="5989">
      <c r="A5989" s="2">
        <f>IFERROR(__xludf.DUMMYFUNCTION("""COMPUTED_VALUE"""),40051.666666666664)</f>
        <v>40051.66667</v>
      </c>
      <c r="B5989" s="1">
        <f>IFERROR(__xludf.DUMMYFUNCTION("""COMPUTED_VALUE"""),1027.35)</f>
        <v>1027.35</v>
      </c>
      <c r="C5989" s="1">
        <f>IFERROR(__xludf.DUMMYFUNCTION("""COMPUTED_VALUE"""),1032.47)</f>
        <v>1032.47</v>
      </c>
      <c r="D5989" s="1">
        <f>IFERROR(__xludf.DUMMYFUNCTION("""COMPUTED_VALUE"""),1021.57)</f>
        <v>1021.57</v>
      </c>
      <c r="E5989" s="1">
        <f>IFERROR(__xludf.DUMMYFUNCTION("""COMPUTED_VALUE"""),1028.12)</f>
        <v>1028.12</v>
      </c>
      <c r="F5989" s="1">
        <f>IFERROR(__xludf.DUMMYFUNCTION("""COMPUTED_VALUE"""),5.08006016E8)</f>
        <v>508006016</v>
      </c>
    </row>
    <row r="5990">
      <c r="A5990" s="2">
        <f>IFERROR(__xludf.DUMMYFUNCTION("""COMPUTED_VALUE"""),40052.666666666664)</f>
        <v>40052.66667</v>
      </c>
      <c r="B5990" s="1">
        <f>IFERROR(__xludf.DUMMYFUNCTION("""COMPUTED_VALUE"""),1027.81)</f>
        <v>1027.81</v>
      </c>
      <c r="C5990" s="1">
        <f>IFERROR(__xludf.DUMMYFUNCTION("""COMPUTED_VALUE"""),1033.32)</f>
        <v>1033.32</v>
      </c>
      <c r="D5990" s="1">
        <f>IFERROR(__xludf.DUMMYFUNCTION("""COMPUTED_VALUE"""),1016.2)</f>
        <v>1016.2</v>
      </c>
      <c r="E5990" s="1">
        <f>IFERROR(__xludf.DUMMYFUNCTION("""COMPUTED_VALUE"""),1030.98)</f>
        <v>1030.98</v>
      </c>
      <c r="F5990" s="1">
        <f>IFERROR(__xludf.DUMMYFUNCTION("""COMPUTED_VALUE"""),5.78588032E8)</f>
        <v>578588032</v>
      </c>
    </row>
    <row r="5991">
      <c r="A5991" s="2">
        <f>IFERROR(__xludf.DUMMYFUNCTION("""COMPUTED_VALUE"""),40053.666666666664)</f>
        <v>40053.66667</v>
      </c>
      <c r="B5991" s="1">
        <f>IFERROR(__xludf.DUMMYFUNCTION("""COMPUTED_VALUE"""),1031.62)</f>
        <v>1031.62</v>
      </c>
      <c r="C5991" s="1">
        <f>IFERROR(__xludf.DUMMYFUNCTION("""COMPUTED_VALUE"""),1039.47)</f>
        <v>1039.47</v>
      </c>
      <c r="D5991" s="1">
        <f>IFERROR(__xludf.DUMMYFUNCTION("""COMPUTED_VALUE"""),1023.13)</f>
        <v>1023.13</v>
      </c>
      <c r="E5991" s="1">
        <f>IFERROR(__xludf.DUMMYFUNCTION("""COMPUTED_VALUE"""),1028.93)</f>
        <v>1028.93</v>
      </c>
      <c r="F5991" s="1">
        <f>IFERROR(__xludf.DUMMYFUNCTION("""COMPUTED_VALUE"""),5.78577984E8)</f>
        <v>578577984</v>
      </c>
    </row>
    <row r="5992">
      <c r="A5992" s="2">
        <f>IFERROR(__xludf.DUMMYFUNCTION("""COMPUTED_VALUE"""),40056.666666666664)</f>
        <v>40056.66667</v>
      </c>
      <c r="B5992" s="1">
        <f>IFERROR(__xludf.DUMMYFUNCTION("""COMPUTED_VALUE"""),1025.21)</f>
        <v>1025.21</v>
      </c>
      <c r="C5992" s="1">
        <f>IFERROR(__xludf.DUMMYFUNCTION("""COMPUTED_VALUE"""),1025.21)</f>
        <v>1025.21</v>
      </c>
      <c r="D5992" s="1">
        <f>IFERROR(__xludf.DUMMYFUNCTION("""COMPUTED_VALUE"""),1014.62)</f>
        <v>1014.62</v>
      </c>
      <c r="E5992" s="1">
        <f>IFERROR(__xludf.DUMMYFUNCTION("""COMPUTED_VALUE"""),1020.62)</f>
        <v>1020.62</v>
      </c>
      <c r="F5992" s="1">
        <f>IFERROR(__xludf.DUMMYFUNCTION("""COMPUTED_VALUE"""),5.00456E8)</f>
        <v>500456000</v>
      </c>
    </row>
    <row r="5993">
      <c r="A5993" s="2">
        <f>IFERROR(__xludf.DUMMYFUNCTION("""COMPUTED_VALUE"""),40057.666666666664)</f>
        <v>40057.66667</v>
      </c>
      <c r="B5993" s="1">
        <f>IFERROR(__xludf.DUMMYFUNCTION("""COMPUTED_VALUE"""),1019.52)</f>
        <v>1019.52</v>
      </c>
      <c r="C5993" s="1">
        <f>IFERROR(__xludf.DUMMYFUNCTION("""COMPUTED_VALUE"""),1028.44)</f>
        <v>1028.44</v>
      </c>
      <c r="D5993" s="1">
        <f>IFERROR(__xludf.DUMMYFUNCTION("""COMPUTED_VALUE"""),996.28)</f>
        <v>996.28</v>
      </c>
      <c r="E5993" s="1">
        <f>IFERROR(__xludf.DUMMYFUNCTION("""COMPUTED_VALUE"""),998.04)</f>
        <v>998.04</v>
      </c>
      <c r="F5993" s="1">
        <f>IFERROR(__xludf.DUMMYFUNCTION("""COMPUTED_VALUE"""),6.86236032E8)</f>
        <v>686236032</v>
      </c>
    </row>
    <row r="5994">
      <c r="A5994" s="2">
        <f>IFERROR(__xludf.DUMMYFUNCTION("""COMPUTED_VALUE"""),40058.666666666664)</f>
        <v>40058.66667</v>
      </c>
      <c r="B5994" s="1">
        <f>IFERROR(__xludf.DUMMYFUNCTION("""COMPUTED_VALUE"""),996.07)</f>
        <v>996.07</v>
      </c>
      <c r="C5994" s="1">
        <f>IFERROR(__xludf.DUMMYFUNCTION("""COMPUTED_VALUE"""),1000.34)</f>
        <v>1000.34</v>
      </c>
      <c r="D5994" s="1">
        <f>IFERROR(__xludf.DUMMYFUNCTION("""COMPUTED_VALUE"""),991.97)</f>
        <v>991.97</v>
      </c>
      <c r="E5994" s="1">
        <f>IFERROR(__xludf.DUMMYFUNCTION("""COMPUTED_VALUE"""),994.75)</f>
        <v>994.75</v>
      </c>
      <c r="F5994" s="1">
        <f>IFERROR(__xludf.DUMMYFUNCTION("""COMPUTED_VALUE"""),5.84273024E8)</f>
        <v>584273024</v>
      </c>
    </row>
    <row r="5995">
      <c r="A5995" s="2">
        <f>IFERROR(__xludf.DUMMYFUNCTION("""COMPUTED_VALUE"""),40059.666666666664)</f>
        <v>40059.66667</v>
      </c>
      <c r="B5995" s="1">
        <f>IFERROR(__xludf.DUMMYFUNCTION("""COMPUTED_VALUE"""),996.12)</f>
        <v>996.12</v>
      </c>
      <c r="C5995" s="1">
        <f>IFERROR(__xludf.DUMMYFUNCTION("""COMPUTED_VALUE"""),1003.43)</f>
        <v>1003.43</v>
      </c>
      <c r="D5995" s="1">
        <f>IFERROR(__xludf.DUMMYFUNCTION("""COMPUTED_VALUE"""),992.25)</f>
        <v>992.25</v>
      </c>
      <c r="E5995" s="1">
        <f>IFERROR(__xludf.DUMMYFUNCTION("""COMPUTED_VALUE"""),1003.24)</f>
        <v>1003.24</v>
      </c>
      <c r="F5995" s="1">
        <f>IFERROR(__xludf.DUMMYFUNCTION("""COMPUTED_VALUE"""),4.62428E8)</f>
        <v>462428000</v>
      </c>
    </row>
    <row r="5996">
      <c r="A5996" s="2">
        <f>IFERROR(__xludf.DUMMYFUNCTION("""COMPUTED_VALUE"""),40060.666666666664)</f>
        <v>40060.66667</v>
      </c>
      <c r="B5996" s="1">
        <f>IFERROR(__xludf.DUMMYFUNCTION("""COMPUTED_VALUE"""),1003.84)</f>
        <v>1003.84</v>
      </c>
      <c r="C5996" s="1">
        <f>IFERROR(__xludf.DUMMYFUNCTION("""COMPUTED_VALUE"""),1016.48)</f>
        <v>1016.48</v>
      </c>
      <c r="D5996" s="1">
        <f>IFERROR(__xludf.DUMMYFUNCTION("""COMPUTED_VALUE"""),1001.65)</f>
        <v>1001.65</v>
      </c>
      <c r="E5996" s="1">
        <f>IFERROR(__xludf.DUMMYFUNCTION("""COMPUTED_VALUE"""),1016.4)</f>
        <v>1016.4</v>
      </c>
      <c r="F5996" s="1">
        <f>IFERROR(__xludf.DUMMYFUNCTION("""COMPUTED_VALUE"""),4.09736992E8)</f>
        <v>409736992</v>
      </c>
    </row>
    <row r="5997">
      <c r="A5997" s="2">
        <f>IFERROR(__xludf.DUMMYFUNCTION("""COMPUTED_VALUE"""),40064.666666666664)</f>
        <v>40064.66667</v>
      </c>
      <c r="B5997" s="1">
        <f>IFERROR(__xludf.DUMMYFUNCTION("""COMPUTED_VALUE"""),1018.67)</f>
        <v>1018.67</v>
      </c>
      <c r="C5997" s="1">
        <f>IFERROR(__xludf.DUMMYFUNCTION("""COMPUTED_VALUE"""),1026.06)</f>
        <v>1026.06</v>
      </c>
      <c r="D5997" s="1">
        <f>IFERROR(__xludf.DUMMYFUNCTION("""COMPUTED_VALUE"""),1018.67)</f>
        <v>1018.67</v>
      </c>
      <c r="E5997" s="1">
        <f>IFERROR(__xludf.DUMMYFUNCTION("""COMPUTED_VALUE"""),1025.39)</f>
        <v>1025.39</v>
      </c>
      <c r="F5997" s="1">
        <f>IFERROR(__xludf.DUMMYFUNCTION("""COMPUTED_VALUE"""),5.23516E8)</f>
        <v>523516000</v>
      </c>
    </row>
    <row r="5998">
      <c r="A5998" s="2">
        <f>IFERROR(__xludf.DUMMYFUNCTION("""COMPUTED_VALUE"""),40065.666666666664)</f>
        <v>40065.66667</v>
      </c>
      <c r="B5998" s="1">
        <f>IFERROR(__xludf.DUMMYFUNCTION("""COMPUTED_VALUE"""),1025.36)</f>
        <v>1025.36</v>
      </c>
      <c r="C5998" s="1">
        <f>IFERROR(__xludf.DUMMYFUNCTION("""COMPUTED_VALUE"""),1036.34)</f>
        <v>1036.34</v>
      </c>
      <c r="D5998" s="1">
        <f>IFERROR(__xludf.DUMMYFUNCTION("""COMPUTED_VALUE"""),1023.97)</f>
        <v>1023.97</v>
      </c>
      <c r="E5998" s="1">
        <f>IFERROR(__xludf.DUMMYFUNCTION("""COMPUTED_VALUE"""),1033.37)</f>
        <v>1033.37</v>
      </c>
      <c r="F5998" s="1">
        <f>IFERROR(__xludf.DUMMYFUNCTION("""COMPUTED_VALUE"""),5.20255008E8)</f>
        <v>520255008</v>
      </c>
    </row>
    <row r="5999">
      <c r="A5999" s="2">
        <f>IFERROR(__xludf.DUMMYFUNCTION("""COMPUTED_VALUE"""),40066.666666666664)</f>
        <v>40066.66667</v>
      </c>
      <c r="B5999" s="1">
        <f>IFERROR(__xludf.DUMMYFUNCTION("""COMPUTED_VALUE"""),1032.99)</f>
        <v>1032.99</v>
      </c>
      <c r="C5999" s="1">
        <f>IFERROR(__xludf.DUMMYFUNCTION("""COMPUTED_VALUE"""),1044.14)</f>
        <v>1044.14</v>
      </c>
      <c r="D5999" s="1">
        <f>IFERROR(__xludf.DUMMYFUNCTION("""COMPUTED_VALUE"""),1028.04)</f>
        <v>1028.04</v>
      </c>
      <c r="E5999" s="1">
        <f>IFERROR(__xludf.DUMMYFUNCTION("""COMPUTED_VALUE"""),1044.14)</f>
        <v>1044.14</v>
      </c>
      <c r="F5999" s="1">
        <f>IFERROR(__xludf.DUMMYFUNCTION("""COMPUTED_VALUE"""),5.19137984E8)</f>
        <v>519137984</v>
      </c>
    </row>
    <row r="6000">
      <c r="A6000" s="2">
        <f>IFERROR(__xludf.DUMMYFUNCTION("""COMPUTED_VALUE"""),40067.666666666664)</f>
        <v>40067.66667</v>
      </c>
      <c r="B6000" s="1">
        <f>IFERROR(__xludf.DUMMYFUNCTION("""COMPUTED_VALUE"""),1043.92)</f>
        <v>1043.92</v>
      </c>
      <c r="C6000" s="1">
        <f>IFERROR(__xludf.DUMMYFUNCTION("""COMPUTED_VALUE"""),1048.18)</f>
        <v>1048.18</v>
      </c>
      <c r="D6000" s="1">
        <f>IFERROR(__xludf.DUMMYFUNCTION("""COMPUTED_VALUE"""),1038.4)</f>
        <v>1038.4</v>
      </c>
      <c r="E6000" s="1">
        <f>IFERROR(__xludf.DUMMYFUNCTION("""COMPUTED_VALUE"""),1042.73)</f>
        <v>1042.73</v>
      </c>
      <c r="F6000" s="1">
        <f>IFERROR(__xludf.DUMMYFUNCTION("""COMPUTED_VALUE"""),4.9226E8)</f>
        <v>492260000</v>
      </c>
    </row>
    <row r="6001">
      <c r="A6001" s="2">
        <f>IFERROR(__xludf.DUMMYFUNCTION("""COMPUTED_VALUE"""),40070.666666666664)</f>
        <v>40070.66667</v>
      </c>
      <c r="B6001" s="1">
        <f>IFERROR(__xludf.DUMMYFUNCTION("""COMPUTED_VALUE"""),1040.15)</f>
        <v>1040.15</v>
      </c>
      <c r="C6001" s="1">
        <f>IFERROR(__xludf.DUMMYFUNCTION("""COMPUTED_VALUE"""),1049.74)</f>
        <v>1049.74</v>
      </c>
      <c r="D6001" s="1">
        <f>IFERROR(__xludf.DUMMYFUNCTION("""COMPUTED_VALUE"""),1035.0)</f>
        <v>1035</v>
      </c>
      <c r="E6001" s="1">
        <f>IFERROR(__xludf.DUMMYFUNCTION("""COMPUTED_VALUE"""),1049.34)</f>
        <v>1049.34</v>
      </c>
      <c r="F6001" s="1">
        <f>IFERROR(__xludf.DUMMYFUNCTION("""COMPUTED_VALUE"""),4.97960992E8)</f>
        <v>497960992</v>
      </c>
    </row>
    <row r="6002">
      <c r="A6002" s="2">
        <f>IFERROR(__xludf.DUMMYFUNCTION("""COMPUTED_VALUE"""),40071.666666666664)</f>
        <v>40071.66667</v>
      </c>
      <c r="B6002" s="1">
        <f>IFERROR(__xludf.DUMMYFUNCTION("""COMPUTED_VALUE"""),1049.03)</f>
        <v>1049.03</v>
      </c>
      <c r="C6002" s="1">
        <f>IFERROR(__xludf.DUMMYFUNCTION("""COMPUTED_VALUE"""),1056.04)</f>
        <v>1056.04</v>
      </c>
      <c r="D6002" s="1">
        <f>IFERROR(__xludf.DUMMYFUNCTION("""COMPUTED_VALUE"""),1043.42)</f>
        <v>1043.42</v>
      </c>
      <c r="E6002" s="1">
        <f>IFERROR(__xludf.DUMMYFUNCTION("""COMPUTED_VALUE"""),1052.63)</f>
        <v>1052.63</v>
      </c>
      <c r="F6002" s="1">
        <f>IFERROR(__xludf.DUMMYFUNCTION("""COMPUTED_VALUE"""),6.18561984E8)</f>
        <v>618561984</v>
      </c>
    </row>
    <row r="6003">
      <c r="A6003" s="2">
        <f>IFERROR(__xludf.DUMMYFUNCTION("""COMPUTED_VALUE"""),40072.666666666664)</f>
        <v>40072.66667</v>
      </c>
      <c r="B6003" s="1">
        <f>IFERROR(__xludf.DUMMYFUNCTION("""COMPUTED_VALUE"""),1053.99)</f>
        <v>1053.99</v>
      </c>
      <c r="C6003" s="1">
        <f>IFERROR(__xludf.DUMMYFUNCTION("""COMPUTED_VALUE"""),1068.76)</f>
        <v>1068.76</v>
      </c>
      <c r="D6003" s="1">
        <f>IFERROR(__xludf.DUMMYFUNCTION("""COMPUTED_VALUE"""),1052.87)</f>
        <v>1052.87</v>
      </c>
      <c r="E6003" s="1">
        <f>IFERROR(__xludf.DUMMYFUNCTION("""COMPUTED_VALUE"""),1068.76)</f>
        <v>1068.76</v>
      </c>
      <c r="F6003" s="1">
        <f>IFERROR(__xludf.DUMMYFUNCTION("""COMPUTED_VALUE"""),6.7935296E8)</f>
        <v>679352960</v>
      </c>
    </row>
    <row r="6004">
      <c r="A6004" s="2">
        <f>IFERROR(__xludf.DUMMYFUNCTION("""COMPUTED_VALUE"""),40073.666666666664)</f>
        <v>40073.66667</v>
      </c>
      <c r="B6004" s="1">
        <f>IFERROR(__xludf.DUMMYFUNCTION("""COMPUTED_VALUE"""),1067.87)</f>
        <v>1067.87</v>
      </c>
      <c r="C6004" s="1">
        <f>IFERROR(__xludf.DUMMYFUNCTION("""COMPUTED_VALUE"""),1074.77)</f>
        <v>1074.77</v>
      </c>
      <c r="D6004" s="1">
        <f>IFERROR(__xludf.DUMMYFUNCTION("""COMPUTED_VALUE"""),1061.19)</f>
        <v>1061.19</v>
      </c>
      <c r="E6004" s="1">
        <f>IFERROR(__xludf.DUMMYFUNCTION("""COMPUTED_VALUE"""),1065.49)</f>
        <v>1065.49</v>
      </c>
      <c r="F6004" s="1">
        <f>IFERROR(__xludf.DUMMYFUNCTION("""COMPUTED_VALUE"""),6.66811008E8)</f>
        <v>666811008</v>
      </c>
    </row>
    <row r="6005">
      <c r="A6005" s="2">
        <f>IFERROR(__xludf.DUMMYFUNCTION("""COMPUTED_VALUE"""),40074.666666666664)</f>
        <v>40074.66667</v>
      </c>
      <c r="B6005" s="1">
        <f>IFERROR(__xludf.DUMMYFUNCTION("""COMPUTED_VALUE"""),1066.6)</f>
        <v>1066.6</v>
      </c>
      <c r="C6005" s="1">
        <f>IFERROR(__xludf.DUMMYFUNCTION("""COMPUTED_VALUE"""),1071.52)</f>
        <v>1071.52</v>
      </c>
      <c r="D6005" s="1">
        <f>IFERROR(__xludf.DUMMYFUNCTION("""COMPUTED_VALUE"""),1064.27)</f>
        <v>1064.27</v>
      </c>
      <c r="E6005" s="1">
        <f>IFERROR(__xludf.DUMMYFUNCTION("""COMPUTED_VALUE"""),1068.3)</f>
        <v>1068.3</v>
      </c>
      <c r="F6005" s="1">
        <f>IFERROR(__xludf.DUMMYFUNCTION("""COMPUTED_VALUE"""),5.60796992E8)</f>
        <v>560796992</v>
      </c>
    </row>
    <row r="6006">
      <c r="A6006" s="2">
        <f>IFERROR(__xludf.DUMMYFUNCTION("""COMPUTED_VALUE"""),40077.666666666664)</f>
        <v>40077.66667</v>
      </c>
      <c r="B6006" s="1">
        <f>IFERROR(__xludf.DUMMYFUNCTION("""COMPUTED_VALUE"""),1067.14)</f>
        <v>1067.14</v>
      </c>
      <c r="C6006" s="1">
        <f>IFERROR(__xludf.DUMMYFUNCTION("""COMPUTED_VALUE"""),1067.28)</f>
        <v>1067.28</v>
      </c>
      <c r="D6006" s="1">
        <f>IFERROR(__xludf.DUMMYFUNCTION("""COMPUTED_VALUE"""),1057.46)</f>
        <v>1057.46</v>
      </c>
      <c r="E6006" s="1">
        <f>IFERROR(__xludf.DUMMYFUNCTION("""COMPUTED_VALUE"""),1064.66)</f>
        <v>1064.66</v>
      </c>
      <c r="F6006" s="1">
        <f>IFERROR(__xludf.DUMMYFUNCTION("""COMPUTED_VALUE"""),4.61528E8)</f>
        <v>461528000</v>
      </c>
    </row>
    <row r="6007">
      <c r="A6007" s="2">
        <f>IFERROR(__xludf.DUMMYFUNCTION("""COMPUTED_VALUE"""),40078.666666666664)</f>
        <v>40078.66667</v>
      </c>
      <c r="B6007" s="1">
        <f>IFERROR(__xludf.DUMMYFUNCTION("""COMPUTED_VALUE"""),1066.35)</f>
        <v>1066.35</v>
      </c>
      <c r="C6007" s="1">
        <f>IFERROR(__xludf.DUMMYFUNCTION("""COMPUTED_VALUE"""),1073.81)</f>
        <v>1073.81</v>
      </c>
      <c r="D6007" s="1">
        <f>IFERROR(__xludf.DUMMYFUNCTION("""COMPUTED_VALUE"""),1066.35)</f>
        <v>1066.35</v>
      </c>
      <c r="E6007" s="1">
        <f>IFERROR(__xludf.DUMMYFUNCTION("""COMPUTED_VALUE"""),1071.66)</f>
        <v>1071.66</v>
      </c>
      <c r="F6007" s="1">
        <f>IFERROR(__xludf.DUMMYFUNCTION("""COMPUTED_VALUE"""),5.2466E8)</f>
        <v>524660000</v>
      </c>
    </row>
    <row r="6008">
      <c r="A6008" s="2">
        <f>IFERROR(__xludf.DUMMYFUNCTION("""COMPUTED_VALUE"""),40079.666666666664)</f>
        <v>40079.66667</v>
      </c>
      <c r="B6008" s="1">
        <f>IFERROR(__xludf.DUMMYFUNCTION("""COMPUTED_VALUE"""),1072.68)</f>
        <v>1072.68</v>
      </c>
      <c r="C6008" s="1">
        <f>IFERROR(__xludf.DUMMYFUNCTION("""COMPUTED_VALUE"""),1080.15)</f>
        <v>1080.15</v>
      </c>
      <c r="D6008" s="1">
        <f>IFERROR(__xludf.DUMMYFUNCTION("""COMPUTED_VALUE"""),1060.39)</f>
        <v>1060.39</v>
      </c>
      <c r="E6008" s="1">
        <f>IFERROR(__xludf.DUMMYFUNCTION("""COMPUTED_VALUE"""),1060.87)</f>
        <v>1060.87</v>
      </c>
      <c r="F6008" s="1">
        <f>IFERROR(__xludf.DUMMYFUNCTION("""COMPUTED_VALUE"""),5.53193024E8)</f>
        <v>553193024</v>
      </c>
    </row>
    <row r="6009">
      <c r="A6009" s="2">
        <f>IFERROR(__xludf.DUMMYFUNCTION("""COMPUTED_VALUE"""),40080.666666666664)</f>
        <v>40080.66667</v>
      </c>
      <c r="B6009" s="1">
        <f>IFERROR(__xludf.DUMMYFUNCTION("""COMPUTED_VALUE"""),1062.56)</f>
        <v>1062.56</v>
      </c>
      <c r="C6009" s="1">
        <f>IFERROR(__xludf.DUMMYFUNCTION("""COMPUTED_VALUE"""),1066.29)</f>
        <v>1066.29</v>
      </c>
      <c r="D6009" s="1">
        <f>IFERROR(__xludf.DUMMYFUNCTION("""COMPUTED_VALUE"""),1045.85)</f>
        <v>1045.85</v>
      </c>
      <c r="E6009" s="1">
        <f>IFERROR(__xludf.DUMMYFUNCTION("""COMPUTED_VALUE"""),1050.78)</f>
        <v>1050.78</v>
      </c>
      <c r="F6009" s="1">
        <f>IFERROR(__xludf.DUMMYFUNCTION("""COMPUTED_VALUE"""),5.50561024E8)</f>
        <v>550561024</v>
      </c>
    </row>
    <row r="6010">
      <c r="A6010" s="2">
        <f>IFERROR(__xludf.DUMMYFUNCTION("""COMPUTED_VALUE"""),40081.666666666664)</f>
        <v>40081.66667</v>
      </c>
      <c r="B6010" s="1">
        <f>IFERROR(__xludf.DUMMYFUNCTION("""COMPUTED_VALUE"""),1049.48)</f>
        <v>1049.48</v>
      </c>
      <c r="C6010" s="1">
        <f>IFERROR(__xludf.DUMMYFUNCTION("""COMPUTED_VALUE"""),1053.47)</f>
        <v>1053.47</v>
      </c>
      <c r="D6010" s="1">
        <f>IFERROR(__xludf.DUMMYFUNCTION("""COMPUTED_VALUE"""),1041.17)</f>
        <v>1041.17</v>
      </c>
      <c r="E6010" s="1">
        <f>IFERROR(__xludf.DUMMYFUNCTION("""COMPUTED_VALUE"""),1044.38)</f>
        <v>1044.38</v>
      </c>
      <c r="F6010" s="1">
        <f>IFERROR(__xludf.DUMMYFUNCTION("""COMPUTED_VALUE"""),4.50708992E8)</f>
        <v>450708992</v>
      </c>
    </row>
    <row r="6011">
      <c r="A6011" s="2">
        <f>IFERROR(__xludf.DUMMYFUNCTION("""COMPUTED_VALUE"""),40084.666666666664)</f>
        <v>40084.66667</v>
      </c>
      <c r="B6011" s="1">
        <f>IFERROR(__xludf.DUMMYFUNCTION("""COMPUTED_VALUE"""),1045.38)</f>
        <v>1045.38</v>
      </c>
      <c r="C6011" s="1">
        <f>IFERROR(__xludf.DUMMYFUNCTION("""COMPUTED_VALUE"""),1065.13)</f>
        <v>1065.13</v>
      </c>
      <c r="D6011" s="1">
        <f>IFERROR(__xludf.DUMMYFUNCTION("""COMPUTED_VALUE"""),1045.38)</f>
        <v>1045.38</v>
      </c>
      <c r="E6011" s="1">
        <f>IFERROR(__xludf.DUMMYFUNCTION("""COMPUTED_VALUE"""),1062.98)</f>
        <v>1062.98</v>
      </c>
      <c r="F6011" s="1">
        <f>IFERROR(__xludf.DUMMYFUNCTION("""COMPUTED_VALUE"""),3.72695008E8)</f>
        <v>372695008</v>
      </c>
    </row>
    <row r="6012">
      <c r="A6012" s="2">
        <f>IFERROR(__xludf.DUMMYFUNCTION("""COMPUTED_VALUE"""),40085.666666666664)</f>
        <v>40085.66667</v>
      </c>
      <c r="B6012" s="1">
        <f>IFERROR(__xludf.DUMMYFUNCTION("""COMPUTED_VALUE"""),1063.68)</f>
        <v>1063.68</v>
      </c>
      <c r="C6012" s="1">
        <f>IFERROR(__xludf.DUMMYFUNCTION("""COMPUTED_VALUE"""),1069.62)</f>
        <v>1069.62</v>
      </c>
      <c r="D6012" s="1">
        <f>IFERROR(__xludf.DUMMYFUNCTION("""COMPUTED_VALUE"""),1057.82)</f>
        <v>1057.82</v>
      </c>
      <c r="E6012" s="1">
        <f>IFERROR(__xludf.DUMMYFUNCTION("""COMPUTED_VALUE"""),1060.61)</f>
        <v>1060.61</v>
      </c>
      <c r="F6012" s="1">
        <f>IFERROR(__xludf.DUMMYFUNCTION("""COMPUTED_VALUE"""),4.94990016E8)</f>
        <v>494990016</v>
      </c>
    </row>
    <row r="6013">
      <c r="A6013" s="2">
        <f>IFERROR(__xludf.DUMMYFUNCTION("""COMPUTED_VALUE"""),40086.666666666664)</f>
        <v>40086.66667</v>
      </c>
      <c r="B6013" s="1">
        <f>IFERROR(__xludf.DUMMYFUNCTION("""COMPUTED_VALUE"""),1061.02)</f>
        <v>1061.02</v>
      </c>
      <c r="C6013" s="1">
        <f>IFERROR(__xludf.DUMMYFUNCTION("""COMPUTED_VALUE"""),1063.4)</f>
        <v>1063.4</v>
      </c>
      <c r="D6013" s="1">
        <f>IFERROR(__xludf.DUMMYFUNCTION("""COMPUTED_VALUE"""),1046.47)</f>
        <v>1046.47</v>
      </c>
      <c r="E6013" s="1">
        <f>IFERROR(__xludf.DUMMYFUNCTION("""COMPUTED_VALUE"""),1057.07)</f>
        <v>1057.07</v>
      </c>
      <c r="F6013" s="1">
        <f>IFERROR(__xludf.DUMMYFUNCTION("""COMPUTED_VALUE"""),5.99886016E8)</f>
        <v>599886016</v>
      </c>
    </row>
    <row r="6014">
      <c r="A6014" s="2">
        <f>IFERROR(__xludf.DUMMYFUNCTION("""COMPUTED_VALUE"""),40087.666666666664)</f>
        <v>40087.66667</v>
      </c>
      <c r="B6014" s="1">
        <f>IFERROR(__xludf.DUMMYFUNCTION("""COMPUTED_VALUE"""),1054.91)</f>
        <v>1054.91</v>
      </c>
      <c r="C6014" s="1">
        <f>IFERROR(__xludf.DUMMYFUNCTION("""COMPUTED_VALUE"""),1054.91)</f>
        <v>1054.91</v>
      </c>
      <c r="D6014" s="1">
        <f>IFERROR(__xludf.DUMMYFUNCTION("""COMPUTED_VALUE"""),1029.44)</f>
        <v>1029.44</v>
      </c>
      <c r="E6014" s="1">
        <f>IFERROR(__xludf.DUMMYFUNCTION("""COMPUTED_VALUE"""),1029.85)</f>
        <v>1029.85</v>
      </c>
      <c r="F6014" s="1">
        <f>IFERROR(__xludf.DUMMYFUNCTION("""COMPUTED_VALUE"""),5.79145024E8)</f>
        <v>579145024</v>
      </c>
    </row>
    <row r="6015">
      <c r="A6015" s="2">
        <f>IFERROR(__xludf.DUMMYFUNCTION("""COMPUTED_VALUE"""),40088.666666666664)</f>
        <v>40088.66667</v>
      </c>
      <c r="B6015" s="1">
        <f>IFERROR(__xludf.DUMMYFUNCTION("""COMPUTED_VALUE"""),1029.71)</f>
        <v>1029.71</v>
      </c>
      <c r="C6015" s="1">
        <f>IFERROR(__xludf.DUMMYFUNCTION("""COMPUTED_VALUE"""),1030.6)</f>
        <v>1030.6</v>
      </c>
      <c r="D6015" s="1">
        <f>IFERROR(__xludf.DUMMYFUNCTION("""COMPUTED_VALUE"""),1019.95)</f>
        <v>1019.95</v>
      </c>
      <c r="E6015" s="1">
        <f>IFERROR(__xludf.DUMMYFUNCTION("""COMPUTED_VALUE"""),1025.21)</f>
        <v>1025.21</v>
      </c>
      <c r="F6015" s="1">
        <f>IFERROR(__xludf.DUMMYFUNCTION("""COMPUTED_VALUE"""),5.58323968E8)</f>
        <v>558323968</v>
      </c>
    </row>
    <row r="6016">
      <c r="A6016" s="2">
        <f>IFERROR(__xludf.DUMMYFUNCTION("""COMPUTED_VALUE"""),40091.666666666664)</f>
        <v>40091.66667</v>
      </c>
      <c r="B6016" s="1">
        <f>IFERROR(__xludf.DUMMYFUNCTION("""COMPUTED_VALUE"""),1026.87)</f>
        <v>1026.87</v>
      </c>
      <c r="C6016" s="1">
        <f>IFERROR(__xludf.DUMMYFUNCTION("""COMPUTED_VALUE"""),1042.57)</f>
        <v>1042.57</v>
      </c>
      <c r="D6016" s="1">
        <f>IFERROR(__xludf.DUMMYFUNCTION("""COMPUTED_VALUE"""),1025.92)</f>
        <v>1025.92</v>
      </c>
      <c r="E6016" s="1">
        <f>IFERROR(__xludf.DUMMYFUNCTION("""COMPUTED_VALUE"""),1040.46)</f>
        <v>1040.46</v>
      </c>
      <c r="F6016" s="1">
        <f>IFERROR(__xludf.DUMMYFUNCTION("""COMPUTED_VALUE"""),4.31331008E8)</f>
        <v>431331008</v>
      </c>
    </row>
    <row r="6017">
      <c r="A6017" s="2">
        <f>IFERROR(__xludf.DUMMYFUNCTION("""COMPUTED_VALUE"""),40092.666666666664)</f>
        <v>40092.66667</v>
      </c>
      <c r="B6017" s="1">
        <f>IFERROR(__xludf.DUMMYFUNCTION("""COMPUTED_VALUE"""),1042.02)</f>
        <v>1042.02</v>
      </c>
      <c r="C6017" s="1">
        <f>IFERROR(__xludf.DUMMYFUNCTION("""COMPUTED_VALUE"""),1060.55)</f>
        <v>1060.55</v>
      </c>
      <c r="D6017" s="1">
        <f>IFERROR(__xludf.DUMMYFUNCTION("""COMPUTED_VALUE"""),1042.02)</f>
        <v>1042.02</v>
      </c>
      <c r="E6017" s="1">
        <f>IFERROR(__xludf.DUMMYFUNCTION("""COMPUTED_VALUE"""),1054.72)</f>
        <v>1054.72</v>
      </c>
      <c r="F6017" s="1">
        <f>IFERROR(__xludf.DUMMYFUNCTION("""COMPUTED_VALUE"""),5.02984E8)</f>
        <v>502984000</v>
      </c>
    </row>
    <row r="6018">
      <c r="A6018" s="2">
        <f>IFERROR(__xludf.DUMMYFUNCTION("""COMPUTED_VALUE"""),40093.666666666664)</f>
        <v>40093.66667</v>
      </c>
      <c r="B6018" s="1">
        <f>IFERROR(__xludf.DUMMYFUNCTION("""COMPUTED_VALUE"""),1053.65)</f>
        <v>1053.65</v>
      </c>
      <c r="C6018" s="1">
        <f>IFERROR(__xludf.DUMMYFUNCTION("""COMPUTED_VALUE"""),1058.02)</f>
        <v>1058.02</v>
      </c>
      <c r="D6018" s="1">
        <f>IFERROR(__xludf.DUMMYFUNCTION("""COMPUTED_VALUE"""),1050.1)</f>
        <v>1050.1</v>
      </c>
      <c r="E6018" s="1">
        <f>IFERROR(__xludf.DUMMYFUNCTION("""COMPUTED_VALUE"""),1057.57)</f>
        <v>1057.57</v>
      </c>
      <c r="F6018" s="1">
        <f>IFERROR(__xludf.DUMMYFUNCTION("""COMPUTED_VALUE"""),4.23822016E8)</f>
        <v>423822016</v>
      </c>
    </row>
    <row r="6019">
      <c r="A6019" s="2">
        <f>IFERROR(__xludf.DUMMYFUNCTION("""COMPUTED_VALUE"""),40094.666666666664)</f>
        <v>40094.66667</v>
      </c>
      <c r="B6019" s="1">
        <f>IFERROR(__xludf.DUMMYFUNCTION("""COMPUTED_VALUE"""),1060.03)</f>
        <v>1060.03</v>
      </c>
      <c r="C6019" s="1">
        <f>IFERROR(__xludf.DUMMYFUNCTION("""COMPUTED_VALUE"""),1070.67)</f>
        <v>1070.67</v>
      </c>
      <c r="D6019" s="1">
        <f>IFERROR(__xludf.DUMMYFUNCTION("""COMPUTED_VALUE"""),1060.03)</f>
        <v>1060.03</v>
      </c>
      <c r="E6019" s="1">
        <f>IFERROR(__xludf.DUMMYFUNCTION("""COMPUTED_VALUE"""),1065.48)</f>
        <v>1065.48</v>
      </c>
      <c r="F6019" s="1">
        <f>IFERROR(__xludf.DUMMYFUNCTION("""COMPUTED_VALUE"""),4.9884E8)</f>
        <v>498840000</v>
      </c>
    </row>
    <row r="6020">
      <c r="A6020" s="2">
        <f>IFERROR(__xludf.DUMMYFUNCTION("""COMPUTED_VALUE"""),40095.666666666664)</f>
        <v>40095.66667</v>
      </c>
      <c r="B6020" s="1">
        <f>IFERROR(__xludf.DUMMYFUNCTION("""COMPUTED_VALUE"""),1065.28)</f>
        <v>1065.28</v>
      </c>
      <c r="C6020" s="1">
        <f>IFERROR(__xludf.DUMMYFUNCTION("""COMPUTED_VALUE"""),1071.51)</f>
        <v>1071.51</v>
      </c>
      <c r="D6020" s="1">
        <f>IFERROR(__xludf.DUMMYFUNCTION("""COMPUTED_VALUE"""),1063.0)</f>
        <v>1063</v>
      </c>
      <c r="E6020" s="1">
        <f>IFERROR(__xludf.DUMMYFUNCTION("""COMPUTED_VALUE"""),1071.49)</f>
        <v>1071.49</v>
      </c>
      <c r="F6020" s="1">
        <f>IFERROR(__xludf.DUMMYFUNCTION("""COMPUTED_VALUE"""),3.76377984E8)</f>
        <v>376377984</v>
      </c>
    </row>
    <row r="6021">
      <c r="A6021" s="2">
        <f>IFERROR(__xludf.DUMMYFUNCTION("""COMPUTED_VALUE"""),40098.666666666664)</f>
        <v>40098.66667</v>
      </c>
      <c r="B6021" s="1">
        <f>IFERROR(__xludf.DUMMYFUNCTION("""COMPUTED_VALUE"""),1071.63)</f>
        <v>1071.63</v>
      </c>
      <c r="C6021" s="1">
        <f>IFERROR(__xludf.DUMMYFUNCTION("""COMPUTED_VALUE"""),1079.46)</f>
        <v>1079.46</v>
      </c>
      <c r="D6021" s="1">
        <f>IFERROR(__xludf.DUMMYFUNCTION("""COMPUTED_VALUE"""),1071.63)</f>
        <v>1071.63</v>
      </c>
      <c r="E6021" s="1">
        <f>IFERROR(__xludf.DUMMYFUNCTION("""COMPUTED_VALUE"""),1076.18)</f>
        <v>1076.18</v>
      </c>
      <c r="F6021" s="1">
        <f>IFERROR(__xludf.DUMMYFUNCTION("""COMPUTED_VALUE"""),3.71043008E8)</f>
        <v>371043008</v>
      </c>
    </row>
    <row r="6022">
      <c r="A6022" s="2">
        <f>IFERROR(__xludf.DUMMYFUNCTION("""COMPUTED_VALUE"""),40099.666666666664)</f>
        <v>40099.66667</v>
      </c>
      <c r="B6022" s="1">
        <f>IFERROR(__xludf.DUMMYFUNCTION("""COMPUTED_VALUE"""),1074.96)</f>
        <v>1074.96</v>
      </c>
      <c r="C6022" s="1">
        <f>IFERROR(__xludf.DUMMYFUNCTION("""COMPUTED_VALUE"""),1075.3)</f>
        <v>1075.3</v>
      </c>
      <c r="D6022" s="1">
        <f>IFERROR(__xludf.DUMMYFUNCTION("""COMPUTED_VALUE"""),1066.71)</f>
        <v>1066.71</v>
      </c>
      <c r="E6022" s="1">
        <f>IFERROR(__xludf.DUMMYFUNCTION("""COMPUTED_VALUE"""),1073.18)</f>
        <v>1073.18</v>
      </c>
      <c r="F6022" s="1">
        <f>IFERROR(__xludf.DUMMYFUNCTION("""COMPUTED_VALUE"""),4.32048E8)</f>
        <v>432048000</v>
      </c>
    </row>
    <row r="6023">
      <c r="A6023" s="2">
        <f>IFERROR(__xludf.DUMMYFUNCTION("""COMPUTED_VALUE"""),40100.666666666664)</f>
        <v>40100.66667</v>
      </c>
      <c r="B6023" s="1">
        <f>IFERROR(__xludf.DUMMYFUNCTION("""COMPUTED_VALUE"""),1078.68)</f>
        <v>1078.68</v>
      </c>
      <c r="C6023" s="1">
        <f>IFERROR(__xludf.DUMMYFUNCTION("""COMPUTED_VALUE"""),1093.17)</f>
        <v>1093.17</v>
      </c>
      <c r="D6023" s="1">
        <f>IFERROR(__xludf.DUMMYFUNCTION("""COMPUTED_VALUE"""),1078.68)</f>
        <v>1078.68</v>
      </c>
      <c r="E6023" s="1">
        <f>IFERROR(__xludf.DUMMYFUNCTION("""COMPUTED_VALUE"""),1092.02)</f>
        <v>1092.02</v>
      </c>
      <c r="F6023" s="1">
        <f>IFERROR(__xludf.DUMMYFUNCTION("""COMPUTED_VALUE"""),5.40641984E8)</f>
        <v>540641984</v>
      </c>
    </row>
    <row r="6024">
      <c r="A6024" s="2">
        <f>IFERROR(__xludf.DUMMYFUNCTION("""COMPUTED_VALUE"""),40101.666666666664)</f>
        <v>40101.66667</v>
      </c>
      <c r="B6024" s="1">
        <f>IFERROR(__xludf.DUMMYFUNCTION("""COMPUTED_VALUE"""),1090.36)</f>
        <v>1090.36</v>
      </c>
      <c r="C6024" s="1">
        <f>IFERROR(__xludf.DUMMYFUNCTION("""COMPUTED_VALUE"""),1096.56)</f>
        <v>1096.56</v>
      </c>
      <c r="D6024" s="1">
        <f>IFERROR(__xludf.DUMMYFUNCTION("""COMPUTED_VALUE"""),1086.41)</f>
        <v>1086.41</v>
      </c>
      <c r="E6024" s="1">
        <f>IFERROR(__xludf.DUMMYFUNCTION("""COMPUTED_VALUE"""),1096.56)</f>
        <v>1096.56</v>
      </c>
      <c r="F6024" s="1">
        <f>IFERROR(__xludf.DUMMYFUNCTION("""COMPUTED_VALUE"""),5.36977984E8)</f>
        <v>536977984</v>
      </c>
    </row>
    <row r="6025">
      <c r="A6025" s="2">
        <f>IFERROR(__xludf.DUMMYFUNCTION("""COMPUTED_VALUE"""),40102.666666666664)</f>
        <v>40102.66667</v>
      </c>
      <c r="B6025" s="1">
        <f>IFERROR(__xludf.DUMMYFUNCTION("""COMPUTED_VALUE"""),1094.67)</f>
        <v>1094.67</v>
      </c>
      <c r="C6025" s="1">
        <f>IFERROR(__xludf.DUMMYFUNCTION("""COMPUTED_VALUE"""),1094.67)</f>
        <v>1094.67</v>
      </c>
      <c r="D6025" s="1">
        <f>IFERROR(__xludf.DUMMYFUNCTION("""COMPUTED_VALUE"""),1081.53)</f>
        <v>1081.53</v>
      </c>
      <c r="E6025" s="1">
        <f>IFERROR(__xludf.DUMMYFUNCTION("""COMPUTED_VALUE"""),1087.68)</f>
        <v>1087.68</v>
      </c>
      <c r="F6025" s="1">
        <f>IFERROR(__xludf.DUMMYFUNCTION("""COMPUTED_VALUE"""),4.89473984E8)</f>
        <v>489473984</v>
      </c>
    </row>
    <row r="6026">
      <c r="A6026" s="2">
        <f>IFERROR(__xludf.DUMMYFUNCTION("""COMPUTED_VALUE"""),40105.666666666664)</f>
        <v>40105.66667</v>
      </c>
      <c r="B6026" s="1">
        <f>IFERROR(__xludf.DUMMYFUNCTION("""COMPUTED_VALUE"""),1088.22)</f>
        <v>1088.22</v>
      </c>
      <c r="C6026" s="1">
        <f>IFERROR(__xludf.DUMMYFUNCTION("""COMPUTED_VALUE"""),1100.17)</f>
        <v>1100.17</v>
      </c>
      <c r="D6026" s="1">
        <f>IFERROR(__xludf.DUMMYFUNCTION("""COMPUTED_VALUE"""),1086.48)</f>
        <v>1086.48</v>
      </c>
      <c r="E6026" s="1">
        <f>IFERROR(__xludf.DUMMYFUNCTION("""COMPUTED_VALUE"""),1097.91)</f>
        <v>1097.91</v>
      </c>
      <c r="F6026" s="1">
        <f>IFERROR(__xludf.DUMMYFUNCTION("""COMPUTED_VALUE"""),4.61924E8)</f>
        <v>461924000</v>
      </c>
    </row>
    <row r="6027">
      <c r="A6027" s="2">
        <f>IFERROR(__xludf.DUMMYFUNCTION("""COMPUTED_VALUE"""),40106.666666666664)</f>
        <v>40106.66667</v>
      </c>
      <c r="B6027" s="1">
        <f>IFERROR(__xludf.DUMMYFUNCTION("""COMPUTED_VALUE"""),1098.64)</f>
        <v>1098.64</v>
      </c>
      <c r="C6027" s="1">
        <f>IFERROR(__xludf.DUMMYFUNCTION("""COMPUTED_VALUE"""),1098.64)</f>
        <v>1098.64</v>
      </c>
      <c r="D6027" s="1">
        <f>IFERROR(__xludf.DUMMYFUNCTION("""COMPUTED_VALUE"""),1086.16)</f>
        <v>1086.16</v>
      </c>
      <c r="E6027" s="1">
        <f>IFERROR(__xludf.DUMMYFUNCTION("""COMPUTED_VALUE"""),1091.06)</f>
        <v>1091.06</v>
      </c>
      <c r="F6027" s="1">
        <f>IFERROR(__xludf.DUMMYFUNCTION("""COMPUTED_VALUE"""),5.39692992E8)</f>
        <v>539692992</v>
      </c>
    </row>
    <row r="6028">
      <c r="A6028" s="2">
        <f>IFERROR(__xludf.DUMMYFUNCTION("""COMPUTED_VALUE"""),40107.666666666664)</f>
        <v>40107.66667</v>
      </c>
      <c r="B6028" s="1">
        <f>IFERROR(__xludf.DUMMYFUNCTION("""COMPUTED_VALUE"""),1090.36)</f>
        <v>1090.36</v>
      </c>
      <c r="C6028" s="1">
        <f>IFERROR(__xludf.DUMMYFUNCTION("""COMPUTED_VALUE"""),1101.36)</f>
        <v>1101.36</v>
      </c>
      <c r="D6028" s="1">
        <f>IFERROR(__xludf.DUMMYFUNCTION("""COMPUTED_VALUE"""),1080.77)</f>
        <v>1080.77</v>
      </c>
      <c r="E6028" s="1">
        <f>IFERROR(__xludf.DUMMYFUNCTION("""COMPUTED_VALUE"""),1081.4)</f>
        <v>1081.4</v>
      </c>
      <c r="F6028" s="1">
        <f>IFERROR(__xludf.DUMMYFUNCTION("""COMPUTED_VALUE"""),5.61628992E8)</f>
        <v>561628992</v>
      </c>
    </row>
    <row r="6029">
      <c r="A6029" s="2">
        <f>IFERROR(__xludf.DUMMYFUNCTION("""COMPUTED_VALUE"""),40108.666666666664)</f>
        <v>40108.66667</v>
      </c>
      <c r="B6029" s="1">
        <f>IFERROR(__xludf.DUMMYFUNCTION("""COMPUTED_VALUE"""),1080.96)</f>
        <v>1080.96</v>
      </c>
      <c r="C6029" s="1">
        <f>IFERROR(__xludf.DUMMYFUNCTION("""COMPUTED_VALUE"""),1095.21)</f>
        <v>1095.21</v>
      </c>
      <c r="D6029" s="1">
        <f>IFERROR(__xludf.DUMMYFUNCTION("""COMPUTED_VALUE"""),1074.31)</f>
        <v>1074.31</v>
      </c>
      <c r="E6029" s="1">
        <f>IFERROR(__xludf.DUMMYFUNCTION("""COMPUTED_VALUE"""),1092.91)</f>
        <v>1092.91</v>
      </c>
      <c r="F6029" s="1">
        <f>IFERROR(__xludf.DUMMYFUNCTION("""COMPUTED_VALUE"""),5.19240992E8)</f>
        <v>519240992</v>
      </c>
    </row>
    <row r="6030">
      <c r="A6030" s="2">
        <f>IFERROR(__xludf.DUMMYFUNCTION("""COMPUTED_VALUE"""),40109.666666666664)</f>
        <v>40109.66667</v>
      </c>
      <c r="B6030" s="1">
        <f>IFERROR(__xludf.DUMMYFUNCTION("""COMPUTED_VALUE"""),1095.62)</f>
        <v>1095.62</v>
      </c>
      <c r="C6030" s="1">
        <f>IFERROR(__xludf.DUMMYFUNCTION("""COMPUTED_VALUE"""),1095.82)</f>
        <v>1095.82</v>
      </c>
      <c r="D6030" s="1">
        <f>IFERROR(__xludf.DUMMYFUNCTION("""COMPUTED_VALUE"""),1075.49)</f>
        <v>1075.49</v>
      </c>
      <c r="E6030" s="1">
        <f>IFERROR(__xludf.DUMMYFUNCTION("""COMPUTED_VALUE"""),1079.6)</f>
        <v>1079.6</v>
      </c>
      <c r="F6030" s="1">
        <f>IFERROR(__xludf.DUMMYFUNCTION("""COMPUTED_VALUE"""),4.76745984E8)</f>
        <v>476745984</v>
      </c>
    </row>
    <row r="6031">
      <c r="A6031" s="2">
        <f>IFERROR(__xludf.DUMMYFUNCTION("""COMPUTED_VALUE"""),40112.666666666664)</f>
        <v>40112.66667</v>
      </c>
      <c r="B6031" s="1">
        <f>IFERROR(__xludf.DUMMYFUNCTION("""COMPUTED_VALUE"""),1080.36)</f>
        <v>1080.36</v>
      </c>
      <c r="C6031" s="1">
        <f>IFERROR(__xludf.DUMMYFUNCTION("""COMPUTED_VALUE"""),1091.75)</f>
        <v>1091.75</v>
      </c>
      <c r="D6031" s="1">
        <f>IFERROR(__xludf.DUMMYFUNCTION("""COMPUTED_VALUE"""),1065.23)</f>
        <v>1065.23</v>
      </c>
      <c r="E6031" s="1">
        <f>IFERROR(__xludf.DUMMYFUNCTION("""COMPUTED_VALUE"""),1066.94)</f>
        <v>1066.94</v>
      </c>
      <c r="F6031" s="1">
        <f>IFERROR(__xludf.DUMMYFUNCTION("""COMPUTED_VALUE"""),6.36337984E8)</f>
        <v>636337984</v>
      </c>
    </row>
    <row r="6032">
      <c r="A6032" s="2">
        <f>IFERROR(__xludf.DUMMYFUNCTION("""COMPUTED_VALUE"""),40113.666666666664)</f>
        <v>40113.66667</v>
      </c>
      <c r="B6032" s="1">
        <f>IFERROR(__xludf.DUMMYFUNCTION("""COMPUTED_VALUE"""),1067.54)</f>
        <v>1067.54</v>
      </c>
      <c r="C6032" s="1">
        <f>IFERROR(__xludf.DUMMYFUNCTION("""COMPUTED_VALUE"""),1072.48)</f>
        <v>1072.48</v>
      </c>
      <c r="D6032" s="1">
        <f>IFERROR(__xludf.DUMMYFUNCTION("""COMPUTED_VALUE"""),1060.62)</f>
        <v>1060.62</v>
      </c>
      <c r="E6032" s="1">
        <f>IFERROR(__xludf.DUMMYFUNCTION("""COMPUTED_VALUE"""),1063.41)</f>
        <v>1063.41</v>
      </c>
      <c r="F6032" s="1">
        <f>IFERROR(__xludf.DUMMYFUNCTION("""COMPUTED_VALUE"""),5.33737984E8)</f>
        <v>533737984</v>
      </c>
    </row>
    <row r="6033">
      <c r="A6033" s="2">
        <f>IFERROR(__xludf.DUMMYFUNCTION("""COMPUTED_VALUE"""),40114.666666666664)</f>
        <v>40114.66667</v>
      </c>
      <c r="B6033" s="1">
        <f>IFERROR(__xludf.DUMMYFUNCTION("""COMPUTED_VALUE"""),1061.51)</f>
        <v>1061.51</v>
      </c>
      <c r="C6033" s="1">
        <f>IFERROR(__xludf.DUMMYFUNCTION("""COMPUTED_VALUE"""),1063.26)</f>
        <v>1063.26</v>
      </c>
      <c r="D6033" s="1">
        <f>IFERROR(__xludf.DUMMYFUNCTION("""COMPUTED_VALUE"""),1042.18)</f>
        <v>1042.18</v>
      </c>
      <c r="E6033" s="1">
        <f>IFERROR(__xludf.DUMMYFUNCTION("""COMPUTED_VALUE"""),1042.63)</f>
        <v>1042.63</v>
      </c>
      <c r="F6033" s="1">
        <f>IFERROR(__xludf.DUMMYFUNCTION("""COMPUTED_VALUE"""),6.60035008E8)</f>
        <v>660035008</v>
      </c>
    </row>
    <row r="6034">
      <c r="A6034" s="2">
        <f>IFERROR(__xludf.DUMMYFUNCTION("""COMPUTED_VALUE"""),40115.666666666664)</f>
        <v>40115.66667</v>
      </c>
      <c r="B6034" s="1">
        <f>IFERROR(__xludf.DUMMYFUNCTION("""COMPUTED_VALUE"""),1043.68)</f>
        <v>1043.68</v>
      </c>
      <c r="C6034" s="1">
        <f>IFERROR(__xludf.DUMMYFUNCTION("""COMPUTED_VALUE"""),1066.82)</f>
        <v>1066.82</v>
      </c>
      <c r="D6034" s="1">
        <f>IFERROR(__xludf.DUMMYFUNCTION("""COMPUTED_VALUE"""),1043.68)</f>
        <v>1043.68</v>
      </c>
      <c r="E6034" s="1">
        <f>IFERROR(__xludf.DUMMYFUNCTION("""COMPUTED_VALUE"""),1066.11)</f>
        <v>1066.11</v>
      </c>
      <c r="F6034" s="1">
        <f>IFERROR(__xludf.DUMMYFUNCTION("""COMPUTED_VALUE"""),5.59504E8)</f>
        <v>559504000</v>
      </c>
    </row>
    <row r="6035">
      <c r="A6035" s="2">
        <f>IFERROR(__xludf.DUMMYFUNCTION("""COMPUTED_VALUE"""),40116.666666666664)</f>
        <v>40116.66667</v>
      </c>
      <c r="B6035" s="1">
        <f>IFERROR(__xludf.DUMMYFUNCTION("""COMPUTED_VALUE"""),1065.41)</f>
        <v>1065.41</v>
      </c>
      <c r="C6035" s="1">
        <f>IFERROR(__xludf.DUMMYFUNCTION("""COMPUTED_VALUE"""),1065.41)</f>
        <v>1065.41</v>
      </c>
      <c r="D6035" s="1">
        <f>IFERROR(__xludf.DUMMYFUNCTION("""COMPUTED_VALUE"""),1033.38)</f>
        <v>1033.38</v>
      </c>
      <c r="E6035" s="1">
        <f>IFERROR(__xludf.DUMMYFUNCTION("""COMPUTED_VALUE"""),1036.18)</f>
        <v>1036.18</v>
      </c>
      <c r="F6035" s="1">
        <f>IFERROR(__xludf.DUMMYFUNCTION("""COMPUTED_VALUE"""),6.51241984E8)</f>
        <v>651241984</v>
      </c>
    </row>
    <row r="6036">
      <c r="A6036" s="2">
        <f>IFERROR(__xludf.DUMMYFUNCTION("""COMPUTED_VALUE"""),40119.666666666664)</f>
        <v>40119.66667</v>
      </c>
      <c r="B6036" s="1">
        <f>IFERROR(__xludf.DUMMYFUNCTION("""COMPUTED_VALUE"""),1036.18)</f>
        <v>1036.18</v>
      </c>
      <c r="C6036" s="1">
        <f>IFERROR(__xludf.DUMMYFUNCTION("""COMPUTED_VALUE"""),1052.18)</f>
        <v>1052.18</v>
      </c>
      <c r="D6036" s="1">
        <f>IFERROR(__xludf.DUMMYFUNCTION("""COMPUTED_VALUE"""),1029.38)</f>
        <v>1029.38</v>
      </c>
      <c r="E6036" s="1">
        <f>IFERROR(__xludf.DUMMYFUNCTION("""COMPUTED_VALUE"""),1042.88)</f>
        <v>1042.88</v>
      </c>
      <c r="F6036" s="1">
        <f>IFERROR(__xludf.DUMMYFUNCTION("""COMPUTED_VALUE"""),6.20264E8)</f>
        <v>620264000</v>
      </c>
    </row>
    <row r="6037">
      <c r="A6037" s="2">
        <f>IFERROR(__xludf.DUMMYFUNCTION("""COMPUTED_VALUE"""),40120.666666666664)</f>
        <v>40120.66667</v>
      </c>
      <c r="B6037" s="1">
        <f>IFERROR(__xludf.DUMMYFUNCTION("""COMPUTED_VALUE"""),1040.92)</f>
        <v>1040.92</v>
      </c>
      <c r="C6037" s="1">
        <f>IFERROR(__xludf.DUMMYFUNCTION("""COMPUTED_VALUE"""),1046.36)</f>
        <v>1046.36</v>
      </c>
      <c r="D6037" s="1">
        <f>IFERROR(__xludf.DUMMYFUNCTION("""COMPUTED_VALUE"""),1033.93)</f>
        <v>1033.93</v>
      </c>
      <c r="E6037" s="1">
        <f>IFERROR(__xludf.DUMMYFUNCTION("""COMPUTED_VALUE"""),1045.41)</f>
        <v>1045.41</v>
      </c>
      <c r="F6037" s="1">
        <f>IFERROR(__xludf.DUMMYFUNCTION("""COMPUTED_VALUE"""),5.48750016E8)</f>
        <v>548750016</v>
      </c>
    </row>
    <row r="6038">
      <c r="A6038" s="2">
        <f>IFERROR(__xludf.DUMMYFUNCTION("""COMPUTED_VALUE"""),40121.666666666664)</f>
        <v>40121.66667</v>
      </c>
      <c r="B6038" s="1">
        <f>IFERROR(__xludf.DUMMYFUNCTION("""COMPUTED_VALUE"""),1047.14)</f>
        <v>1047.14</v>
      </c>
      <c r="C6038" s="1">
        <f>IFERROR(__xludf.DUMMYFUNCTION("""COMPUTED_VALUE"""),1061.0)</f>
        <v>1061</v>
      </c>
      <c r="D6038" s="1">
        <f>IFERROR(__xludf.DUMMYFUNCTION("""COMPUTED_VALUE"""),1045.15)</f>
        <v>1045.15</v>
      </c>
      <c r="E6038" s="1">
        <f>IFERROR(__xludf.DUMMYFUNCTION("""COMPUTED_VALUE"""),1046.5)</f>
        <v>1046.5</v>
      </c>
      <c r="F6038" s="1">
        <f>IFERROR(__xludf.DUMMYFUNCTION("""COMPUTED_VALUE"""),5.63550976E8)</f>
        <v>563550976</v>
      </c>
    </row>
    <row r="6039">
      <c r="A6039" s="2">
        <f>IFERROR(__xludf.DUMMYFUNCTION("""COMPUTED_VALUE"""),40122.666666666664)</f>
        <v>40122.66667</v>
      </c>
      <c r="B6039" s="1">
        <f>IFERROR(__xludf.DUMMYFUNCTION("""COMPUTED_VALUE"""),1047.3)</f>
        <v>1047.3</v>
      </c>
      <c r="C6039" s="1">
        <f>IFERROR(__xludf.DUMMYFUNCTION("""COMPUTED_VALUE"""),1066.65)</f>
        <v>1066.65</v>
      </c>
      <c r="D6039" s="1">
        <f>IFERROR(__xludf.DUMMYFUNCTION("""COMPUTED_VALUE"""),1047.3)</f>
        <v>1047.3</v>
      </c>
      <c r="E6039" s="1">
        <f>IFERROR(__xludf.DUMMYFUNCTION("""COMPUTED_VALUE"""),1066.63)</f>
        <v>1066.63</v>
      </c>
      <c r="F6039" s="1">
        <f>IFERROR(__xludf.DUMMYFUNCTION("""COMPUTED_VALUE"""),4.84835008E8)</f>
        <v>484835008</v>
      </c>
    </row>
    <row r="6040">
      <c r="A6040" s="2">
        <f>IFERROR(__xludf.DUMMYFUNCTION("""COMPUTED_VALUE"""),40123.666666666664)</f>
        <v>40123.66667</v>
      </c>
      <c r="B6040" s="1">
        <f>IFERROR(__xludf.DUMMYFUNCTION("""COMPUTED_VALUE"""),1064.94)</f>
        <v>1064.94</v>
      </c>
      <c r="C6040" s="1">
        <f>IFERROR(__xludf.DUMMYFUNCTION("""COMPUTED_VALUE"""),1071.48)</f>
        <v>1071.48</v>
      </c>
      <c r="D6040" s="1">
        <f>IFERROR(__xludf.DUMMYFUNCTION("""COMPUTED_VALUE"""),1059.31)</f>
        <v>1059.31</v>
      </c>
      <c r="E6040" s="1">
        <f>IFERROR(__xludf.DUMMYFUNCTION("""COMPUTED_VALUE"""),1069.3)</f>
        <v>1069.3</v>
      </c>
      <c r="F6040" s="1">
        <f>IFERROR(__xludf.DUMMYFUNCTION("""COMPUTED_VALUE"""),4.27712992E8)</f>
        <v>427712992</v>
      </c>
    </row>
    <row r="6041">
      <c r="A6041" s="2">
        <f>IFERROR(__xludf.DUMMYFUNCTION("""COMPUTED_VALUE"""),40126.666666666664)</f>
        <v>40126.66667</v>
      </c>
      <c r="B6041" s="1">
        <f>IFERROR(__xludf.DUMMYFUNCTION("""COMPUTED_VALUE"""),1072.31)</f>
        <v>1072.31</v>
      </c>
      <c r="C6041" s="1">
        <f>IFERROR(__xludf.DUMMYFUNCTION("""COMPUTED_VALUE"""),1093.18)</f>
        <v>1093.18</v>
      </c>
      <c r="D6041" s="1">
        <f>IFERROR(__xludf.DUMMYFUNCTION("""COMPUTED_VALUE"""),1072.31)</f>
        <v>1072.31</v>
      </c>
      <c r="E6041" s="1">
        <f>IFERROR(__xludf.DUMMYFUNCTION("""COMPUTED_VALUE"""),1093.07)</f>
        <v>1093.07</v>
      </c>
      <c r="F6041" s="1">
        <f>IFERROR(__xludf.DUMMYFUNCTION("""COMPUTED_VALUE"""),4.46003008E8)</f>
        <v>446003008</v>
      </c>
    </row>
    <row r="6042">
      <c r="A6042" s="2">
        <f>IFERROR(__xludf.DUMMYFUNCTION("""COMPUTED_VALUE"""),40127.666666666664)</f>
        <v>40127.66667</v>
      </c>
      <c r="B6042" s="1">
        <f>IFERROR(__xludf.DUMMYFUNCTION("""COMPUTED_VALUE"""),1091.86)</f>
        <v>1091.86</v>
      </c>
      <c r="C6042" s="1">
        <f>IFERROR(__xludf.DUMMYFUNCTION("""COMPUTED_VALUE"""),1096.42)</f>
        <v>1096.42</v>
      </c>
      <c r="D6042" s="1">
        <f>IFERROR(__xludf.DUMMYFUNCTION("""COMPUTED_VALUE"""),1087.4)</f>
        <v>1087.4</v>
      </c>
      <c r="E6042" s="1">
        <f>IFERROR(__xludf.DUMMYFUNCTION("""COMPUTED_VALUE"""),1093.01)</f>
        <v>1093.01</v>
      </c>
      <c r="F6042" s="1">
        <f>IFERROR(__xludf.DUMMYFUNCTION("""COMPUTED_VALUE"""),4.39476992E8)</f>
        <v>439476992</v>
      </c>
    </row>
    <row r="6043">
      <c r="A6043" s="2">
        <f>IFERROR(__xludf.DUMMYFUNCTION("""COMPUTED_VALUE"""),40128.666666666664)</f>
        <v>40128.66667</v>
      </c>
      <c r="B6043" s="1">
        <f>IFERROR(__xludf.DUMMYFUNCTION("""COMPUTED_VALUE"""),1096.04)</f>
        <v>1096.04</v>
      </c>
      <c r="C6043" s="1">
        <f>IFERROR(__xludf.DUMMYFUNCTION("""COMPUTED_VALUE"""),1105.37)</f>
        <v>1105.37</v>
      </c>
      <c r="D6043" s="1">
        <f>IFERROR(__xludf.DUMMYFUNCTION("""COMPUTED_VALUE"""),1093.81)</f>
        <v>1093.81</v>
      </c>
      <c r="E6043" s="1">
        <f>IFERROR(__xludf.DUMMYFUNCTION("""COMPUTED_VALUE"""),1098.51)</f>
        <v>1098.51</v>
      </c>
      <c r="F6043" s="1">
        <f>IFERROR(__xludf.DUMMYFUNCTION("""COMPUTED_VALUE"""),4.28670016E8)</f>
        <v>428670016</v>
      </c>
    </row>
    <row r="6044">
      <c r="A6044" s="2">
        <f>IFERROR(__xludf.DUMMYFUNCTION("""COMPUTED_VALUE"""),40129.666666666664)</f>
        <v>40129.66667</v>
      </c>
      <c r="B6044" s="1">
        <f>IFERROR(__xludf.DUMMYFUNCTION("""COMPUTED_VALUE"""),1098.31)</f>
        <v>1098.31</v>
      </c>
      <c r="C6044" s="1">
        <f>IFERROR(__xludf.DUMMYFUNCTION("""COMPUTED_VALUE"""),1101.97)</f>
        <v>1101.97</v>
      </c>
      <c r="D6044" s="1">
        <f>IFERROR(__xludf.DUMMYFUNCTION("""COMPUTED_VALUE"""),1084.9)</f>
        <v>1084.9</v>
      </c>
      <c r="E6044" s="1">
        <f>IFERROR(__xludf.DUMMYFUNCTION("""COMPUTED_VALUE"""),1087.24)</f>
        <v>1087.24</v>
      </c>
      <c r="F6044" s="1">
        <f>IFERROR(__xludf.DUMMYFUNCTION("""COMPUTED_VALUE"""),4.16024992E8)</f>
        <v>416024992</v>
      </c>
    </row>
    <row r="6045">
      <c r="A6045" s="2">
        <f>IFERROR(__xludf.DUMMYFUNCTION("""COMPUTED_VALUE"""),40130.666666666664)</f>
        <v>40130.66667</v>
      </c>
      <c r="B6045" s="1">
        <f>IFERROR(__xludf.DUMMYFUNCTION("""COMPUTED_VALUE"""),1087.59)</f>
        <v>1087.59</v>
      </c>
      <c r="C6045" s="1">
        <f>IFERROR(__xludf.DUMMYFUNCTION("""COMPUTED_VALUE"""),1097.79)</f>
        <v>1097.79</v>
      </c>
      <c r="D6045" s="1">
        <f>IFERROR(__xludf.DUMMYFUNCTION("""COMPUTED_VALUE"""),1085.32)</f>
        <v>1085.32</v>
      </c>
      <c r="E6045" s="1">
        <f>IFERROR(__xludf.DUMMYFUNCTION("""COMPUTED_VALUE"""),1093.48)</f>
        <v>1093.48</v>
      </c>
      <c r="F6045" s="1">
        <f>IFERROR(__xludf.DUMMYFUNCTION("""COMPUTED_VALUE"""),3.79260992E8)</f>
        <v>379260992</v>
      </c>
    </row>
    <row r="6046">
      <c r="A6046" s="2">
        <f>IFERROR(__xludf.DUMMYFUNCTION("""COMPUTED_VALUE"""),40133.666666666664)</f>
        <v>40133.66667</v>
      </c>
      <c r="B6046" s="1">
        <f>IFERROR(__xludf.DUMMYFUNCTION("""COMPUTED_VALUE"""),1094.13)</f>
        <v>1094.13</v>
      </c>
      <c r="C6046" s="1">
        <f>IFERROR(__xludf.DUMMYFUNCTION("""COMPUTED_VALUE"""),1113.68)</f>
        <v>1113.68</v>
      </c>
      <c r="D6046" s="1">
        <f>IFERROR(__xludf.DUMMYFUNCTION("""COMPUTED_VALUE"""),1094.13)</f>
        <v>1094.13</v>
      </c>
      <c r="E6046" s="1">
        <f>IFERROR(__xludf.DUMMYFUNCTION("""COMPUTED_VALUE"""),1109.3)</f>
        <v>1109.3</v>
      </c>
      <c r="F6046" s="1">
        <f>IFERROR(__xludf.DUMMYFUNCTION("""COMPUTED_VALUE"""),4.56584992E8)</f>
        <v>456584992</v>
      </c>
    </row>
    <row r="6047">
      <c r="A6047" s="2">
        <f>IFERROR(__xludf.DUMMYFUNCTION("""COMPUTED_VALUE"""),40134.666666666664)</f>
        <v>40134.66667</v>
      </c>
      <c r="B6047" s="1">
        <f>IFERROR(__xludf.DUMMYFUNCTION("""COMPUTED_VALUE"""),1109.22)</f>
        <v>1109.22</v>
      </c>
      <c r="C6047" s="1">
        <f>IFERROR(__xludf.DUMMYFUNCTION("""COMPUTED_VALUE"""),1110.52)</f>
        <v>1110.52</v>
      </c>
      <c r="D6047" s="1">
        <f>IFERROR(__xludf.DUMMYFUNCTION("""COMPUTED_VALUE"""),1102.18)</f>
        <v>1102.18</v>
      </c>
      <c r="E6047" s="1">
        <f>IFERROR(__xludf.DUMMYFUNCTION("""COMPUTED_VALUE"""),1110.31)</f>
        <v>1110.31</v>
      </c>
      <c r="F6047" s="1">
        <f>IFERROR(__xludf.DUMMYFUNCTION("""COMPUTED_VALUE"""),3.82407008E8)</f>
        <v>382407008</v>
      </c>
    </row>
    <row r="6048">
      <c r="A6048" s="2">
        <f>IFERROR(__xludf.DUMMYFUNCTION("""COMPUTED_VALUE"""),40135.666666666664)</f>
        <v>40135.66667</v>
      </c>
      <c r="B6048" s="1">
        <f>IFERROR(__xludf.DUMMYFUNCTION("""COMPUTED_VALUE"""),1109.43)</f>
        <v>1109.43</v>
      </c>
      <c r="C6048" s="1">
        <f>IFERROR(__xludf.DUMMYFUNCTION("""COMPUTED_VALUE"""),1111.1)</f>
        <v>1111.1</v>
      </c>
      <c r="D6048" s="1">
        <f>IFERROR(__xludf.DUMMYFUNCTION("""COMPUTED_VALUE"""),1102.69)</f>
        <v>1102.69</v>
      </c>
      <c r="E6048" s="1">
        <f>IFERROR(__xludf.DUMMYFUNCTION("""COMPUTED_VALUE"""),1109.8)</f>
        <v>1109.8</v>
      </c>
      <c r="F6048" s="1">
        <f>IFERROR(__xludf.DUMMYFUNCTION("""COMPUTED_VALUE"""),4.29334016E8)</f>
        <v>429334016</v>
      </c>
    </row>
    <row r="6049">
      <c r="A6049" s="2">
        <f>IFERROR(__xludf.DUMMYFUNCTION("""COMPUTED_VALUE"""),40136.666666666664)</f>
        <v>40136.66667</v>
      </c>
      <c r="B6049" s="1">
        <f>IFERROR(__xludf.DUMMYFUNCTION("""COMPUTED_VALUE"""),1106.43)</f>
        <v>1106.43</v>
      </c>
      <c r="C6049" s="1">
        <f>IFERROR(__xludf.DUMMYFUNCTION("""COMPUTED_VALUE"""),1106.43)</f>
        <v>1106.43</v>
      </c>
      <c r="D6049" s="1">
        <f>IFERROR(__xludf.DUMMYFUNCTION("""COMPUTED_VALUE"""),1088.4)</f>
        <v>1088.4</v>
      </c>
      <c r="E6049" s="1">
        <f>IFERROR(__xludf.DUMMYFUNCTION("""COMPUTED_VALUE"""),1094.9)</f>
        <v>1094.9</v>
      </c>
      <c r="F6049" s="1">
        <f>IFERROR(__xludf.DUMMYFUNCTION("""COMPUTED_VALUE"""),4.17803008E8)</f>
        <v>417803008</v>
      </c>
    </row>
    <row r="6050">
      <c r="A6050" s="2">
        <f>IFERROR(__xludf.DUMMYFUNCTION("""COMPUTED_VALUE"""),40137.666666666664)</f>
        <v>40137.66667</v>
      </c>
      <c r="B6050" s="1">
        <f>IFERROR(__xludf.DUMMYFUNCTION("""COMPUTED_VALUE"""),1094.66)</f>
        <v>1094.66</v>
      </c>
      <c r="C6050" s="1">
        <f>IFERROR(__xludf.DUMMYFUNCTION("""COMPUTED_VALUE"""),1094.66)</f>
        <v>1094.66</v>
      </c>
      <c r="D6050" s="1">
        <f>IFERROR(__xludf.DUMMYFUNCTION("""COMPUTED_VALUE"""),1086.81)</f>
        <v>1086.81</v>
      </c>
      <c r="E6050" s="1">
        <f>IFERROR(__xludf.DUMMYFUNCTION("""COMPUTED_VALUE"""),1091.38)</f>
        <v>1091.38</v>
      </c>
      <c r="F6050" s="1">
        <f>IFERROR(__xludf.DUMMYFUNCTION("""COMPUTED_VALUE"""),3.75123008E8)</f>
        <v>375123008</v>
      </c>
    </row>
    <row r="6051">
      <c r="A6051" s="2">
        <f>IFERROR(__xludf.DUMMYFUNCTION("""COMPUTED_VALUE"""),40140.666666666664)</f>
        <v>40140.66667</v>
      </c>
      <c r="B6051" s="1">
        <f>IFERROR(__xludf.DUMMYFUNCTION("""COMPUTED_VALUE"""),1094.86)</f>
        <v>1094.86</v>
      </c>
      <c r="C6051" s="1">
        <f>IFERROR(__xludf.DUMMYFUNCTION("""COMPUTED_VALUE"""),1112.38)</f>
        <v>1112.38</v>
      </c>
      <c r="D6051" s="1">
        <f>IFERROR(__xludf.DUMMYFUNCTION("""COMPUTED_VALUE"""),1094.86)</f>
        <v>1094.86</v>
      </c>
      <c r="E6051" s="1">
        <f>IFERROR(__xludf.DUMMYFUNCTION("""COMPUTED_VALUE"""),1106.24)</f>
        <v>1106.24</v>
      </c>
      <c r="F6051" s="1">
        <f>IFERROR(__xludf.DUMMYFUNCTION("""COMPUTED_VALUE"""),3.82792E8)</f>
        <v>382792000</v>
      </c>
    </row>
    <row r="6052">
      <c r="A6052" s="2">
        <f>IFERROR(__xludf.DUMMYFUNCTION("""COMPUTED_VALUE"""),40141.666666666664)</f>
        <v>40141.66667</v>
      </c>
      <c r="B6052" s="1">
        <f>IFERROR(__xludf.DUMMYFUNCTION("""COMPUTED_VALUE"""),1105.82)</f>
        <v>1105.82</v>
      </c>
      <c r="C6052" s="1">
        <f>IFERROR(__xludf.DUMMYFUNCTION("""COMPUTED_VALUE"""),1107.56)</f>
        <v>1107.56</v>
      </c>
      <c r="D6052" s="1">
        <f>IFERROR(__xludf.DUMMYFUNCTION("""COMPUTED_VALUE"""),1097.63)</f>
        <v>1097.63</v>
      </c>
      <c r="E6052" s="1">
        <f>IFERROR(__xludf.DUMMYFUNCTION("""COMPUTED_VALUE"""),1105.65)</f>
        <v>1105.65</v>
      </c>
      <c r="F6052" s="1">
        <f>IFERROR(__xludf.DUMMYFUNCTION("""COMPUTED_VALUE"""),3.70081984E8)</f>
        <v>370081984</v>
      </c>
    </row>
    <row r="6053">
      <c r="A6053" s="2">
        <f>IFERROR(__xludf.DUMMYFUNCTION("""COMPUTED_VALUE"""),40142.666666666664)</f>
        <v>40142.66667</v>
      </c>
      <c r="B6053" s="1">
        <f>IFERROR(__xludf.DUMMYFUNCTION("""COMPUTED_VALUE"""),1106.49)</f>
        <v>1106.49</v>
      </c>
      <c r="C6053" s="1">
        <f>IFERROR(__xludf.DUMMYFUNCTION("""COMPUTED_VALUE"""),1111.18)</f>
        <v>1111.18</v>
      </c>
      <c r="D6053" s="1">
        <f>IFERROR(__xludf.DUMMYFUNCTION("""COMPUTED_VALUE"""),1104.75)</f>
        <v>1104.75</v>
      </c>
      <c r="E6053" s="1">
        <f>IFERROR(__xludf.DUMMYFUNCTION("""COMPUTED_VALUE"""),1110.63)</f>
        <v>1110.63</v>
      </c>
      <c r="F6053" s="1">
        <f>IFERROR(__xludf.DUMMYFUNCTION("""COMPUTED_VALUE"""),3.03635008E8)</f>
        <v>303635008</v>
      </c>
    </row>
    <row r="6054">
      <c r="A6054" s="2">
        <f>IFERROR(__xludf.DUMMYFUNCTION("""COMPUTED_VALUE"""),40144.666666666664)</f>
        <v>40144.66667</v>
      </c>
      <c r="B6054" s="1">
        <f>IFERROR(__xludf.DUMMYFUNCTION("""COMPUTED_VALUE"""),1105.47)</f>
        <v>1105.47</v>
      </c>
      <c r="C6054" s="1">
        <f>IFERROR(__xludf.DUMMYFUNCTION("""COMPUTED_VALUE"""),1105.47)</f>
        <v>1105.47</v>
      </c>
      <c r="D6054" s="1">
        <f>IFERROR(__xludf.DUMMYFUNCTION("""COMPUTED_VALUE"""),1083.74)</f>
        <v>1083.74</v>
      </c>
      <c r="E6054" s="1">
        <f>IFERROR(__xludf.DUMMYFUNCTION("""COMPUTED_VALUE"""),1091.49)</f>
        <v>1091.49</v>
      </c>
      <c r="F6054" s="1">
        <f>IFERROR(__xludf.DUMMYFUNCTION("""COMPUTED_VALUE"""),2.36291008E8)</f>
        <v>236291008</v>
      </c>
    </row>
    <row r="6055">
      <c r="A6055" s="2">
        <f>IFERROR(__xludf.DUMMYFUNCTION("""COMPUTED_VALUE"""),40147.666666666664)</f>
        <v>40147.66667</v>
      </c>
      <c r="B6055" s="1">
        <f>IFERROR(__xludf.DUMMYFUNCTION("""COMPUTED_VALUE"""),1091.06)</f>
        <v>1091.06</v>
      </c>
      <c r="C6055" s="1">
        <f>IFERROR(__xludf.DUMMYFUNCTION("""COMPUTED_VALUE"""),1097.24)</f>
        <v>1097.24</v>
      </c>
      <c r="D6055" s="1">
        <f>IFERROR(__xludf.DUMMYFUNCTION("""COMPUTED_VALUE"""),1086.25)</f>
        <v>1086.25</v>
      </c>
      <c r="E6055" s="1">
        <f>IFERROR(__xludf.DUMMYFUNCTION("""COMPUTED_VALUE"""),1095.63)</f>
        <v>1095.63</v>
      </c>
      <c r="F6055" s="1">
        <f>IFERROR(__xludf.DUMMYFUNCTION("""COMPUTED_VALUE"""),3.89552E8)</f>
        <v>389552000</v>
      </c>
    </row>
    <row r="6056">
      <c r="A6056" s="2">
        <f>IFERROR(__xludf.DUMMYFUNCTION("""COMPUTED_VALUE"""),40148.666666666664)</f>
        <v>40148.66667</v>
      </c>
      <c r="B6056" s="1">
        <f>IFERROR(__xludf.DUMMYFUNCTION("""COMPUTED_VALUE"""),1098.89)</f>
        <v>1098.89</v>
      </c>
      <c r="C6056" s="1">
        <f>IFERROR(__xludf.DUMMYFUNCTION("""COMPUTED_VALUE"""),1112.28)</f>
        <v>1112.28</v>
      </c>
      <c r="D6056" s="1">
        <f>IFERROR(__xludf.DUMMYFUNCTION("""COMPUTED_VALUE"""),1098.89)</f>
        <v>1098.89</v>
      </c>
      <c r="E6056" s="1">
        <f>IFERROR(__xludf.DUMMYFUNCTION("""COMPUTED_VALUE"""),1108.86)</f>
        <v>1108.86</v>
      </c>
      <c r="F6056" s="1">
        <f>IFERROR(__xludf.DUMMYFUNCTION("""COMPUTED_VALUE"""),4.24931008E8)</f>
        <v>424931008</v>
      </c>
    </row>
    <row r="6057">
      <c r="A6057" s="2">
        <f>IFERROR(__xludf.DUMMYFUNCTION("""COMPUTED_VALUE"""),40149.666666666664)</f>
        <v>40149.66667</v>
      </c>
      <c r="B6057" s="1">
        <f>IFERROR(__xludf.DUMMYFUNCTION("""COMPUTED_VALUE"""),1109.03)</f>
        <v>1109.03</v>
      </c>
      <c r="C6057" s="1">
        <f>IFERROR(__xludf.DUMMYFUNCTION("""COMPUTED_VALUE"""),1115.57)</f>
        <v>1115.57</v>
      </c>
      <c r="D6057" s="1">
        <f>IFERROR(__xludf.DUMMYFUNCTION("""COMPUTED_VALUE"""),1105.29)</f>
        <v>1105.29</v>
      </c>
      <c r="E6057" s="1">
        <f>IFERROR(__xludf.DUMMYFUNCTION("""COMPUTED_VALUE"""),1109.24)</f>
        <v>1109.24</v>
      </c>
      <c r="F6057" s="1">
        <f>IFERROR(__xludf.DUMMYFUNCTION("""COMPUTED_VALUE"""),3.94134016E8)</f>
        <v>394134016</v>
      </c>
    </row>
    <row r="6058">
      <c r="A6058" s="2">
        <f>IFERROR(__xludf.DUMMYFUNCTION("""COMPUTED_VALUE"""),40150.666666666664)</f>
        <v>40150.66667</v>
      </c>
      <c r="B6058" s="1">
        <f>IFERROR(__xludf.DUMMYFUNCTION("""COMPUTED_VALUE"""),1110.59)</f>
        <v>1110.59</v>
      </c>
      <c r="C6058" s="1">
        <f>IFERROR(__xludf.DUMMYFUNCTION("""COMPUTED_VALUE"""),1117.28)</f>
        <v>1117.28</v>
      </c>
      <c r="D6058" s="1">
        <f>IFERROR(__xludf.DUMMYFUNCTION("""COMPUTED_VALUE"""),1098.74)</f>
        <v>1098.74</v>
      </c>
      <c r="E6058" s="1">
        <f>IFERROR(__xludf.DUMMYFUNCTION("""COMPUTED_VALUE"""),1099.92)</f>
        <v>1099.92</v>
      </c>
      <c r="F6058" s="1">
        <f>IFERROR(__xludf.DUMMYFUNCTION("""COMPUTED_VALUE"""),4.81003008E8)</f>
        <v>481003008</v>
      </c>
    </row>
    <row r="6059">
      <c r="A6059" s="2">
        <f>IFERROR(__xludf.DUMMYFUNCTION("""COMPUTED_VALUE"""),40151.666666666664)</f>
        <v>40151.66667</v>
      </c>
      <c r="B6059" s="1">
        <f>IFERROR(__xludf.DUMMYFUNCTION("""COMPUTED_VALUE"""),1100.43)</f>
        <v>1100.43</v>
      </c>
      <c r="C6059" s="1">
        <f>IFERROR(__xludf.DUMMYFUNCTION("""COMPUTED_VALUE"""),1119.13)</f>
        <v>1119.13</v>
      </c>
      <c r="D6059" s="1">
        <f>IFERROR(__xludf.DUMMYFUNCTION("""COMPUTED_VALUE"""),1096.52)</f>
        <v>1096.52</v>
      </c>
      <c r="E6059" s="1">
        <f>IFERROR(__xludf.DUMMYFUNCTION("""COMPUTED_VALUE"""),1105.98)</f>
        <v>1105.98</v>
      </c>
      <c r="F6059" s="1">
        <f>IFERROR(__xludf.DUMMYFUNCTION("""COMPUTED_VALUE"""),5.78113984E8)</f>
        <v>578113984</v>
      </c>
    </row>
    <row r="6060">
      <c r="A6060" s="2">
        <f>IFERROR(__xludf.DUMMYFUNCTION("""COMPUTED_VALUE"""),40154.666666666664)</f>
        <v>40154.66667</v>
      </c>
      <c r="B6060" s="1">
        <f>IFERROR(__xludf.DUMMYFUNCTION("""COMPUTED_VALUE"""),1105.52)</f>
        <v>1105.52</v>
      </c>
      <c r="C6060" s="1">
        <f>IFERROR(__xludf.DUMMYFUNCTION("""COMPUTED_VALUE"""),1110.72)</f>
        <v>1110.72</v>
      </c>
      <c r="D6060" s="1">
        <f>IFERROR(__xludf.DUMMYFUNCTION("""COMPUTED_VALUE"""),1100.82)</f>
        <v>1100.82</v>
      </c>
      <c r="E6060" s="1">
        <f>IFERROR(__xludf.DUMMYFUNCTION("""COMPUTED_VALUE"""),1103.25)</f>
        <v>1103.25</v>
      </c>
      <c r="F6060" s="1">
        <f>IFERROR(__xludf.DUMMYFUNCTION("""COMPUTED_VALUE"""),4.10336E8)</f>
        <v>410336000</v>
      </c>
    </row>
    <row r="6061">
      <c r="A6061" s="2">
        <f>IFERROR(__xludf.DUMMYFUNCTION("""COMPUTED_VALUE"""),40155.666666666664)</f>
        <v>40155.66667</v>
      </c>
      <c r="B6061" s="1">
        <f>IFERROR(__xludf.DUMMYFUNCTION("""COMPUTED_VALUE"""),1103.04)</f>
        <v>1103.04</v>
      </c>
      <c r="C6061" s="1">
        <f>IFERROR(__xludf.DUMMYFUNCTION("""COMPUTED_VALUE"""),1103.04)</f>
        <v>1103.04</v>
      </c>
      <c r="D6061" s="1">
        <f>IFERROR(__xludf.DUMMYFUNCTION("""COMPUTED_VALUE"""),1088.61)</f>
        <v>1088.61</v>
      </c>
      <c r="E6061" s="1">
        <f>IFERROR(__xludf.DUMMYFUNCTION("""COMPUTED_VALUE"""),1091.93)</f>
        <v>1091.93</v>
      </c>
      <c r="F6061" s="1">
        <f>IFERROR(__xludf.DUMMYFUNCTION("""COMPUTED_VALUE"""),4.74803008E8)</f>
        <v>474803008</v>
      </c>
    </row>
    <row r="6062">
      <c r="A6062" s="2">
        <f>IFERROR(__xludf.DUMMYFUNCTION("""COMPUTED_VALUE"""),40156.666666666664)</f>
        <v>40156.66667</v>
      </c>
      <c r="B6062" s="1">
        <f>IFERROR(__xludf.DUMMYFUNCTION("""COMPUTED_VALUE"""),1091.06)</f>
        <v>1091.06</v>
      </c>
      <c r="C6062" s="1">
        <f>IFERROR(__xludf.DUMMYFUNCTION("""COMPUTED_VALUE"""),1097.04)</f>
        <v>1097.04</v>
      </c>
      <c r="D6062" s="1">
        <f>IFERROR(__xludf.DUMMYFUNCTION("""COMPUTED_VALUE"""),1085.89)</f>
        <v>1085.89</v>
      </c>
      <c r="E6062" s="1">
        <f>IFERROR(__xludf.DUMMYFUNCTION("""COMPUTED_VALUE"""),1095.94)</f>
        <v>1095.94</v>
      </c>
      <c r="F6062" s="1">
        <f>IFERROR(__xludf.DUMMYFUNCTION("""COMPUTED_VALUE"""),4.11540992E8)</f>
        <v>411540992</v>
      </c>
    </row>
    <row r="6063">
      <c r="A6063" s="2">
        <f>IFERROR(__xludf.DUMMYFUNCTION("""COMPUTED_VALUE"""),40157.666666666664)</f>
        <v>40157.66667</v>
      </c>
      <c r="B6063" s="1">
        <f>IFERROR(__xludf.DUMMYFUNCTION("""COMPUTED_VALUE"""),1098.68)</f>
        <v>1098.68</v>
      </c>
      <c r="C6063" s="1">
        <f>IFERROR(__xludf.DUMMYFUNCTION("""COMPUTED_VALUE"""),1106.25)</f>
        <v>1106.25</v>
      </c>
      <c r="D6063" s="1">
        <f>IFERROR(__xludf.DUMMYFUNCTION("""COMPUTED_VALUE"""),1098.68)</f>
        <v>1098.68</v>
      </c>
      <c r="E6063" s="1">
        <f>IFERROR(__xludf.DUMMYFUNCTION("""COMPUTED_VALUE"""),1102.35)</f>
        <v>1102.35</v>
      </c>
      <c r="F6063" s="1">
        <f>IFERROR(__xludf.DUMMYFUNCTION("""COMPUTED_VALUE"""),3.99648992E8)</f>
        <v>399648992</v>
      </c>
    </row>
    <row r="6064">
      <c r="A6064" s="2">
        <f>IFERROR(__xludf.DUMMYFUNCTION("""COMPUTED_VALUE"""),40158.666666666664)</f>
        <v>40158.66667</v>
      </c>
      <c r="B6064" s="1">
        <f>IFERROR(__xludf.DUMMYFUNCTION("""COMPUTED_VALUE"""),1103.96)</f>
        <v>1103.96</v>
      </c>
      <c r="C6064" s="1">
        <f>IFERROR(__xludf.DUMMYFUNCTION("""COMPUTED_VALUE"""),1108.5)</f>
        <v>1108.5</v>
      </c>
      <c r="D6064" s="1">
        <f>IFERROR(__xludf.DUMMYFUNCTION("""COMPUTED_VALUE"""),1101.34)</f>
        <v>1101.34</v>
      </c>
      <c r="E6064" s="1">
        <f>IFERROR(__xludf.DUMMYFUNCTION("""COMPUTED_VALUE"""),1106.41)</f>
        <v>1106.41</v>
      </c>
      <c r="F6064" s="1">
        <f>IFERROR(__xludf.DUMMYFUNCTION("""COMPUTED_VALUE"""),3.79108992E8)</f>
        <v>379108992</v>
      </c>
    </row>
    <row r="6065">
      <c r="A6065" s="2">
        <f>IFERROR(__xludf.DUMMYFUNCTION("""COMPUTED_VALUE"""),40161.666666666664)</f>
        <v>40161.66667</v>
      </c>
      <c r="B6065" s="1">
        <f>IFERROR(__xludf.DUMMYFUNCTION("""COMPUTED_VALUE"""),1107.84)</f>
        <v>1107.84</v>
      </c>
      <c r="C6065" s="1">
        <f>IFERROR(__xludf.DUMMYFUNCTION("""COMPUTED_VALUE"""),1114.76)</f>
        <v>1114.76</v>
      </c>
      <c r="D6065" s="1">
        <f>IFERROR(__xludf.DUMMYFUNCTION("""COMPUTED_VALUE"""),1107.84)</f>
        <v>1107.84</v>
      </c>
      <c r="E6065" s="1">
        <f>IFERROR(__xludf.DUMMYFUNCTION("""COMPUTED_VALUE"""),1114.11)</f>
        <v>1114.11</v>
      </c>
      <c r="F6065" s="1">
        <f>IFERROR(__xludf.DUMMYFUNCTION("""COMPUTED_VALUE"""),4.54848992E8)</f>
        <v>454848992</v>
      </c>
    </row>
    <row r="6066">
      <c r="A6066" s="2">
        <f>IFERROR(__xludf.DUMMYFUNCTION("""COMPUTED_VALUE"""),40162.666666666664)</f>
        <v>40162.66667</v>
      </c>
      <c r="B6066" s="1">
        <f>IFERROR(__xludf.DUMMYFUNCTION("""COMPUTED_VALUE"""),1114.11)</f>
        <v>1114.11</v>
      </c>
      <c r="C6066" s="1">
        <f>IFERROR(__xludf.DUMMYFUNCTION("""COMPUTED_VALUE"""),1114.11)</f>
        <v>1114.11</v>
      </c>
      <c r="D6066" s="1">
        <f>IFERROR(__xludf.DUMMYFUNCTION("""COMPUTED_VALUE"""),1105.35)</f>
        <v>1105.35</v>
      </c>
      <c r="E6066" s="1">
        <f>IFERROR(__xludf.DUMMYFUNCTION("""COMPUTED_VALUE"""),1107.93)</f>
        <v>1107.93</v>
      </c>
      <c r="F6066" s="1">
        <f>IFERROR(__xludf.DUMMYFUNCTION("""COMPUTED_VALUE"""),5.04510016E8)</f>
        <v>504510016</v>
      </c>
    </row>
    <row r="6067">
      <c r="A6067" s="2">
        <f>IFERROR(__xludf.DUMMYFUNCTION("""COMPUTED_VALUE"""),40163.666666666664)</f>
        <v>40163.66667</v>
      </c>
      <c r="B6067" s="1">
        <f>IFERROR(__xludf.DUMMYFUNCTION("""COMPUTED_VALUE"""),1108.61)</f>
        <v>1108.61</v>
      </c>
      <c r="C6067" s="1">
        <f>IFERROR(__xludf.DUMMYFUNCTION("""COMPUTED_VALUE"""),1116.21)</f>
        <v>1116.21</v>
      </c>
      <c r="D6067" s="1">
        <f>IFERROR(__xludf.DUMMYFUNCTION("""COMPUTED_VALUE"""),1107.96)</f>
        <v>1107.96</v>
      </c>
      <c r="E6067" s="1">
        <f>IFERROR(__xludf.DUMMYFUNCTION("""COMPUTED_VALUE"""),1109.18)</f>
        <v>1109.18</v>
      </c>
      <c r="F6067" s="1">
        <f>IFERROR(__xludf.DUMMYFUNCTION("""COMPUTED_VALUE"""),4.82982016E8)</f>
        <v>482982016</v>
      </c>
    </row>
    <row r="6068">
      <c r="A6068" s="2">
        <f>IFERROR(__xludf.DUMMYFUNCTION("""COMPUTED_VALUE"""),40164.666666666664)</f>
        <v>40164.66667</v>
      </c>
      <c r="B6068" s="1">
        <f>IFERROR(__xludf.DUMMYFUNCTION("""COMPUTED_VALUE"""),1106.36)</f>
        <v>1106.36</v>
      </c>
      <c r="C6068" s="1">
        <f>IFERROR(__xludf.DUMMYFUNCTION("""COMPUTED_VALUE"""),1106.36)</f>
        <v>1106.36</v>
      </c>
      <c r="D6068" s="1">
        <f>IFERROR(__xludf.DUMMYFUNCTION("""COMPUTED_VALUE"""),1095.88)</f>
        <v>1095.88</v>
      </c>
      <c r="E6068" s="1">
        <f>IFERROR(__xludf.DUMMYFUNCTION("""COMPUTED_VALUE"""),1096.07)</f>
        <v>1096.07</v>
      </c>
      <c r="F6068" s="1">
        <f>IFERROR(__xludf.DUMMYFUNCTION("""COMPUTED_VALUE"""),3.6150704E8)</f>
        <v>361507040</v>
      </c>
    </row>
    <row r="6069">
      <c r="A6069" s="2">
        <f>IFERROR(__xludf.DUMMYFUNCTION("""COMPUTED_VALUE"""),40165.666666666664)</f>
        <v>40165.66667</v>
      </c>
      <c r="B6069" s="1">
        <f>IFERROR(__xludf.DUMMYFUNCTION("""COMPUTED_VALUE"""),1097.86)</f>
        <v>1097.86</v>
      </c>
      <c r="C6069" s="1">
        <f>IFERROR(__xludf.DUMMYFUNCTION("""COMPUTED_VALUE"""),1103.74)</f>
        <v>1103.74</v>
      </c>
      <c r="D6069" s="1">
        <f>IFERROR(__xludf.DUMMYFUNCTION("""COMPUTED_VALUE"""),1093.88)</f>
        <v>1093.88</v>
      </c>
      <c r="E6069" s="1">
        <f>IFERROR(__xludf.DUMMYFUNCTION("""COMPUTED_VALUE"""),1102.47)</f>
        <v>1102.47</v>
      </c>
      <c r="F6069" s="1">
        <f>IFERROR(__xludf.DUMMYFUNCTION("""COMPUTED_VALUE"""),6.32588992E8)</f>
        <v>632588992</v>
      </c>
    </row>
    <row r="6070">
      <c r="A6070" s="2">
        <f>IFERROR(__xludf.DUMMYFUNCTION("""COMPUTED_VALUE"""),40168.666666666664)</f>
        <v>40168.66667</v>
      </c>
      <c r="B6070" s="1">
        <f>IFERROR(__xludf.DUMMYFUNCTION("""COMPUTED_VALUE"""),1105.31)</f>
        <v>1105.31</v>
      </c>
      <c r="C6070" s="1">
        <f>IFERROR(__xludf.DUMMYFUNCTION("""COMPUTED_VALUE"""),1117.68)</f>
        <v>1117.68</v>
      </c>
      <c r="D6070" s="1">
        <f>IFERROR(__xludf.DUMMYFUNCTION("""COMPUTED_VALUE"""),1105.31)</f>
        <v>1105.31</v>
      </c>
      <c r="E6070" s="1">
        <f>IFERROR(__xludf.DUMMYFUNCTION("""COMPUTED_VALUE"""),1114.05)</f>
        <v>1114.05</v>
      </c>
      <c r="F6070" s="1">
        <f>IFERROR(__xludf.DUMMYFUNCTION("""COMPUTED_VALUE"""),3.97734016E8)</f>
        <v>397734016</v>
      </c>
    </row>
    <row r="6071">
      <c r="A6071" s="2">
        <f>IFERROR(__xludf.DUMMYFUNCTION("""COMPUTED_VALUE"""),40169.666666666664)</f>
        <v>40169.66667</v>
      </c>
      <c r="B6071" s="1">
        <f>IFERROR(__xludf.DUMMYFUNCTION("""COMPUTED_VALUE"""),1114.51)</f>
        <v>1114.51</v>
      </c>
      <c r="C6071" s="1">
        <f>IFERROR(__xludf.DUMMYFUNCTION("""COMPUTED_VALUE"""),1120.27)</f>
        <v>1120.27</v>
      </c>
      <c r="D6071" s="1">
        <f>IFERROR(__xludf.DUMMYFUNCTION("""COMPUTED_VALUE"""),1114.51)</f>
        <v>1114.51</v>
      </c>
      <c r="E6071" s="1">
        <f>IFERROR(__xludf.DUMMYFUNCTION("""COMPUTED_VALUE"""),1118.02)</f>
        <v>1118.02</v>
      </c>
      <c r="F6071" s="1">
        <f>IFERROR(__xludf.DUMMYFUNCTION("""COMPUTED_VALUE"""),3.64112992E8)</f>
        <v>364112992</v>
      </c>
    </row>
    <row r="6072">
      <c r="A6072" s="2">
        <f>IFERROR(__xludf.DUMMYFUNCTION("""COMPUTED_VALUE"""),40170.666666666664)</f>
        <v>40170.66667</v>
      </c>
      <c r="B6072" s="1">
        <f>IFERROR(__xludf.DUMMYFUNCTION("""COMPUTED_VALUE"""),1118.84)</f>
        <v>1118.84</v>
      </c>
      <c r="C6072" s="1">
        <f>IFERROR(__xludf.DUMMYFUNCTION("""COMPUTED_VALUE"""),1121.57)</f>
        <v>1121.57</v>
      </c>
      <c r="D6072" s="1">
        <f>IFERROR(__xludf.DUMMYFUNCTION("""COMPUTED_VALUE"""),1116.0)</f>
        <v>1116</v>
      </c>
      <c r="E6072" s="1">
        <f>IFERROR(__xludf.DUMMYFUNCTION("""COMPUTED_VALUE"""),1120.59)</f>
        <v>1120.59</v>
      </c>
      <c r="F6072" s="1">
        <f>IFERROR(__xludf.DUMMYFUNCTION("""COMPUTED_VALUE"""),3.16687008E8)</f>
        <v>316687008</v>
      </c>
    </row>
    <row r="6073">
      <c r="A6073" s="2">
        <f>IFERROR(__xludf.DUMMYFUNCTION("""COMPUTED_VALUE"""),40171.666666666664)</f>
        <v>40171.66667</v>
      </c>
      <c r="B6073" s="1">
        <f>IFERROR(__xludf.DUMMYFUNCTION("""COMPUTED_VALUE"""),1121.07)</f>
        <v>1121.07</v>
      </c>
      <c r="C6073" s="1">
        <f>IFERROR(__xludf.DUMMYFUNCTION("""COMPUTED_VALUE"""),1126.48)</f>
        <v>1126.48</v>
      </c>
      <c r="D6073" s="1">
        <f>IFERROR(__xludf.DUMMYFUNCTION("""COMPUTED_VALUE"""),1121.07)</f>
        <v>1121.07</v>
      </c>
      <c r="E6073" s="1">
        <f>IFERROR(__xludf.DUMMYFUNCTION("""COMPUTED_VALUE"""),1126.48)</f>
        <v>1126.48</v>
      </c>
      <c r="F6073" s="1">
        <f>IFERROR(__xludf.DUMMYFUNCTION("""COMPUTED_VALUE"""),1.26771E8)</f>
        <v>126771000</v>
      </c>
    </row>
    <row r="6074">
      <c r="A6074" s="2">
        <f>IFERROR(__xludf.DUMMYFUNCTION("""COMPUTED_VALUE"""),40175.666666666664)</f>
        <v>40175.66667</v>
      </c>
      <c r="B6074" s="1">
        <f>IFERROR(__xludf.DUMMYFUNCTION("""COMPUTED_VALUE"""),1127.53)</f>
        <v>1127.53</v>
      </c>
      <c r="C6074" s="1">
        <f>IFERROR(__xludf.DUMMYFUNCTION("""COMPUTED_VALUE"""),1130.38)</f>
        <v>1130.38</v>
      </c>
      <c r="D6074" s="1">
        <f>IFERROR(__xludf.DUMMYFUNCTION("""COMPUTED_VALUE"""),1123.51)</f>
        <v>1123.51</v>
      </c>
      <c r="E6074" s="1">
        <f>IFERROR(__xludf.DUMMYFUNCTION("""COMPUTED_VALUE"""),1127.78)</f>
        <v>1127.78</v>
      </c>
      <c r="F6074" s="1">
        <f>IFERROR(__xludf.DUMMYFUNCTION("""COMPUTED_VALUE"""),2.7164E8)</f>
        <v>271640000</v>
      </c>
    </row>
    <row r="6075">
      <c r="A6075" s="2">
        <f>IFERROR(__xludf.DUMMYFUNCTION("""COMPUTED_VALUE"""),40176.666666666664)</f>
        <v>40176.66667</v>
      </c>
      <c r="B6075" s="1">
        <f>IFERROR(__xludf.DUMMYFUNCTION("""COMPUTED_VALUE"""),1128.55)</f>
        <v>1128.55</v>
      </c>
      <c r="C6075" s="1">
        <f>IFERROR(__xludf.DUMMYFUNCTION("""COMPUTED_VALUE"""),1130.38)</f>
        <v>1130.38</v>
      </c>
      <c r="D6075" s="1">
        <f>IFERROR(__xludf.DUMMYFUNCTION("""COMPUTED_VALUE"""),1126.07)</f>
        <v>1126.07</v>
      </c>
      <c r="E6075" s="1">
        <f>IFERROR(__xludf.DUMMYFUNCTION("""COMPUTED_VALUE"""),1126.19)</f>
        <v>1126.19</v>
      </c>
      <c r="F6075" s="1">
        <f>IFERROR(__xludf.DUMMYFUNCTION("""COMPUTED_VALUE"""),2.49102E8)</f>
        <v>249102000</v>
      </c>
    </row>
    <row r="6076">
      <c r="A6076" s="2">
        <f>IFERROR(__xludf.DUMMYFUNCTION("""COMPUTED_VALUE"""),40177.666666666664)</f>
        <v>40177.66667</v>
      </c>
      <c r="B6076" s="1">
        <f>IFERROR(__xludf.DUMMYFUNCTION("""COMPUTED_VALUE"""),1125.53)</f>
        <v>1125.53</v>
      </c>
      <c r="C6076" s="1">
        <f>IFERROR(__xludf.DUMMYFUNCTION("""COMPUTED_VALUE"""),1126.42)</f>
        <v>1126.42</v>
      </c>
      <c r="D6076" s="1">
        <f>IFERROR(__xludf.DUMMYFUNCTION("""COMPUTED_VALUE"""),1121.93)</f>
        <v>1121.93</v>
      </c>
      <c r="E6076" s="1">
        <f>IFERROR(__xludf.DUMMYFUNCTION("""COMPUTED_VALUE"""),1126.42)</f>
        <v>1126.42</v>
      </c>
      <c r="F6076" s="1">
        <f>IFERROR(__xludf.DUMMYFUNCTION("""COMPUTED_VALUE"""),2.2773E8)</f>
        <v>227730000</v>
      </c>
    </row>
    <row r="6077">
      <c r="A6077" s="2">
        <f>IFERROR(__xludf.DUMMYFUNCTION("""COMPUTED_VALUE"""),40178.666666666664)</f>
        <v>40178.66667</v>
      </c>
      <c r="B6077" s="1">
        <f>IFERROR(__xludf.DUMMYFUNCTION("""COMPUTED_VALUE"""),1126.6)</f>
        <v>1126.6</v>
      </c>
      <c r="C6077" s="1">
        <f>IFERROR(__xludf.DUMMYFUNCTION("""COMPUTED_VALUE"""),1127.64)</f>
        <v>1127.64</v>
      </c>
      <c r="D6077" s="1">
        <f>IFERROR(__xludf.DUMMYFUNCTION("""COMPUTED_VALUE"""),1114.81)</f>
        <v>1114.81</v>
      </c>
      <c r="E6077" s="1">
        <f>IFERROR(__xludf.DUMMYFUNCTION("""COMPUTED_VALUE"""),1115.1)</f>
        <v>1115.1</v>
      </c>
      <c r="F6077" s="1">
        <f>IFERROR(__xludf.DUMMYFUNCTION("""COMPUTED_VALUE"""),2.07699008E8)</f>
        <v>207699008</v>
      </c>
    </row>
    <row r="6078">
      <c r="A6078" s="2">
        <f>IFERROR(__xludf.DUMMYFUNCTION("""COMPUTED_VALUE"""),40182.666666666664)</f>
        <v>40182.66667</v>
      </c>
      <c r="B6078" s="1">
        <f>IFERROR(__xludf.DUMMYFUNCTION("""COMPUTED_VALUE"""),1116.56)</f>
        <v>1116.56</v>
      </c>
      <c r="C6078" s="1">
        <f>IFERROR(__xludf.DUMMYFUNCTION("""COMPUTED_VALUE"""),1133.87)</f>
        <v>1133.87</v>
      </c>
      <c r="D6078" s="1">
        <f>IFERROR(__xludf.DUMMYFUNCTION("""COMPUTED_VALUE"""),1116.56)</f>
        <v>1116.56</v>
      </c>
      <c r="E6078" s="1">
        <f>IFERROR(__xludf.DUMMYFUNCTION("""COMPUTED_VALUE"""),1132.99)</f>
        <v>1132.99</v>
      </c>
      <c r="F6078" s="1">
        <f>IFERROR(__xludf.DUMMYFUNCTION("""COMPUTED_VALUE"""),3.9914E8)</f>
        <v>399140000</v>
      </c>
    </row>
    <row r="6079">
      <c r="A6079" s="2">
        <f>IFERROR(__xludf.DUMMYFUNCTION("""COMPUTED_VALUE"""),40183.666666666664)</f>
        <v>40183.66667</v>
      </c>
      <c r="B6079" s="1">
        <f>IFERROR(__xludf.DUMMYFUNCTION("""COMPUTED_VALUE"""),1132.66)</f>
        <v>1132.66</v>
      </c>
      <c r="C6079" s="1">
        <f>IFERROR(__xludf.DUMMYFUNCTION("""COMPUTED_VALUE"""),1136.63)</f>
        <v>1136.63</v>
      </c>
      <c r="D6079" s="1">
        <f>IFERROR(__xludf.DUMMYFUNCTION("""COMPUTED_VALUE"""),1129.66)</f>
        <v>1129.66</v>
      </c>
      <c r="E6079" s="1">
        <f>IFERROR(__xludf.DUMMYFUNCTION("""COMPUTED_VALUE"""),1136.52)</f>
        <v>1136.52</v>
      </c>
      <c r="F6079" s="1">
        <f>IFERROR(__xludf.DUMMYFUNCTION("""COMPUTED_VALUE"""),2.49102E8)</f>
        <v>249102000</v>
      </c>
    </row>
    <row r="6080">
      <c r="A6080" s="2">
        <f>IFERROR(__xludf.DUMMYFUNCTION("""COMPUTED_VALUE"""),40184.666666666664)</f>
        <v>40184.66667</v>
      </c>
      <c r="B6080" s="1">
        <f>IFERROR(__xludf.DUMMYFUNCTION("""COMPUTED_VALUE"""),1135.71)</f>
        <v>1135.71</v>
      </c>
      <c r="C6080" s="1">
        <f>IFERROR(__xludf.DUMMYFUNCTION("""COMPUTED_VALUE"""),1139.18)</f>
        <v>1139.18</v>
      </c>
      <c r="D6080" s="1">
        <f>IFERROR(__xludf.DUMMYFUNCTION("""COMPUTED_VALUE"""),1133.94)</f>
        <v>1133.94</v>
      </c>
      <c r="E6080" s="1">
        <f>IFERROR(__xludf.DUMMYFUNCTION("""COMPUTED_VALUE"""),1137.14)</f>
        <v>1137.14</v>
      </c>
      <c r="F6080" s="1">
        <f>IFERROR(__xludf.DUMMYFUNCTION("""COMPUTED_VALUE"""),4.97265984E8)</f>
        <v>497265984</v>
      </c>
    </row>
    <row r="6081">
      <c r="A6081" s="2">
        <f>IFERROR(__xludf.DUMMYFUNCTION("""COMPUTED_VALUE"""),40185.666666666664)</f>
        <v>40185.66667</v>
      </c>
      <c r="B6081" s="1">
        <f>IFERROR(__xludf.DUMMYFUNCTION("""COMPUTED_VALUE"""),1136.27)</f>
        <v>1136.27</v>
      </c>
      <c r="C6081" s="1">
        <f>IFERROR(__xludf.DUMMYFUNCTION("""COMPUTED_VALUE"""),1142.46)</f>
        <v>1142.46</v>
      </c>
      <c r="D6081" s="1">
        <f>IFERROR(__xludf.DUMMYFUNCTION("""COMPUTED_VALUE"""),1131.31)</f>
        <v>1131.31</v>
      </c>
      <c r="E6081" s="1">
        <f>IFERROR(__xludf.DUMMYFUNCTION("""COMPUTED_VALUE"""),1141.68)</f>
        <v>1141.68</v>
      </c>
      <c r="F6081" s="1">
        <f>IFERROR(__xludf.DUMMYFUNCTION("""COMPUTED_VALUE"""),5.27068E8)</f>
        <v>527068000</v>
      </c>
    </row>
    <row r="6082">
      <c r="A6082" s="2">
        <f>IFERROR(__xludf.DUMMYFUNCTION("""COMPUTED_VALUE"""),40186.666666666664)</f>
        <v>40186.66667</v>
      </c>
      <c r="B6082" s="1">
        <f>IFERROR(__xludf.DUMMYFUNCTION("""COMPUTED_VALUE"""),1140.52)</f>
        <v>1140.52</v>
      </c>
      <c r="C6082" s="1">
        <f>IFERROR(__xludf.DUMMYFUNCTION("""COMPUTED_VALUE"""),1145.39)</f>
        <v>1145.39</v>
      </c>
      <c r="D6082" s="1">
        <f>IFERROR(__xludf.DUMMYFUNCTION("""COMPUTED_VALUE"""),1136.22)</f>
        <v>1136.22</v>
      </c>
      <c r="E6082" s="1">
        <f>IFERROR(__xludf.DUMMYFUNCTION("""COMPUTED_VALUE"""),1144.98)</f>
        <v>1144.98</v>
      </c>
      <c r="F6082" s="1">
        <f>IFERROR(__xludf.DUMMYFUNCTION("""COMPUTED_VALUE"""),4.38959008E8)</f>
        <v>438959008</v>
      </c>
    </row>
    <row r="6083">
      <c r="A6083" s="2">
        <f>IFERROR(__xludf.DUMMYFUNCTION("""COMPUTED_VALUE"""),40189.666666666664)</f>
        <v>40189.66667</v>
      </c>
      <c r="B6083" s="1">
        <f>IFERROR(__xludf.DUMMYFUNCTION("""COMPUTED_VALUE"""),1145.96)</f>
        <v>1145.96</v>
      </c>
      <c r="C6083" s="1">
        <f>IFERROR(__xludf.DUMMYFUNCTION("""COMPUTED_VALUE"""),1149.74)</f>
        <v>1149.74</v>
      </c>
      <c r="D6083" s="1">
        <f>IFERROR(__xludf.DUMMYFUNCTION("""COMPUTED_VALUE"""),1047.28)</f>
        <v>1047.28</v>
      </c>
      <c r="E6083" s="1">
        <f>IFERROR(__xludf.DUMMYFUNCTION("""COMPUTED_VALUE"""),1146.98)</f>
        <v>1146.98</v>
      </c>
      <c r="F6083" s="1">
        <f>IFERROR(__xludf.DUMMYFUNCTION("""COMPUTED_VALUE"""),4.25577984E8)</f>
        <v>425577984</v>
      </c>
    </row>
    <row r="6084">
      <c r="A6084" s="2">
        <f>IFERROR(__xludf.DUMMYFUNCTION("""COMPUTED_VALUE"""),40190.666666666664)</f>
        <v>40190.66667</v>
      </c>
      <c r="B6084" s="1">
        <f>IFERROR(__xludf.DUMMYFUNCTION("""COMPUTED_VALUE"""),1143.81)</f>
        <v>1143.81</v>
      </c>
      <c r="C6084" s="1">
        <f>IFERROR(__xludf.DUMMYFUNCTION("""COMPUTED_VALUE"""),1143.81)</f>
        <v>1143.81</v>
      </c>
      <c r="D6084" s="1">
        <f>IFERROR(__xludf.DUMMYFUNCTION("""COMPUTED_VALUE"""),1131.77)</f>
        <v>1131.77</v>
      </c>
      <c r="E6084" s="1">
        <f>IFERROR(__xludf.DUMMYFUNCTION("""COMPUTED_VALUE"""),1136.22)</f>
        <v>1136.22</v>
      </c>
      <c r="F6084" s="1">
        <f>IFERROR(__xludf.DUMMYFUNCTION("""COMPUTED_VALUE"""),4.71616E8)</f>
        <v>471616000</v>
      </c>
    </row>
    <row r="6085">
      <c r="A6085" s="2">
        <f>IFERROR(__xludf.DUMMYFUNCTION("""COMPUTED_VALUE"""),40191.666666666664)</f>
        <v>40191.66667</v>
      </c>
      <c r="B6085" s="1">
        <f>IFERROR(__xludf.DUMMYFUNCTION("""COMPUTED_VALUE"""),1137.31)</f>
        <v>1137.31</v>
      </c>
      <c r="C6085" s="1">
        <f>IFERROR(__xludf.DUMMYFUNCTION("""COMPUTED_VALUE"""),1148.4)</f>
        <v>1148.4</v>
      </c>
      <c r="D6085" s="1">
        <f>IFERROR(__xludf.DUMMYFUNCTION("""COMPUTED_VALUE"""),1133.18)</f>
        <v>1133.18</v>
      </c>
      <c r="E6085" s="1">
        <f>IFERROR(__xludf.DUMMYFUNCTION("""COMPUTED_VALUE"""),1145.68)</f>
        <v>1145.68</v>
      </c>
      <c r="F6085" s="1">
        <f>IFERROR(__xludf.DUMMYFUNCTION("""COMPUTED_VALUE"""),4.17036E8)</f>
        <v>417036000</v>
      </c>
    </row>
    <row r="6086">
      <c r="A6086" s="2">
        <f>IFERROR(__xludf.DUMMYFUNCTION("""COMPUTED_VALUE"""),40192.666666666664)</f>
        <v>40192.66667</v>
      </c>
      <c r="B6086" s="1">
        <f>IFERROR(__xludf.DUMMYFUNCTION("""COMPUTED_VALUE"""),1145.68)</f>
        <v>1145.68</v>
      </c>
      <c r="C6086" s="1">
        <f>IFERROR(__xludf.DUMMYFUNCTION("""COMPUTED_VALUE"""),1150.41)</f>
        <v>1150.41</v>
      </c>
      <c r="D6086" s="1">
        <f>IFERROR(__xludf.DUMMYFUNCTION("""COMPUTED_VALUE"""),1143.8)</f>
        <v>1143.8</v>
      </c>
      <c r="E6086" s="1">
        <f>IFERROR(__xludf.DUMMYFUNCTION("""COMPUTED_VALUE"""),1148.46)</f>
        <v>1148.46</v>
      </c>
      <c r="F6086" s="1">
        <f>IFERROR(__xludf.DUMMYFUNCTION("""COMPUTED_VALUE"""),3.9152E8)</f>
        <v>391520000</v>
      </c>
    </row>
    <row r="6087">
      <c r="A6087" s="2">
        <f>IFERROR(__xludf.DUMMYFUNCTION("""COMPUTED_VALUE"""),40193.666666666664)</f>
        <v>40193.66667</v>
      </c>
      <c r="B6087" s="1">
        <f>IFERROR(__xludf.DUMMYFUNCTION("""COMPUTED_VALUE"""),1147.72)</f>
        <v>1147.72</v>
      </c>
      <c r="C6087" s="1">
        <f>IFERROR(__xludf.DUMMYFUNCTION("""COMPUTED_VALUE"""),1147.77)</f>
        <v>1147.77</v>
      </c>
      <c r="D6087" s="1">
        <f>IFERROR(__xludf.DUMMYFUNCTION("""COMPUTED_VALUE"""),1131.39)</f>
        <v>1131.39</v>
      </c>
      <c r="E6087" s="1">
        <f>IFERROR(__xludf.DUMMYFUNCTION("""COMPUTED_VALUE"""),1136.03)</f>
        <v>1136.03</v>
      </c>
      <c r="F6087" s="1">
        <f>IFERROR(__xludf.DUMMYFUNCTION("""COMPUTED_VALUE"""),4.75872992E8)</f>
        <v>475872992</v>
      </c>
    </row>
    <row r="6088">
      <c r="A6088" s="2">
        <f>IFERROR(__xludf.DUMMYFUNCTION("""COMPUTED_VALUE"""),40197.666666666664)</f>
        <v>40197.66667</v>
      </c>
      <c r="B6088" s="1">
        <f>IFERROR(__xludf.DUMMYFUNCTION("""COMPUTED_VALUE"""),1136.03)</f>
        <v>1136.03</v>
      </c>
      <c r="C6088" s="1">
        <f>IFERROR(__xludf.DUMMYFUNCTION("""COMPUTED_VALUE"""),1150.44)</f>
        <v>1150.44</v>
      </c>
      <c r="D6088" s="1">
        <f>IFERROR(__xludf.DUMMYFUNCTION("""COMPUTED_VALUE"""),1135.77)</f>
        <v>1135.77</v>
      </c>
      <c r="E6088" s="1">
        <f>IFERROR(__xludf.DUMMYFUNCTION("""COMPUTED_VALUE"""),1150.23)</f>
        <v>1150.23</v>
      </c>
      <c r="F6088" s="1">
        <f>IFERROR(__xludf.DUMMYFUNCTION("""COMPUTED_VALUE"""),4.72483008E8)</f>
        <v>472483008</v>
      </c>
    </row>
    <row r="6089">
      <c r="A6089" s="2">
        <f>IFERROR(__xludf.DUMMYFUNCTION("""COMPUTED_VALUE"""),40198.666666666664)</f>
        <v>40198.66667</v>
      </c>
      <c r="B6089" s="1">
        <f>IFERROR(__xludf.DUMMYFUNCTION("""COMPUTED_VALUE"""),1147.94)</f>
        <v>1147.94</v>
      </c>
      <c r="C6089" s="1">
        <f>IFERROR(__xludf.DUMMYFUNCTION("""COMPUTED_VALUE"""),1147.94)</f>
        <v>1147.94</v>
      </c>
      <c r="D6089" s="1">
        <f>IFERROR(__xludf.DUMMYFUNCTION("""COMPUTED_VALUE"""),1129.25)</f>
        <v>1129.25</v>
      </c>
      <c r="E6089" s="1">
        <f>IFERROR(__xludf.DUMMYFUNCTION("""COMPUTED_VALUE"""),1138.04)</f>
        <v>1138.04</v>
      </c>
      <c r="F6089" s="1">
        <f>IFERROR(__xludf.DUMMYFUNCTION("""COMPUTED_VALUE"""),4.81056E8)</f>
        <v>481056000</v>
      </c>
    </row>
    <row r="6090">
      <c r="A6090" s="2">
        <f>IFERROR(__xludf.DUMMYFUNCTION("""COMPUTED_VALUE"""),40199.666666666664)</f>
        <v>40199.66667</v>
      </c>
      <c r="B6090" s="1">
        <f>IFERROR(__xludf.DUMMYFUNCTION("""COMPUTED_VALUE"""),1138.68)</f>
        <v>1138.68</v>
      </c>
      <c r="C6090" s="1">
        <f>IFERROR(__xludf.DUMMYFUNCTION("""COMPUTED_VALUE"""),1141.57)</f>
        <v>1141.57</v>
      </c>
      <c r="D6090" s="1">
        <f>IFERROR(__xludf.DUMMYFUNCTION("""COMPUTED_VALUE"""),1114.84)</f>
        <v>1114.84</v>
      </c>
      <c r="E6090" s="1">
        <f>IFERROR(__xludf.DUMMYFUNCTION("""COMPUTED_VALUE"""),1116.48)</f>
        <v>1116.48</v>
      </c>
      <c r="F6090" s="1">
        <f>IFERROR(__xludf.DUMMYFUNCTION("""COMPUTED_VALUE"""),6.87428992E8)</f>
        <v>687428992</v>
      </c>
    </row>
    <row r="6091">
      <c r="A6091" s="2">
        <f>IFERROR(__xludf.DUMMYFUNCTION("""COMPUTED_VALUE"""),40200.666666666664)</f>
        <v>40200.66667</v>
      </c>
      <c r="B6091" s="1">
        <f>IFERROR(__xludf.DUMMYFUNCTION("""COMPUTED_VALUE"""),1115.49)</f>
        <v>1115.49</v>
      </c>
      <c r="C6091" s="1">
        <f>IFERROR(__xludf.DUMMYFUNCTION("""COMPUTED_VALUE"""),1115.49)</f>
        <v>1115.49</v>
      </c>
      <c r="D6091" s="1">
        <f>IFERROR(__xludf.DUMMYFUNCTION("""COMPUTED_VALUE"""),1090.18)</f>
        <v>1090.18</v>
      </c>
      <c r="E6091" s="1">
        <f>IFERROR(__xludf.DUMMYFUNCTION("""COMPUTED_VALUE"""),1091.76)</f>
        <v>1091.76</v>
      </c>
      <c r="F6091" s="1">
        <f>IFERROR(__xludf.DUMMYFUNCTION("""COMPUTED_VALUE"""),6.20865024E8)</f>
        <v>620865024</v>
      </c>
    </row>
    <row r="6092">
      <c r="A6092" s="2">
        <f>IFERROR(__xludf.DUMMYFUNCTION("""COMPUTED_VALUE"""),40203.666666666664)</f>
        <v>40203.66667</v>
      </c>
      <c r="B6092" s="1">
        <f>IFERROR(__xludf.DUMMYFUNCTION("""COMPUTED_VALUE"""),1092.4)</f>
        <v>1092.4</v>
      </c>
      <c r="C6092" s="1">
        <f>IFERROR(__xludf.DUMMYFUNCTION("""COMPUTED_VALUE"""),1102.97)</f>
        <v>1102.97</v>
      </c>
      <c r="D6092" s="1">
        <f>IFERROR(__xludf.DUMMYFUNCTION("""COMPUTED_VALUE"""),1092.4)</f>
        <v>1092.4</v>
      </c>
      <c r="E6092" s="1">
        <f>IFERROR(__xludf.DUMMYFUNCTION("""COMPUTED_VALUE"""),1096.78)</f>
        <v>1096.78</v>
      </c>
      <c r="F6092" s="1">
        <f>IFERROR(__xludf.DUMMYFUNCTION("""COMPUTED_VALUE"""),4.48139008E8)</f>
        <v>448139008</v>
      </c>
    </row>
    <row r="6093">
      <c r="A6093" s="2">
        <f>IFERROR(__xludf.DUMMYFUNCTION("""COMPUTED_VALUE"""),40204.666666666664)</f>
        <v>40204.66667</v>
      </c>
      <c r="B6093" s="1">
        <f>IFERROR(__xludf.DUMMYFUNCTION("""COMPUTED_VALUE"""),1095.8)</f>
        <v>1095.8</v>
      </c>
      <c r="C6093" s="1">
        <f>IFERROR(__xludf.DUMMYFUNCTION("""COMPUTED_VALUE"""),1103.68)</f>
        <v>1103.68</v>
      </c>
      <c r="D6093" s="1">
        <f>IFERROR(__xludf.DUMMYFUNCTION("""COMPUTED_VALUE"""),1089.86)</f>
        <v>1089.86</v>
      </c>
      <c r="E6093" s="1">
        <f>IFERROR(__xludf.DUMMYFUNCTION("""COMPUTED_VALUE"""),1092.17)</f>
        <v>1092.17</v>
      </c>
      <c r="F6093" s="1">
        <f>IFERROR(__xludf.DUMMYFUNCTION("""COMPUTED_VALUE"""),4.73191008E8)</f>
        <v>473191008</v>
      </c>
    </row>
    <row r="6094">
      <c r="A6094" s="2">
        <f>IFERROR(__xludf.DUMMYFUNCTION("""COMPUTED_VALUE"""),40205.666666666664)</f>
        <v>40205.66667</v>
      </c>
      <c r="B6094" s="1">
        <f>IFERROR(__xludf.DUMMYFUNCTION("""COMPUTED_VALUE"""),1091.93)</f>
        <v>1091.93</v>
      </c>
      <c r="C6094" s="1">
        <f>IFERROR(__xludf.DUMMYFUNCTION("""COMPUTED_VALUE"""),1099.51)</f>
        <v>1099.51</v>
      </c>
      <c r="D6094" s="1">
        <f>IFERROR(__xludf.DUMMYFUNCTION("""COMPUTED_VALUE"""),1083.11)</f>
        <v>1083.11</v>
      </c>
      <c r="E6094" s="1">
        <f>IFERROR(__xludf.DUMMYFUNCTION("""COMPUTED_VALUE"""),1097.5)</f>
        <v>1097.5</v>
      </c>
      <c r="F6094" s="1">
        <f>IFERROR(__xludf.DUMMYFUNCTION("""COMPUTED_VALUE"""),5.31912E8)</f>
        <v>531912000</v>
      </c>
    </row>
    <row r="6095">
      <c r="A6095" s="2">
        <f>IFERROR(__xludf.DUMMYFUNCTION("""COMPUTED_VALUE"""),40206.666666666664)</f>
        <v>40206.66667</v>
      </c>
      <c r="B6095" s="1">
        <f>IFERROR(__xludf.DUMMYFUNCTION("""COMPUTED_VALUE"""),1096.93)</f>
        <v>1096.93</v>
      </c>
      <c r="C6095" s="1">
        <f>IFERROR(__xludf.DUMMYFUNCTION("""COMPUTED_VALUE"""),1100.22)</f>
        <v>1100.22</v>
      </c>
      <c r="D6095" s="1">
        <f>IFERROR(__xludf.DUMMYFUNCTION("""COMPUTED_VALUE"""),1078.46)</f>
        <v>1078.46</v>
      </c>
      <c r="E6095" s="1">
        <f>IFERROR(__xludf.DUMMYFUNCTION("""COMPUTED_VALUE"""),1084.53)</f>
        <v>1084.53</v>
      </c>
      <c r="F6095" s="1">
        <f>IFERROR(__xludf.DUMMYFUNCTION("""COMPUTED_VALUE"""),5.4524E8)</f>
        <v>545240000</v>
      </c>
    </row>
    <row r="6096">
      <c r="A6096" s="2">
        <f>IFERROR(__xludf.DUMMYFUNCTION("""COMPUTED_VALUE"""),40207.666666666664)</f>
        <v>40207.66667</v>
      </c>
      <c r="B6096" s="1">
        <f>IFERROR(__xludf.DUMMYFUNCTION("""COMPUTED_VALUE"""),1087.61)</f>
        <v>1087.61</v>
      </c>
      <c r="C6096" s="1">
        <f>IFERROR(__xludf.DUMMYFUNCTION("""COMPUTED_VALUE"""),1096.44)</f>
        <v>1096.44</v>
      </c>
      <c r="D6096" s="1">
        <f>IFERROR(__xludf.DUMMYFUNCTION("""COMPUTED_VALUE"""),1071.59)</f>
        <v>1071.59</v>
      </c>
      <c r="E6096" s="1">
        <f>IFERROR(__xludf.DUMMYFUNCTION("""COMPUTED_VALUE"""),1073.87)</f>
        <v>1073.87</v>
      </c>
      <c r="F6096" s="1">
        <f>IFERROR(__xludf.DUMMYFUNCTION("""COMPUTED_VALUE"""),5.41284992E8)</f>
        <v>541284992</v>
      </c>
    </row>
    <row r="6097">
      <c r="A6097" s="2">
        <f>IFERROR(__xludf.DUMMYFUNCTION("""COMPUTED_VALUE"""),40210.666666666664)</f>
        <v>40210.66667</v>
      </c>
      <c r="B6097" s="1">
        <f>IFERROR(__xludf.DUMMYFUNCTION("""COMPUTED_VALUE"""),1073.89)</f>
        <v>1073.89</v>
      </c>
      <c r="C6097" s="1">
        <f>IFERROR(__xludf.DUMMYFUNCTION("""COMPUTED_VALUE"""),1089.38)</f>
        <v>1089.38</v>
      </c>
      <c r="D6097" s="1">
        <f>IFERROR(__xludf.DUMMYFUNCTION("""COMPUTED_VALUE"""),1073.89)</f>
        <v>1073.89</v>
      </c>
      <c r="E6097" s="1">
        <f>IFERROR(__xludf.DUMMYFUNCTION("""COMPUTED_VALUE"""),1089.18)</f>
        <v>1089.18</v>
      </c>
      <c r="F6097" s="1">
        <f>IFERROR(__xludf.DUMMYFUNCTION("""COMPUTED_VALUE"""),4.07760992E8)</f>
        <v>407760992</v>
      </c>
    </row>
    <row r="6098">
      <c r="A6098" s="2">
        <f>IFERROR(__xludf.DUMMYFUNCTION("""COMPUTED_VALUE"""),40211.666666666664)</f>
        <v>40211.66667</v>
      </c>
      <c r="B6098" s="1">
        <f>IFERROR(__xludf.DUMMYFUNCTION("""COMPUTED_VALUE"""),1090.05)</f>
        <v>1090.05</v>
      </c>
      <c r="C6098" s="1">
        <f>IFERROR(__xludf.DUMMYFUNCTION("""COMPUTED_VALUE"""),1104.73)</f>
        <v>1104.73</v>
      </c>
      <c r="D6098" s="1">
        <f>IFERROR(__xludf.DUMMYFUNCTION("""COMPUTED_VALUE"""),1087.96)</f>
        <v>1087.96</v>
      </c>
      <c r="E6098" s="1">
        <f>IFERROR(__xludf.DUMMYFUNCTION("""COMPUTED_VALUE"""),1103.31)</f>
        <v>1103.31</v>
      </c>
      <c r="F6098" s="1">
        <f>IFERROR(__xludf.DUMMYFUNCTION("""COMPUTED_VALUE"""),4.74953984E8)</f>
        <v>474953984</v>
      </c>
    </row>
    <row r="6099">
      <c r="A6099" s="2">
        <f>IFERROR(__xludf.DUMMYFUNCTION("""COMPUTED_VALUE"""),40212.666666666664)</f>
        <v>40212.66667</v>
      </c>
      <c r="B6099" s="1">
        <f>IFERROR(__xludf.DUMMYFUNCTION("""COMPUTED_VALUE"""),1100.67)</f>
        <v>1100.67</v>
      </c>
      <c r="C6099" s="1">
        <f>IFERROR(__xludf.DUMMYFUNCTION("""COMPUTED_VALUE"""),1102.72)</f>
        <v>1102.72</v>
      </c>
      <c r="D6099" s="1">
        <f>IFERROR(__xludf.DUMMYFUNCTION("""COMPUTED_VALUE"""),1093.97)</f>
        <v>1093.97</v>
      </c>
      <c r="E6099" s="1">
        <f>IFERROR(__xludf.DUMMYFUNCTION("""COMPUTED_VALUE"""),1097.28)</f>
        <v>1097.28</v>
      </c>
      <c r="F6099" s="1">
        <f>IFERROR(__xludf.DUMMYFUNCTION("""COMPUTED_VALUE"""),4.28544992E8)</f>
        <v>428544992</v>
      </c>
    </row>
    <row r="6100">
      <c r="A6100" s="2">
        <f>IFERROR(__xludf.DUMMYFUNCTION("""COMPUTED_VALUE"""),40213.666666666664)</f>
        <v>40213.66667</v>
      </c>
      <c r="B6100" s="1">
        <f>IFERROR(__xludf.DUMMYFUNCTION("""COMPUTED_VALUE"""),1097.25)</f>
        <v>1097.25</v>
      </c>
      <c r="C6100" s="1">
        <f>IFERROR(__xludf.DUMMYFUNCTION("""COMPUTED_VALUE"""),1097.25)</f>
        <v>1097.25</v>
      </c>
      <c r="D6100" s="1">
        <f>IFERROR(__xludf.DUMMYFUNCTION("""COMPUTED_VALUE"""),1062.78)</f>
        <v>1062.78</v>
      </c>
      <c r="E6100" s="1">
        <f>IFERROR(__xludf.DUMMYFUNCTION("""COMPUTED_VALUE"""),1063.11)</f>
        <v>1063.11</v>
      </c>
      <c r="F6100" s="1">
        <f>IFERROR(__xludf.DUMMYFUNCTION("""COMPUTED_VALUE"""),5.85969024E8)</f>
        <v>585969024</v>
      </c>
    </row>
    <row r="6101">
      <c r="A6101" s="2">
        <f>IFERROR(__xludf.DUMMYFUNCTION("""COMPUTED_VALUE"""),40214.666666666664)</f>
        <v>40214.66667</v>
      </c>
      <c r="B6101" s="1">
        <f>IFERROR(__xludf.DUMMYFUNCTION("""COMPUTED_VALUE"""),1064.12)</f>
        <v>1064.12</v>
      </c>
      <c r="C6101" s="1">
        <f>IFERROR(__xludf.DUMMYFUNCTION("""COMPUTED_VALUE"""),1067.13)</f>
        <v>1067.13</v>
      </c>
      <c r="D6101" s="1">
        <f>IFERROR(__xludf.DUMMYFUNCTION("""COMPUTED_VALUE"""),1044.5)</f>
        <v>1044.5</v>
      </c>
      <c r="E6101" s="1">
        <f>IFERROR(__xludf.DUMMYFUNCTION("""COMPUTED_VALUE"""),1066.18)</f>
        <v>1066.18</v>
      </c>
      <c r="F6101" s="1">
        <f>IFERROR(__xludf.DUMMYFUNCTION("""COMPUTED_VALUE"""),6.43889984E8)</f>
        <v>643889984</v>
      </c>
    </row>
    <row r="6102">
      <c r="A6102" s="2">
        <f>IFERROR(__xludf.DUMMYFUNCTION("""COMPUTED_VALUE"""),40217.666666666664)</f>
        <v>40217.66667</v>
      </c>
      <c r="B6102" s="1">
        <f>IFERROR(__xludf.DUMMYFUNCTION("""COMPUTED_VALUE"""),1065.51)</f>
        <v>1065.51</v>
      </c>
      <c r="C6102" s="1">
        <f>IFERROR(__xludf.DUMMYFUNCTION("""COMPUTED_VALUE"""),1071.19)</f>
        <v>1071.19</v>
      </c>
      <c r="D6102" s="1">
        <f>IFERROR(__xludf.DUMMYFUNCTION("""COMPUTED_VALUE"""),1056.51)</f>
        <v>1056.51</v>
      </c>
      <c r="E6102" s="1">
        <f>IFERROR(__xludf.DUMMYFUNCTION("""COMPUTED_VALUE"""),1056.74)</f>
        <v>1056.74</v>
      </c>
      <c r="F6102" s="1">
        <f>IFERROR(__xludf.DUMMYFUNCTION("""COMPUTED_VALUE"""),4.08982016E8)</f>
        <v>408982016</v>
      </c>
    </row>
    <row r="6103">
      <c r="A6103" s="2">
        <f>IFERROR(__xludf.DUMMYFUNCTION("""COMPUTED_VALUE"""),40218.666666666664)</f>
        <v>40218.66667</v>
      </c>
      <c r="B6103" s="1">
        <f>IFERROR(__xludf.DUMMYFUNCTION("""COMPUTED_VALUE"""),1060.06)</f>
        <v>1060.06</v>
      </c>
      <c r="C6103" s="1">
        <f>IFERROR(__xludf.DUMMYFUNCTION("""COMPUTED_VALUE"""),1079.28)</f>
        <v>1079.28</v>
      </c>
      <c r="D6103" s="1">
        <f>IFERROR(__xludf.DUMMYFUNCTION("""COMPUTED_VALUE"""),1060.06)</f>
        <v>1060.06</v>
      </c>
      <c r="E6103" s="1">
        <f>IFERROR(__xludf.DUMMYFUNCTION("""COMPUTED_VALUE"""),1070.52)</f>
        <v>1070.52</v>
      </c>
      <c r="F6103" s="1">
        <f>IFERROR(__xludf.DUMMYFUNCTION("""COMPUTED_VALUE"""),5.11425984E8)</f>
        <v>511425984</v>
      </c>
    </row>
    <row r="6104">
      <c r="A6104" s="2">
        <f>IFERROR(__xludf.DUMMYFUNCTION("""COMPUTED_VALUE"""),40219.666666666664)</f>
        <v>40219.66667</v>
      </c>
      <c r="B6104" s="1">
        <f>IFERROR(__xludf.DUMMYFUNCTION("""COMPUTED_VALUE"""),1069.68)</f>
        <v>1069.68</v>
      </c>
      <c r="C6104" s="1">
        <f>IFERROR(__xludf.DUMMYFUNCTION("""COMPUTED_VALUE"""),1073.67)</f>
        <v>1073.67</v>
      </c>
      <c r="D6104" s="1">
        <f>IFERROR(__xludf.DUMMYFUNCTION("""COMPUTED_VALUE"""),1059.34)</f>
        <v>1059.34</v>
      </c>
      <c r="E6104" s="1">
        <f>IFERROR(__xludf.DUMMYFUNCTION("""COMPUTED_VALUE"""),1068.13)</f>
        <v>1068.13</v>
      </c>
      <c r="F6104" s="1">
        <f>IFERROR(__xludf.DUMMYFUNCTION("""COMPUTED_VALUE"""),4.25144992E8)</f>
        <v>425144992</v>
      </c>
    </row>
    <row r="6105">
      <c r="A6105" s="2">
        <f>IFERROR(__xludf.DUMMYFUNCTION("""COMPUTED_VALUE"""),40220.666666666664)</f>
        <v>40220.66667</v>
      </c>
      <c r="B6105" s="1">
        <f>IFERROR(__xludf.DUMMYFUNCTION("""COMPUTED_VALUE"""),1067.1)</f>
        <v>1067.1</v>
      </c>
      <c r="C6105" s="1">
        <f>IFERROR(__xludf.DUMMYFUNCTION("""COMPUTED_VALUE"""),1080.04)</f>
        <v>1080.04</v>
      </c>
      <c r="D6105" s="1">
        <f>IFERROR(__xludf.DUMMYFUNCTION("""COMPUTED_VALUE"""),1060.59)</f>
        <v>1060.59</v>
      </c>
      <c r="E6105" s="1">
        <f>IFERROR(__xludf.DUMMYFUNCTION("""COMPUTED_VALUE"""),1078.47)</f>
        <v>1078.47</v>
      </c>
      <c r="F6105" s="1">
        <f>IFERROR(__xludf.DUMMYFUNCTION("""COMPUTED_VALUE"""),4.40087008E8)</f>
        <v>440087008</v>
      </c>
    </row>
    <row r="6106">
      <c r="A6106" s="2">
        <f>IFERROR(__xludf.DUMMYFUNCTION("""COMPUTED_VALUE"""),40221.666666666664)</f>
        <v>40221.66667</v>
      </c>
      <c r="B6106" s="1">
        <f>IFERROR(__xludf.DUMMYFUNCTION("""COMPUTED_VALUE"""),1075.94)</f>
        <v>1075.94</v>
      </c>
      <c r="C6106" s="1">
        <f>IFERROR(__xludf.DUMMYFUNCTION("""COMPUTED_VALUE"""),1077.81)</f>
        <v>1077.81</v>
      </c>
      <c r="D6106" s="1">
        <f>IFERROR(__xludf.DUMMYFUNCTION("""COMPUTED_VALUE"""),1062.97)</f>
        <v>1062.97</v>
      </c>
      <c r="E6106" s="1">
        <f>IFERROR(__xludf.DUMMYFUNCTION("""COMPUTED_VALUE"""),1075.51)</f>
        <v>1075.51</v>
      </c>
      <c r="F6106" s="1">
        <f>IFERROR(__xludf.DUMMYFUNCTION("""COMPUTED_VALUE"""),4.16068E8)</f>
        <v>416068000</v>
      </c>
    </row>
    <row r="6107">
      <c r="A6107" s="2">
        <f>IFERROR(__xludf.DUMMYFUNCTION("""COMPUTED_VALUE"""),40225.666666666664)</f>
        <v>40225.66667</v>
      </c>
      <c r="B6107" s="1">
        <f>IFERROR(__xludf.DUMMYFUNCTION("""COMPUTED_VALUE"""),1079.13)</f>
        <v>1079.13</v>
      </c>
      <c r="C6107" s="1">
        <f>IFERROR(__xludf.DUMMYFUNCTION("""COMPUTED_VALUE"""),1095.67)</f>
        <v>1095.67</v>
      </c>
      <c r="D6107" s="1">
        <f>IFERROR(__xludf.DUMMYFUNCTION("""COMPUTED_VALUE"""),1079.13)</f>
        <v>1079.13</v>
      </c>
      <c r="E6107" s="1">
        <f>IFERROR(__xludf.DUMMYFUNCTION("""COMPUTED_VALUE"""),1094.87)</f>
        <v>1094.87</v>
      </c>
      <c r="F6107" s="1">
        <f>IFERROR(__xludf.DUMMYFUNCTION("""COMPUTED_VALUE"""),4.08076992E8)</f>
        <v>408076992</v>
      </c>
    </row>
    <row r="6108">
      <c r="A6108" s="2">
        <f>IFERROR(__xludf.DUMMYFUNCTION("""COMPUTED_VALUE"""),40226.666666666664)</f>
        <v>40226.66667</v>
      </c>
      <c r="B6108" s="1">
        <f>IFERROR(__xludf.DUMMYFUNCTION("""COMPUTED_VALUE"""),1096.14)</f>
        <v>1096.14</v>
      </c>
      <c r="C6108" s="1">
        <f>IFERROR(__xludf.DUMMYFUNCTION("""COMPUTED_VALUE"""),1101.03)</f>
        <v>1101.03</v>
      </c>
      <c r="D6108" s="1">
        <f>IFERROR(__xludf.DUMMYFUNCTION("""COMPUTED_VALUE"""),1094.72)</f>
        <v>1094.72</v>
      </c>
      <c r="E6108" s="1">
        <f>IFERROR(__xludf.DUMMYFUNCTION("""COMPUTED_VALUE"""),1099.51)</f>
        <v>1099.51</v>
      </c>
      <c r="F6108" s="1">
        <f>IFERROR(__xludf.DUMMYFUNCTION("""COMPUTED_VALUE"""),4.25923008E8)</f>
        <v>425923008</v>
      </c>
    </row>
    <row r="6109">
      <c r="A6109" s="2">
        <f>IFERROR(__xludf.DUMMYFUNCTION("""COMPUTED_VALUE"""),40227.666666666664)</f>
        <v>40227.66667</v>
      </c>
      <c r="B6109" s="1">
        <f>IFERROR(__xludf.DUMMYFUNCTION("""COMPUTED_VALUE"""),1099.03)</f>
        <v>1099.03</v>
      </c>
      <c r="C6109" s="1">
        <f>IFERROR(__xludf.DUMMYFUNCTION("""COMPUTED_VALUE"""),1108.24)</f>
        <v>1108.24</v>
      </c>
      <c r="D6109" s="1">
        <f>IFERROR(__xludf.DUMMYFUNCTION("""COMPUTED_VALUE"""),1097.48)</f>
        <v>1097.48</v>
      </c>
      <c r="E6109" s="1">
        <f>IFERROR(__xludf.DUMMYFUNCTION("""COMPUTED_VALUE"""),1106.75)</f>
        <v>1106.75</v>
      </c>
      <c r="F6109" s="1">
        <f>IFERROR(__xludf.DUMMYFUNCTION("""COMPUTED_VALUE"""),3.87862016E8)</f>
        <v>387862016</v>
      </c>
    </row>
    <row r="6110">
      <c r="A6110" s="2">
        <f>IFERROR(__xludf.DUMMYFUNCTION("""COMPUTED_VALUE"""),40228.666666666664)</f>
        <v>40228.66667</v>
      </c>
      <c r="B6110" s="1">
        <f>IFERROR(__xludf.DUMMYFUNCTION("""COMPUTED_VALUE"""),1105.49)</f>
        <v>1105.49</v>
      </c>
      <c r="C6110" s="1">
        <f>IFERROR(__xludf.DUMMYFUNCTION("""COMPUTED_VALUE"""),1112.42)</f>
        <v>1112.42</v>
      </c>
      <c r="D6110" s="1">
        <f>IFERROR(__xludf.DUMMYFUNCTION("""COMPUTED_VALUE"""),1100.8)</f>
        <v>1100.8</v>
      </c>
      <c r="E6110" s="1">
        <f>IFERROR(__xludf.DUMMYFUNCTION("""COMPUTED_VALUE"""),1109.17)</f>
        <v>1109.17</v>
      </c>
      <c r="F6110" s="1">
        <f>IFERROR(__xludf.DUMMYFUNCTION("""COMPUTED_VALUE"""),3.94428E8)</f>
        <v>394428000</v>
      </c>
    </row>
    <row r="6111">
      <c r="A6111" s="2">
        <f>IFERROR(__xludf.DUMMYFUNCTION("""COMPUTED_VALUE"""),40231.666666666664)</f>
        <v>40231.66667</v>
      </c>
      <c r="B6111" s="1">
        <f>IFERROR(__xludf.DUMMYFUNCTION("""COMPUTED_VALUE"""),1110.0)</f>
        <v>1110</v>
      </c>
      <c r="C6111" s="1">
        <f>IFERROR(__xludf.DUMMYFUNCTION("""COMPUTED_VALUE"""),1112.29)</f>
        <v>1112.29</v>
      </c>
      <c r="D6111" s="1">
        <f>IFERROR(__xludf.DUMMYFUNCTION("""COMPUTED_VALUE"""),1105.38)</f>
        <v>1105.38</v>
      </c>
      <c r="E6111" s="1">
        <f>IFERROR(__xludf.DUMMYFUNCTION("""COMPUTED_VALUE"""),1108.01)</f>
        <v>1108.01</v>
      </c>
      <c r="F6111" s="1">
        <f>IFERROR(__xludf.DUMMYFUNCTION("""COMPUTED_VALUE"""),3.81444E8)</f>
        <v>381444000</v>
      </c>
    </row>
    <row r="6112">
      <c r="A6112" s="2">
        <f>IFERROR(__xludf.DUMMYFUNCTION("""COMPUTED_VALUE"""),40232.666666666664)</f>
        <v>40232.66667</v>
      </c>
      <c r="B6112" s="1">
        <f>IFERROR(__xludf.DUMMYFUNCTION("""COMPUTED_VALUE"""),1107.49)</f>
        <v>1107.49</v>
      </c>
      <c r="C6112" s="1">
        <f>IFERROR(__xludf.DUMMYFUNCTION("""COMPUTED_VALUE"""),1108.57)</f>
        <v>1108.57</v>
      </c>
      <c r="D6112" s="1">
        <f>IFERROR(__xludf.DUMMYFUNCTION("""COMPUTED_VALUE"""),1092.18)</f>
        <v>1092.18</v>
      </c>
      <c r="E6112" s="1">
        <f>IFERROR(__xludf.DUMMYFUNCTION("""COMPUTED_VALUE"""),1094.6)</f>
        <v>1094.6</v>
      </c>
      <c r="F6112" s="1">
        <f>IFERROR(__xludf.DUMMYFUNCTION("""COMPUTED_VALUE"""),4.52104992E8)</f>
        <v>452104992</v>
      </c>
    </row>
    <row r="6113">
      <c r="A6113" s="2">
        <f>IFERROR(__xludf.DUMMYFUNCTION("""COMPUTED_VALUE"""),40233.666666666664)</f>
        <v>40233.66667</v>
      </c>
      <c r="B6113" s="1">
        <f>IFERROR(__xludf.DUMMYFUNCTION("""COMPUTED_VALUE"""),1095.89)</f>
        <v>1095.89</v>
      </c>
      <c r="C6113" s="1">
        <f>IFERROR(__xludf.DUMMYFUNCTION("""COMPUTED_VALUE"""),1106.42)</f>
        <v>1106.42</v>
      </c>
      <c r="D6113" s="1">
        <f>IFERROR(__xludf.DUMMYFUNCTION("""COMPUTED_VALUE"""),1095.5)</f>
        <v>1095.5</v>
      </c>
      <c r="E6113" s="1">
        <f>IFERROR(__xludf.DUMMYFUNCTION("""COMPUTED_VALUE"""),1105.24)</f>
        <v>1105.24</v>
      </c>
      <c r="F6113" s="1">
        <f>IFERROR(__xludf.DUMMYFUNCTION("""COMPUTED_VALUE"""),4.16836E8)</f>
        <v>416836000</v>
      </c>
    </row>
    <row r="6114">
      <c r="A6114" s="2">
        <f>IFERROR(__xludf.DUMMYFUNCTION("""COMPUTED_VALUE"""),40234.666666666664)</f>
        <v>40234.66667</v>
      </c>
      <c r="B6114" s="1">
        <f>IFERROR(__xludf.DUMMYFUNCTION("""COMPUTED_VALUE"""),1101.24)</f>
        <v>1101.24</v>
      </c>
      <c r="C6114" s="1">
        <f>IFERROR(__xludf.DUMMYFUNCTION("""COMPUTED_VALUE"""),1103.5)</f>
        <v>1103.5</v>
      </c>
      <c r="D6114" s="1">
        <f>IFERROR(__xludf.DUMMYFUNCTION("""COMPUTED_VALUE"""),1086.02)</f>
        <v>1086.02</v>
      </c>
      <c r="E6114" s="1">
        <f>IFERROR(__xludf.DUMMYFUNCTION("""COMPUTED_VALUE"""),1102.93)</f>
        <v>1102.93</v>
      </c>
      <c r="F6114" s="1">
        <f>IFERROR(__xludf.DUMMYFUNCTION("""COMPUTED_VALUE"""),4.52112992E8)</f>
        <v>452112992</v>
      </c>
    </row>
    <row r="6115">
      <c r="A6115" s="2">
        <f>IFERROR(__xludf.DUMMYFUNCTION("""COMPUTED_VALUE"""),40235.666666666664)</f>
        <v>40235.66667</v>
      </c>
      <c r="B6115" s="1">
        <f>IFERROR(__xludf.DUMMYFUNCTION("""COMPUTED_VALUE"""),1103.1)</f>
        <v>1103.1</v>
      </c>
      <c r="C6115" s="1">
        <f>IFERROR(__xludf.DUMMYFUNCTION("""COMPUTED_VALUE"""),1107.24)</f>
        <v>1107.24</v>
      </c>
      <c r="D6115" s="1">
        <f>IFERROR(__xludf.DUMMYFUNCTION("""COMPUTED_VALUE"""),1097.56)</f>
        <v>1097.56</v>
      </c>
      <c r="E6115" s="1">
        <f>IFERROR(__xludf.DUMMYFUNCTION("""COMPUTED_VALUE"""),1104.49)</f>
        <v>1104.49</v>
      </c>
      <c r="F6115" s="1">
        <f>IFERROR(__xludf.DUMMYFUNCTION("""COMPUTED_VALUE"""),3.94519008E8)</f>
        <v>394519008</v>
      </c>
    </row>
    <row r="6116">
      <c r="A6116" s="2">
        <f>IFERROR(__xludf.DUMMYFUNCTION("""COMPUTED_VALUE"""),40238.666666666664)</f>
        <v>40238.66667</v>
      </c>
      <c r="B6116" s="1">
        <f>IFERROR(__xludf.DUMMYFUNCTION("""COMPUTED_VALUE"""),1105.36)</f>
        <v>1105.36</v>
      </c>
      <c r="C6116" s="1">
        <f>IFERROR(__xludf.DUMMYFUNCTION("""COMPUTED_VALUE"""),1116.11)</f>
        <v>1116.11</v>
      </c>
      <c r="D6116" s="1">
        <f>IFERROR(__xludf.DUMMYFUNCTION("""COMPUTED_VALUE"""),1105.36)</f>
        <v>1105.36</v>
      </c>
      <c r="E6116" s="1">
        <f>IFERROR(__xludf.DUMMYFUNCTION("""COMPUTED_VALUE"""),1115.71)</f>
        <v>1115.71</v>
      </c>
      <c r="F6116" s="1">
        <f>IFERROR(__xludf.DUMMYFUNCTION("""COMPUTED_VALUE"""),3.84764E8)</f>
        <v>384764000</v>
      </c>
    </row>
    <row r="6117">
      <c r="A6117" s="2">
        <f>IFERROR(__xludf.DUMMYFUNCTION("""COMPUTED_VALUE"""),40239.666666666664)</f>
        <v>40239.66667</v>
      </c>
      <c r="B6117" s="1">
        <f>IFERROR(__xludf.DUMMYFUNCTION("""COMPUTED_VALUE"""),1117.01)</f>
        <v>1117.01</v>
      </c>
      <c r="C6117" s="1">
        <f>IFERROR(__xludf.DUMMYFUNCTION("""COMPUTED_VALUE"""),1123.46)</f>
        <v>1123.46</v>
      </c>
      <c r="D6117" s="1">
        <f>IFERROR(__xludf.DUMMYFUNCTION("""COMPUTED_VALUE"""),1116.51)</f>
        <v>1116.51</v>
      </c>
      <c r="E6117" s="1">
        <f>IFERROR(__xludf.DUMMYFUNCTION("""COMPUTED_VALUE"""),1118.31)</f>
        <v>1118.31</v>
      </c>
      <c r="F6117" s="1">
        <f>IFERROR(__xludf.DUMMYFUNCTION("""COMPUTED_VALUE"""),4.13468E8)</f>
        <v>413468000</v>
      </c>
    </row>
    <row r="6118">
      <c r="A6118" s="2">
        <f>IFERROR(__xludf.DUMMYFUNCTION("""COMPUTED_VALUE"""),40240.666666666664)</f>
        <v>40240.66667</v>
      </c>
      <c r="B6118" s="1">
        <f>IFERROR(__xludf.DUMMYFUNCTION("""COMPUTED_VALUE"""),1119.36)</f>
        <v>1119.36</v>
      </c>
      <c r="C6118" s="1">
        <f>IFERROR(__xludf.DUMMYFUNCTION("""COMPUTED_VALUE"""),1125.64)</f>
        <v>1125.64</v>
      </c>
      <c r="D6118" s="1">
        <f>IFERROR(__xludf.DUMMYFUNCTION("""COMPUTED_VALUE"""),1116.57)</f>
        <v>1116.57</v>
      </c>
      <c r="E6118" s="1">
        <f>IFERROR(__xludf.DUMMYFUNCTION("""COMPUTED_VALUE"""),1118.79)</f>
        <v>1118.79</v>
      </c>
      <c r="F6118" s="1">
        <f>IFERROR(__xludf.DUMMYFUNCTION("""COMPUTED_VALUE"""),3.95132E8)</f>
        <v>395132000</v>
      </c>
    </row>
    <row r="6119">
      <c r="A6119" s="2">
        <f>IFERROR(__xludf.DUMMYFUNCTION("""COMPUTED_VALUE"""),40241.666666666664)</f>
        <v>40241.66667</v>
      </c>
      <c r="B6119" s="1">
        <f>IFERROR(__xludf.DUMMYFUNCTION("""COMPUTED_VALUE"""),1119.12)</f>
        <v>1119.12</v>
      </c>
      <c r="C6119" s="1">
        <f>IFERROR(__xludf.DUMMYFUNCTION("""COMPUTED_VALUE"""),1123.73)</f>
        <v>1123.73</v>
      </c>
      <c r="D6119" s="1">
        <f>IFERROR(__xludf.DUMMYFUNCTION("""COMPUTED_VALUE"""),1116.66)</f>
        <v>1116.66</v>
      </c>
      <c r="E6119" s="1">
        <f>IFERROR(__xludf.DUMMYFUNCTION("""COMPUTED_VALUE"""),1122.97)</f>
        <v>1122.97</v>
      </c>
      <c r="F6119" s="1">
        <f>IFERROR(__xludf.DUMMYFUNCTION("""COMPUTED_VALUE"""),3.94500992E8)</f>
        <v>394500992</v>
      </c>
    </row>
    <row r="6120">
      <c r="A6120" s="2">
        <f>IFERROR(__xludf.DUMMYFUNCTION("""COMPUTED_VALUE"""),40242.666666666664)</f>
        <v>40242.66667</v>
      </c>
      <c r="B6120" s="1">
        <f>IFERROR(__xludf.DUMMYFUNCTION("""COMPUTED_VALUE"""),1125.12)</f>
        <v>1125.12</v>
      </c>
      <c r="C6120" s="1">
        <f>IFERROR(__xludf.DUMMYFUNCTION("""COMPUTED_VALUE"""),1139.38)</f>
        <v>1139.38</v>
      </c>
      <c r="D6120" s="1">
        <f>IFERROR(__xludf.DUMMYFUNCTION("""COMPUTED_VALUE"""),1125.12)</f>
        <v>1125.12</v>
      </c>
      <c r="E6120" s="1">
        <f>IFERROR(__xludf.DUMMYFUNCTION("""COMPUTED_VALUE"""),1138.69)</f>
        <v>1138.69</v>
      </c>
      <c r="F6120" s="1">
        <f>IFERROR(__xludf.DUMMYFUNCTION("""COMPUTED_VALUE"""),4.133E8)</f>
        <v>413300000</v>
      </c>
    </row>
    <row r="6121">
      <c r="A6121" s="2">
        <f>IFERROR(__xludf.DUMMYFUNCTION("""COMPUTED_VALUE"""),40245.666666666664)</f>
        <v>40245.66667</v>
      </c>
      <c r="B6121" s="1">
        <f>IFERROR(__xludf.DUMMYFUNCTION("""COMPUTED_VALUE"""),1138.4)</f>
        <v>1138.4</v>
      </c>
      <c r="C6121" s="1">
        <f>IFERROR(__xludf.DUMMYFUNCTION("""COMPUTED_VALUE"""),1141.05)</f>
        <v>1141.05</v>
      </c>
      <c r="D6121" s="1">
        <f>IFERROR(__xludf.DUMMYFUNCTION("""COMPUTED_VALUE"""),1136.77)</f>
        <v>1136.77</v>
      </c>
      <c r="E6121" s="1">
        <f>IFERROR(__xludf.DUMMYFUNCTION("""COMPUTED_VALUE"""),1138.5)</f>
        <v>1138.5</v>
      </c>
      <c r="F6121" s="1">
        <f>IFERROR(__xludf.DUMMYFUNCTION("""COMPUTED_VALUE"""),3.77468E8)</f>
        <v>377468000</v>
      </c>
    </row>
    <row r="6122">
      <c r="A6122" s="2">
        <f>IFERROR(__xludf.DUMMYFUNCTION("""COMPUTED_VALUE"""),40246.666666666664)</f>
        <v>40246.66667</v>
      </c>
      <c r="B6122" s="1">
        <f>IFERROR(__xludf.DUMMYFUNCTION("""COMPUTED_VALUE"""),1137.56)</f>
        <v>1137.56</v>
      </c>
      <c r="C6122" s="1">
        <f>IFERROR(__xludf.DUMMYFUNCTION("""COMPUTED_VALUE"""),1145.37)</f>
        <v>1145.37</v>
      </c>
      <c r="D6122" s="1">
        <f>IFERROR(__xludf.DUMMYFUNCTION("""COMPUTED_VALUE"""),1134.9)</f>
        <v>1134.9</v>
      </c>
      <c r="E6122" s="1">
        <f>IFERROR(__xludf.DUMMYFUNCTION("""COMPUTED_VALUE"""),1140.44)</f>
        <v>1140.44</v>
      </c>
      <c r="F6122" s="1">
        <f>IFERROR(__xludf.DUMMYFUNCTION("""COMPUTED_VALUE"""),5.18556992E8)</f>
        <v>518556992</v>
      </c>
    </row>
    <row r="6123">
      <c r="A6123" s="2">
        <f>IFERROR(__xludf.DUMMYFUNCTION("""COMPUTED_VALUE"""),40247.666666666664)</f>
        <v>40247.66667</v>
      </c>
      <c r="B6123" s="1">
        <f>IFERROR(__xludf.DUMMYFUNCTION("""COMPUTED_VALUE"""),1140.22)</f>
        <v>1140.22</v>
      </c>
      <c r="C6123" s="1">
        <f>IFERROR(__xludf.DUMMYFUNCTION("""COMPUTED_VALUE"""),1148.26)</f>
        <v>1148.26</v>
      </c>
      <c r="D6123" s="1">
        <f>IFERROR(__xludf.DUMMYFUNCTION("""COMPUTED_VALUE"""),1140.09)</f>
        <v>1140.09</v>
      </c>
      <c r="E6123" s="1">
        <f>IFERROR(__xludf.DUMMYFUNCTION("""COMPUTED_VALUE"""),1145.61)</f>
        <v>1145.61</v>
      </c>
      <c r="F6123" s="1">
        <f>IFERROR(__xludf.DUMMYFUNCTION("""COMPUTED_VALUE"""),5.46912E8)</f>
        <v>546912000</v>
      </c>
    </row>
    <row r="6124">
      <c r="A6124" s="2">
        <f>IFERROR(__xludf.DUMMYFUNCTION("""COMPUTED_VALUE"""),40248.666666666664)</f>
        <v>40248.66667</v>
      </c>
      <c r="B6124" s="1">
        <f>IFERROR(__xludf.DUMMYFUNCTION("""COMPUTED_VALUE"""),1143.96)</f>
        <v>1143.96</v>
      </c>
      <c r="C6124" s="1">
        <f>IFERROR(__xludf.DUMMYFUNCTION("""COMPUTED_VALUE"""),1150.24)</f>
        <v>1150.24</v>
      </c>
      <c r="D6124" s="1">
        <f>IFERROR(__xludf.DUMMYFUNCTION("""COMPUTED_VALUE"""),1138.99)</f>
        <v>1138.99</v>
      </c>
      <c r="E6124" s="1">
        <f>IFERROR(__xludf.DUMMYFUNCTION("""COMPUTED_VALUE"""),1150.24)</f>
        <v>1150.24</v>
      </c>
      <c r="F6124" s="1">
        <f>IFERROR(__xludf.DUMMYFUNCTION("""COMPUTED_VALUE"""),4.66905984E8)</f>
        <v>466905984</v>
      </c>
    </row>
    <row r="6125">
      <c r="A6125" s="2">
        <f>IFERROR(__xludf.DUMMYFUNCTION("""COMPUTED_VALUE"""),40249.666666666664)</f>
        <v>40249.66667</v>
      </c>
      <c r="B6125" s="1">
        <f>IFERROR(__xludf.DUMMYFUNCTION("""COMPUTED_VALUE"""),1151.71)</f>
        <v>1151.71</v>
      </c>
      <c r="C6125" s="1">
        <f>IFERROR(__xludf.DUMMYFUNCTION("""COMPUTED_VALUE"""),1153.41)</f>
        <v>1153.41</v>
      </c>
      <c r="D6125" s="1">
        <f>IFERROR(__xludf.DUMMYFUNCTION("""COMPUTED_VALUE"""),1146.97)</f>
        <v>1146.97</v>
      </c>
      <c r="E6125" s="1">
        <f>IFERROR(__xludf.DUMMYFUNCTION("""COMPUTED_VALUE"""),1149.99)</f>
        <v>1149.99</v>
      </c>
      <c r="F6125" s="1">
        <f>IFERROR(__xludf.DUMMYFUNCTION("""COMPUTED_VALUE"""),4.92816E8)</f>
        <v>492816000</v>
      </c>
    </row>
    <row r="6126">
      <c r="A6126" s="2">
        <f>IFERROR(__xludf.DUMMYFUNCTION("""COMPUTED_VALUE"""),40252.666666666664)</f>
        <v>40252.66667</v>
      </c>
      <c r="B6126" s="1">
        <f>IFERROR(__xludf.DUMMYFUNCTION("""COMPUTED_VALUE"""),1148.53)</f>
        <v>1148.53</v>
      </c>
      <c r="C6126" s="1">
        <f>IFERROR(__xludf.DUMMYFUNCTION("""COMPUTED_VALUE"""),1150.98)</f>
        <v>1150.98</v>
      </c>
      <c r="D6126" s="1">
        <f>IFERROR(__xludf.DUMMYFUNCTION("""COMPUTED_VALUE"""),1141.44)</f>
        <v>1141.44</v>
      </c>
      <c r="E6126" s="1">
        <f>IFERROR(__xludf.DUMMYFUNCTION("""COMPUTED_VALUE"""),1150.51)</f>
        <v>1150.51</v>
      </c>
      <c r="F6126" s="1">
        <f>IFERROR(__xludf.DUMMYFUNCTION("""COMPUTED_VALUE"""),4.16411008E8)</f>
        <v>416411008</v>
      </c>
    </row>
    <row r="6127">
      <c r="A6127" s="2">
        <f>IFERROR(__xludf.DUMMYFUNCTION("""COMPUTED_VALUE"""),40253.666666666664)</f>
        <v>40253.66667</v>
      </c>
      <c r="B6127" s="1">
        <f>IFERROR(__xludf.DUMMYFUNCTION("""COMPUTED_VALUE"""),1150.83)</f>
        <v>1150.83</v>
      </c>
      <c r="C6127" s="1">
        <f>IFERROR(__xludf.DUMMYFUNCTION("""COMPUTED_VALUE"""),1160.28)</f>
        <v>1160.28</v>
      </c>
      <c r="D6127" s="1">
        <f>IFERROR(__xludf.DUMMYFUNCTION("""COMPUTED_VALUE"""),1150.35)</f>
        <v>1150.35</v>
      </c>
      <c r="E6127" s="1">
        <f>IFERROR(__xludf.DUMMYFUNCTION("""COMPUTED_VALUE"""),1159.46)</f>
        <v>1159.46</v>
      </c>
      <c r="F6127" s="1">
        <f>IFERROR(__xludf.DUMMYFUNCTION("""COMPUTED_VALUE"""),4.36976992E8)</f>
        <v>436976992</v>
      </c>
    </row>
    <row r="6128">
      <c r="A6128" s="2">
        <f>IFERROR(__xludf.DUMMYFUNCTION("""COMPUTED_VALUE"""),40254.666666666664)</f>
        <v>40254.66667</v>
      </c>
      <c r="B6128" s="1">
        <f>IFERROR(__xludf.DUMMYFUNCTION("""COMPUTED_VALUE"""),1159.46)</f>
        <v>1159.46</v>
      </c>
      <c r="C6128" s="1">
        <f>IFERROR(__xludf.DUMMYFUNCTION("""COMPUTED_VALUE"""),1169.84)</f>
        <v>1169.84</v>
      </c>
      <c r="D6128" s="1">
        <f>IFERROR(__xludf.DUMMYFUNCTION("""COMPUTED_VALUE"""),1159.46)</f>
        <v>1159.46</v>
      </c>
      <c r="E6128" s="1">
        <f>IFERROR(__xludf.DUMMYFUNCTION("""COMPUTED_VALUE"""),1166.21)</f>
        <v>1166.21</v>
      </c>
      <c r="F6128" s="1">
        <f>IFERROR(__xludf.DUMMYFUNCTION("""COMPUTED_VALUE"""),4.9632E8)</f>
        <v>496320000</v>
      </c>
    </row>
    <row r="6129">
      <c r="A6129" s="2">
        <f>IFERROR(__xludf.DUMMYFUNCTION("""COMPUTED_VALUE"""),40255.666666666664)</f>
        <v>40255.66667</v>
      </c>
      <c r="B6129" s="1">
        <f>IFERROR(__xludf.DUMMYFUNCTION("""COMPUTED_VALUE"""),1166.13)</f>
        <v>1166.13</v>
      </c>
      <c r="C6129" s="1">
        <f>IFERROR(__xludf.DUMMYFUNCTION("""COMPUTED_VALUE"""),1167.77)</f>
        <v>1167.77</v>
      </c>
      <c r="D6129" s="1">
        <f>IFERROR(__xludf.DUMMYFUNCTION("""COMPUTED_VALUE"""),1161.16)</f>
        <v>1161.16</v>
      </c>
      <c r="E6129" s="1">
        <f>IFERROR(__xludf.DUMMYFUNCTION("""COMPUTED_VALUE"""),1165.82)</f>
        <v>1165.82</v>
      </c>
      <c r="F6129" s="1">
        <f>IFERROR(__xludf.DUMMYFUNCTION("""COMPUTED_VALUE"""),4.23451008E8)</f>
        <v>423451008</v>
      </c>
    </row>
    <row r="6130">
      <c r="A6130" s="2">
        <f>IFERROR(__xludf.DUMMYFUNCTION("""COMPUTED_VALUE"""),40256.666666666664)</f>
        <v>40256.66667</v>
      </c>
      <c r="B6130" s="1">
        <f>IFERROR(__xludf.DUMMYFUNCTION("""COMPUTED_VALUE"""),1166.68)</f>
        <v>1166.68</v>
      </c>
      <c r="C6130" s="1">
        <f>IFERROR(__xludf.DUMMYFUNCTION("""COMPUTED_VALUE"""),1169.19)</f>
        <v>1169.19</v>
      </c>
      <c r="D6130" s="1">
        <f>IFERROR(__xludf.DUMMYFUNCTION("""COMPUTED_VALUE"""),1155.32)</f>
        <v>1155.32</v>
      </c>
      <c r="E6130" s="1">
        <f>IFERROR(__xludf.DUMMYFUNCTION("""COMPUTED_VALUE"""),1159.9)</f>
        <v>1159.9</v>
      </c>
      <c r="F6130" s="1">
        <f>IFERROR(__xludf.DUMMYFUNCTION("""COMPUTED_VALUE"""),5.21240992E8)</f>
        <v>521240992</v>
      </c>
    </row>
    <row r="6131">
      <c r="A6131" s="2">
        <f>IFERROR(__xludf.DUMMYFUNCTION("""COMPUTED_VALUE"""),40259.666666666664)</f>
        <v>40259.66667</v>
      </c>
      <c r="B6131" s="1">
        <f>IFERROR(__xludf.DUMMYFUNCTION("""COMPUTED_VALUE"""),1157.25)</f>
        <v>1157.25</v>
      </c>
      <c r="C6131" s="1">
        <f>IFERROR(__xludf.DUMMYFUNCTION("""COMPUTED_VALUE"""),1167.81)</f>
        <v>1167.81</v>
      </c>
      <c r="D6131" s="1">
        <f>IFERROR(__xludf.DUMMYFUNCTION("""COMPUTED_VALUE"""),1152.88)</f>
        <v>1152.88</v>
      </c>
      <c r="E6131" s="1">
        <f>IFERROR(__xludf.DUMMYFUNCTION("""COMPUTED_VALUE"""),1165.81)</f>
        <v>1165.81</v>
      </c>
      <c r="F6131" s="1">
        <f>IFERROR(__xludf.DUMMYFUNCTION("""COMPUTED_VALUE"""),4.26168E8)</f>
        <v>426168000</v>
      </c>
    </row>
    <row r="6132">
      <c r="A6132" s="2">
        <f>IFERROR(__xludf.DUMMYFUNCTION("""COMPUTED_VALUE"""),40260.666666666664)</f>
        <v>40260.66667</v>
      </c>
      <c r="B6132" s="1">
        <f>IFERROR(__xludf.DUMMYFUNCTION("""COMPUTED_VALUE"""),1166.47)</f>
        <v>1166.47</v>
      </c>
      <c r="C6132" s="1">
        <f>IFERROR(__xludf.DUMMYFUNCTION("""COMPUTED_VALUE"""),1174.72)</f>
        <v>1174.72</v>
      </c>
      <c r="D6132" s="1">
        <f>IFERROR(__xludf.DUMMYFUNCTION("""COMPUTED_VALUE"""),1163.82)</f>
        <v>1163.82</v>
      </c>
      <c r="E6132" s="1">
        <f>IFERROR(__xludf.DUMMYFUNCTION("""COMPUTED_VALUE"""),1174.17)</f>
        <v>1174.17</v>
      </c>
      <c r="F6132" s="1">
        <f>IFERROR(__xludf.DUMMYFUNCTION("""COMPUTED_VALUE"""),4.41164E8)</f>
        <v>441164000</v>
      </c>
    </row>
    <row r="6133">
      <c r="A6133" s="2">
        <f>IFERROR(__xludf.DUMMYFUNCTION("""COMPUTED_VALUE"""),40261.666666666664)</f>
        <v>40261.66667</v>
      </c>
      <c r="B6133" s="1">
        <f>IFERROR(__xludf.DUMMYFUNCTION("""COMPUTED_VALUE"""),1172.69)</f>
        <v>1172.69</v>
      </c>
      <c r="C6133" s="1">
        <f>IFERROR(__xludf.DUMMYFUNCTION("""COMPUTED_VALUE"""),1173.04)</f>
        <v>1173.04</v>
      </c>
      <c r="D6133" s="1">
        <f>IFERROR(__xludf.DUMMYFUNCTION("""COMPUTED_VALUE"""),1166.01)</f>
        <v>1166.01</v>
      </c>
      <c r="E6133" s="1">
        <f>IFERROR(__xludf.DUMMYFUNCTION("""COMPUTED_VALUE"""),1167.72)</f>
        <v>1167.72</v>
      </c>
      <c r="F6133" s="1">
        <f>IFERROR(__xludf.DUMMYFUNCTION("""COMPUTED_VALUE"""),4.70575008E8)</f>
        <v>470575008</v>
      </c>
    </row>
    <row r="6134">
      <c r="A6134" s="2">
        <f>IFERROR(__xludf.DUMMYFUNCTION("""COMPUTED_VALUE"""),40262.666666666664)</f>
        <v>40262.66667</v>
      </c>
      <c r="B6134" s="1">
        <f>IFERROR(__xludf.DUMMYFUNCTION("""COMPUTED_VALUE"""),1170.03)</f>
        <v>1170.03</v>
      </c>
      <c r="C6134" s="1">
        <f>IFERROR(__xludf.DUMMYFUNCTION("""COMPUTED_VALUE"""),1180.68)</f>
        <v>1180.68</v>
      </c>
      <c r="D6134" s="1">
        <f>IFERROR(__xludf.DUMMYFUNCTION("""COMPUTED_VALUE"""),1165.09)</f>
        <v>1165.09</v>
      </c>
      <c r="E6134" s="1">
        <f>IFERROR(__xludf.DUMMYFUNCTION("""COMPUTED_VALUE"""),1165.73)</f>
        <v>1165.73</v>
      </c>
      <c r="F6134" s="1">
        <f>IFERROR(__xludf.DUMMYFUNCTION("""COMPUTED_VALUE"""),5.66889984E8)</f>
        <v>566889984</v>
      </c>
    </row>
    <row r="6135">
      <c r="A6135" s="2">
        <f>IFERROR(__xludf.DUMMYFUNCTION("""COMPUTED_VALUE"""),40263.666666666664)</f>
        <v>40263.66667</v>
      </c>
      <c r="B6135" s="1">
        <f>IFERROR(__xludf.DUMMYFUNCTION("""COMPUTED_VALUE"""),1167.57)</f>
        <v>1167.57</v>
      </c>
      <c r="C6135" s="1">
        <f>IFERROR(__xludf.DUMMYFUNCTION("""COMPUTED_VALUE"""),1173.93)</f>
        <v>1173.93</v>
      </c>
      <c r="D6135" s="1">
        <f>IFERROR(__xludf.DUMMYFUNCTION("""COMPUTED_VALUE"""),1161.48)</f>
        <v>1161.48</v>
      </c>
      <c r="E6135" s="1">
        <f>IFERROR(__xludf.DUMMYFUNCTION("""COMPUTED_VALUE"""),1166.59)</f>
        <v>1166.59</v>
      </c>
      <c r="F6135" s="1">
        <f>IFERROR(__xludf.DUMMYFUNCTION("""COMPUTED_VALUE"""),4.70841984E8)</f>
        <v>470841984</v>
      </c>
    </row>
    <row r="6136">
      <c r="A6136" s="2">
        <f>IFERROR(__xludf.DUMMYFUNCTION("""COMPUTED_VALUE"""),40266.666666666664)</f>
        <v>40266.66667</v>
      </c>
      <c r="B6136" s="1">
        <f>IFERROR(__xludf.DUMMYFUNCTION("""COMPUTED_VALUE"""),1167.71)</f>
        <v>1167.71</v>
      </c>
      <c r="C6136" s="1">
        <f>IFERROR(__xludf.DUMMYFUNCTION("""COMPUTED_VALUE"""),1174.85)</f>
        <v>1174.85</v>
      </c>
      <c r="D6136" s="1">
        <f>IFERROR(__xludf.DUMMYFUNCTION("""COMPUTED_VALUE"""),1167.71)</f>
        <v>1167.71</v>
      </c>
      <c r="E6136" s="1">
        <f>IFERROR(__xludf.DUMMYFUNCTION("""COMPUTED_VALUE"""),1173.22)</f>
        <v>1173.22</v>
      </c>
      <c r="F6136" s="1">
        <f>IFERROR(__xludf.DUMMYFUNCTION("""COMPUTED_VALUE"""),4.37558016E8)</f>
        <v>437558016</v>
      </c>
    </row>
    <row r="6137">
      <c r="A6137" s="2">
        <f>IFERROR(__xludf.DUMMYFUNCTION("""COMPUTED_VALUE"""),40267.666666666664)</f>
        <v>40267.66667</v>
      </c>
      <c r="B6137" s="1">
        <f>IFERROR(__xludf.DUMMYFUNCTION("""COMPUTED_VALUE"""),1173.75)</f>
        <v>1173.75</v>
      </c>
      <c r="C6137" s="1">
        <f>IFERROR(__xludf.DUMMYFUNCTION("""COMPUTED_VALUE"""),1177.82)</f>
        <v>1177.82</v>
      </c>
      <c r="D6137" s="1">
        <f>IFERROR(__xludf.DUMMYFUNCTION("""COMPUTED_VALUE"""),1168.92)</f>
        <v>1168.92</v>
      </c>
      <c r="E6137" s="1">
        <f>IFERROR(__xludf.DUMMYFUNCTION("""COMPUTED_VALUE"""),1173.27)</f>
        <v>1173.27</v>
      </c>
      <c r="F6137" s="1">
        <f>IFERROR(__xludf.DUMMYFUNCTION("""COMPUTED_VALUE"""),4.085E8)</f>
        <v>408500000</v>
      </c>
    </row>
    <row r="6138">
      <c r="A6138" s="2">
        <f>IFERROR(__xludf.DUMMYFUNCTION("""COMPUTED_VALUE"""),40268.666666666664)</f>
        <v>40268.66667</v>
      </c>
      <c r="B6138" s="1">
        <f>IFERROR(__xludf.DUMMYFUNCTION("""COMPUTED_VALUE"""),1171.75)</f>
        <v>1171.75</v>
      </c>
      <c r="C6138" s="1">
        <f>IFERROR(__xludf.DUMMYFUNCTION("""COMPUTED_VALUE"""),1174.56)</f>
        <v>1174.56</v>
      </c>
      <c r="D6138" s="1">
        <f>IFERROR(__xludf.DUMMYFUNCTION("""COMPUTED_VALUE"""),1165.77)</f>
        <v>1165.77</v>
      </c>
      <c r="E6138" s="1">
        <f>IFERROR(__xludf.DUMMYFUNCTION("""COMPUTED_VALUE"""),1169.43)</f>
        <v>1169.43</v>
      </c>
      <c r="F6138" s="1">
        <f>IFERROR(__xludf.DUMMYFUNCTION("""COMPUTED_VALUE"""),4.48433984E8)</f>
        <v>448433984</v>
      </c>
    </row>
    <row r="6139">
      <c r="A6139" s="2">
        <f>IFERROR(__xludf.DUMMYFUNCTION("""COMPUTED_VALUE"""),40269.666666666664)</f>
        <v>40269.66667</v>
      </c>
      <c r="B6139" s="1">
        <f>IFERROR(__xludf.DUMMYFUNCTION("""COMPUTED_VALUE"""),1171.23)</f>
        <v>1171.23</v>
      </c>
      <c r="C6139" s="1">
        <f>IFERROR(__xludf.DUMMYFUNCTION("""COMPUTED_VALUE"""),1181.43)</f>
        <v>1181.43</v>
      </c>
      <c r="D6139" s="1">
        <f>IFERROR(__xludf.DUMMYFUNCTION("""COMPUTED_VALUE"""),1170.68)</f>
        <v>1170.68</v>
      </c>
      <c r="E6139" s="1">
        <f>IFERROR(__xludf.DUMMYFUNCTION("""COMPUTED_VALUE"""),1178.1)</f>
        <v>1178.1</v>
      </c>
      <c r="F6139" s="1">
        <f>IFERROR(__xludf.DUMMYFUNCTION("""COMPUTED_VALUE"""),4.00687008E8)</f>
        <v>400687008</v>
      </c>
    </row>
    <row r="6140">
      <c r="A6140" s="2">
        <f>IFERROR(__xludf.DUMMYFUNCTION("""COMPUTED_VALUE"""),40273.666666666664)</f>
        <v>40273.66667</v>
      </c>
      <c r="B6140" s="1">
        <f>IFERROR(__xludf.DUMMYFUNCTION("""COMPUTED_VALUE"""),1178.71)</f>
        <v>1178.71</v>
      </c>
      <c r="C6140" s="1">
        <f>IFERROR(__xludf.DUMMYFUNCTION("""COMPUTED_VALUE"""),1187.73)</f>
        <v>1187.73</v>
      </c>
      <c r="D6140" s="1">
        <f>IFERROR(__xludf.DUMMYFUNCTION("""COMPUTED_VALUE"""),1178.71)</f>
        <v>1178.71</v>
      </c>
      <c r="E6140" s="1">
        <f>IFERROR(__xludf.DUMMYFUNCTION("""COMPUTED_VALUE"""),1187.43)</f>
        <v>1187.43</v>
      </c>
      <c r="F6140" s="1">
        <f>IFERROR(__xludf.DUMMYFUNCTION("""COMPUTED_VALUE"""),3.88161984E8)</f>
        <v>388161984</v>
      </c>
    </row>
    <row r="6141">
      <c r="A6141" s="2">
        <f>IFERROR(__xludf.DUMMYFUNCTION("""COMPUTED_VALUE"""),40274.666666666664)</f>
        <v>40274.66667</v>
      </c>
      <c r="B6141" s="1">
        <f>IFERROR(__xludf.DUMMYFUNCTION("""COMPUTED_VALUE"""),1186.01)</f>
        <v>1186.01</v>
      </c>
      <c r="C6141" s="1">
        <f>IFERROR(__xludf.DUMMYFUNCTION("""COMPUTED_VALUE"""),1191.8)</f>
        <v>1191.8</v>
      </c>
      <c r="D6141" s="1">
        <f>IFERROR(__xludf.DUMMYFUNCTION("""COMPUTED_VALUE"""),1182.77)</f>
        <v>1182.77</v>
      </c>
      <c r="E6141" s="1">
        <f>IFERROR(__xludf.DUMMYFUNCTION("""COMPUTED_VALUE"""),1189.43)</f>
        <v>1189.43</v>
      </c>
      <c r="F6141" s="1">
        <f>IFERROR(__xludf.DUMMYFUNCTION("""COMPUTED_VALUE"""),4.08617984E8)</f>
        <v>408617984</v>
      </c>
    </row>
    <row r="6142">
      <c r="A6142" s="2">
        <f>IFERROR(__xludf.DUMMYFUNCTION("""COMPUTED_VALUE"""),40275.666666666664)</f>
        <v>40275.66667</v>
      </c>
      <c r="B6142" s="1">
        <f>IFERROR(__xludf.DUMMYFUNCTION("""COMPUTED_VALUE"""),1188.23)</f>
        <v>1188.23</v>
      </c>
      <c r="C6142" s="1">
        <f>IFERROR(__xludf.DUMMYFUNCTION("""COMPUTED_VALUE"""),1189.6)</f>
        <v>1189.6</v>
      </c>
      <c r="D6142" s="1">
        <f>IFERROR(__xludf.DUMMYFUNCTION("""COMPUTED_VALUE"""),1177.25)</f>
        <v>1177.25</v>
      </c>
      <c r="E6142" s="1">
        <f>IFERROR(__xludf.DUMMYFUNCTION("""COMPUTED_VALUE"""),1182.44)</f>
        <v>1182.44</v>
      </c>
      <c r="F6142" s="1">
        <f>IFERROR(__xludf.DUMMYFUNCTION("""COMPUTED_VALUE"""),5.10143008E8)</f>
        <v>510143008</v>
      </c>
    </row>
    <row r="6143">
      <c r="A6143" s="2">
        <f>IFERROR(__xludf.DUMMYFUNCTION("""COMPUTED_VALUE"""),40276.666666666664)</f>
        <v>40276.66667</v>
      </c>
      <c r="B6143" s="1">
        <f>IFERROR(__xludf.DUMMYFUNCTION("""COMPUTED_VALUE"""),1181.75)</f>
        <v>1181.75</v>
      </c>
      <c r="C6143" s="1">
        <f>IFERROR(__xludf.DUMMYFUNCTION("""COMPUTED_VALUE"""),1188.55)</f>
        <v>1188.55</v>
      </c>
      <c r="D6143" s="1">
        <f>IFERROR(__xludf.DUMMYFUNCTION("""COMPUTED_VALUE"""),1175.12)</f>
        <v>1175.12</v>
      </c>
      <c r="E6143" s="1">
        <f>IFERROR(__xludf.DUMMYFUNCTION("""COMPUTED_VALUE"""),1186.43)</f>
        <v>1186.43</v>
      </c>
      <c r="F6143" s="1">
        <f>IFERROR(__xludf.DUMMYFUNCTION("""COMPUTED_VALUE"""),4.72696992E8)</f>
        <v>472696992</v>
      </c>
    </row>
    <row r="6144">
      <c r="A6144" s="2">
        <f>IFERROR(__xludf.DUMMYFUNCTION("""COMPUTED_VALUE"""),40277.666666666664)</f>
        <v>40277.66667</v>
      </c>
      <c r="B6144" s="1">
        <f>IFERROR(__xludf.DUMMYFUNCTION("""COMPUTED_VALUE"""),1187.47)</f>
        <v>1187.47</v>
      </c>
      <c r="C6144" s="1">
        <f>IFERROR(__xludf.DUMMYFUNCTION("""COMPUTED_VALUE"""),1194.66)</f>
        <v>1194.66</v>
      </c>
      <c r="D6144" s="1">
        <f>IFERROR(__xludf.DUMMYFUNCTION("""COMPUTED_VALUE"""),1187.15)</f>
        <v>1187.15</v>
      </c>
      <c r="E6144" s="1">
        <f>IFERROR(__xludf.DUMMYFUNCTION("""COMPUTED_VALUE"""),1194.37)</f>
        <v>1194.37</v>
      </c>
      <c r="F6144" s="1">
        <f>IFERROR(__xludf.DUMMYFUNCTION("""COMPUTED_VALUE"""),4.51156992E8)</f>
        <v>451156992</v>
      </c>
    </row>
    <row r="6145">
      <c r="A6145" s="2">
        <f>IFERROR(__xludf.DUMMYFUNCTION("""COMPUTED_VALUE"""),40280.666666666664)</f>
        <v>40280.66667</v>
      </c>
      <c r="B6145" s="1">
        <f>IFERROR(__xludf.DUMMYFUNCTION("""COMPUTED_VALUE"""),1194.93)</f>
        <v>1194.93</v>
      </c>
      <c r="C6145" s="1">
        <f>IFERROR(__xludf.DUMMYFUNCTION("""COMPUTED_VALUE"""),1199.19)</f>
        <v>1199.19</v>
      </c>
      <c r="D6145" s="1">
        <f>IFERROR(__xludf.DUMMYFUNCTION("""COMPUTED_VALUE"""),1194.71)</f>
        <v>1194.71</v>
      </c>
      <c r="E6145" s="1">
        <f>IFERROR(__xludf.DUMMYFUNCTION("""COMPUTED_VALUE"""),1196.48)</f>
        <v>1196.48</v>
      </c>
      <c r="F6145" s="1">
        <f>IFERROR(__xludf.DUMMYFUNCTION("""COMPUTED_VALUE"""),4.60708992E8)</f>
        <v>460708992</v>
      </c>
    </row>
    <row r="6146">
      <c r="A6146" s="2">
        <f>IFERROR(__xludf.DUMMYFUNCTION("""COMPUTED_VALUE"""),40281.666666666664)</f>
        <v>40281.66667</v>
      </c>
      <c r="B6146" s="1">
        <f>IFERROR(__xludf.DUMMYFUNCTION("""COMPUTED_VALUE"""),1195.93)</f>
        <v>1195.93</v>
      </c>
      <c r="C6146" s="1">
        <f>IFERROR(__xludf.DUMMYFUNCTION("""COMPUTED_VALUE"""),1199.04)</f>
        <v>1199.04</v>
      </c>
      <c r="D6146" s="1">
        <f>IFERROR(__xludf.DUMMYFUNCTION("""COMPUTED_VALUE"""),1188.81)</f>
        <v>1188.81</v>
      </c>
      <c r="E6146" s="1">
        <f>IFERROR(__xludf.DUMMYFUNCTION("""COMPUTED_VALUE"""),1197.3)</f>
        <v>1197.3</v>
      </c>
      <c r="F6146" s="1">
        <f>IFERROR(__xludf.DUMMYFUNCTION("""COMPUTED_VALUE"""),5.40358016E8)</f>
        <v>540358016</v>
      </c>
    </row>
    <row r="6147">
      <c r="A6147" s="2">
        <f>IFERROR(__xludf.DUMMYFUNCTION("""COMPUTED_VALUE"""),40282.666666666664)</f>
        <v>40282.66667</v>
      </c>
      <c r="B6147" s="1">
        <f>IFERROR(__xludf.DUMMYFUNCTION("""COMPUTED_VALUE"""),1198.68)</f>
        <v>1198.68</v>
      </c>
      <c r="C6147" s="1">
        <f>IFERROR(__xludf.DUMMYFUNCTION("""COMPUTED_VALUE"""),1210.65)</f>
        <v>1210.65</v>
      </c>
      <c r="D6147" s="1">
        <f>IFERROR(__xludf.DUMMYFUNCTION("""COMPUTED_VALUE"""),1198.68)</f>
        <v>1198.68</v>
      </c>
      <c r="E6147" s="1">
        <f>IFERROR(__xludf.DUMMYFUNCTION("""COMPUTED_VALUE"""),1210.65)</f>
        <v>1210.65</v>
      </c>
      <c r="F6147" s="1">
        <f>IFERROR(__xludf.DUMMYFUNCTION("""COMPUTED_VALUE"""),5.76003968E8)</f>
        <v>576003968</v>
      </c>
    </row>
    <row r="6148">
      <c r="A6148" s="2">
        <f>IFERROR(__xludf.DUMMYFUNCTION("""COMPUTED_VALUE"""),40283.666666666664)</f>
        <v>40283.66667</v>
      </c>
      <c r="B6148" s="1">
        <f>IFERROR(__xludf.DUMMYFUNCTION("""COMPUTED_VALUE"""),1210.77)</f>
        <v>1210.77</v>
      </c>
      <c r="C6148" s="1">
        <f>IFERROR(__xludf.DUMMYFUNCTION("""COMPUTED_VALUE"""),1213.92)</f>
        <v>1213.92</v>
      </c>
      <c r="D6148" s="1">
        <f>IFERROR(__xludf.DUMMYFUNCTION("""COMPUTED_VALUE"""),1208.5)</f>
        <v>1208.5</v>
      </c>
      <c r="E6148" s="1">
        <f>IFERROR(__xludf.DUMMYFUNCTION("""COMPUTED_VALUE"""),1211.67)</f>
        <v>1211.67</v>
      </c>
      <c r="F6148" s="1">
        <f>IFERROR(__xludf.DUMMYFUNCTION("""COMPUTED_VALUE"""),5.99532992E8)</f>
        <v>599532992</v>
      </c>
    </row>
    <row r="6149">
      <c r="A6149" s="2">
        <f>IFERROR(__xludf.DUMMYFUNCTION("""COMPUTED_VALUE"""),40284.666666666664)</f>
        <v>40284.66667</v>
      </c>
      <c r="B6149" s="1">
        <f>IFERROR(__xludf.DUMMYFUNCTION("""COMPUTED_VALUE"""),1210.17)</f>
        <v>1210.17</v>
      </c>
      <c r="C6149" s="1">
        <f>IFERROR(__xludf.DUMMYFUNCTION("""COMPUTED_VALUE"""),1210.17)</f>
        <v>1210.17</v>
      </c>
      <c r="D6149" s="1">
        <f>IFERROR(__xludf.DUMMYFUNCTION("""COMPUTED_VALUE"""),1186.77)</f>
        <v>1186.77</v>
      </c>
      <c r="E6149" s="1">
        <f>IFERROR(__xludf.DUMMYFUNCTION("""COMPUTED_VALUE"""),1192.13)</f>
        <v>1192.13</v>
      </c>
      <c r="F6149" s="1">
        <f>IFERROR(__xludf.DUMMYFUNCTION("""COMPUTED_VALUE"""),3.1084704E8)</f>
        <v>310847040</v>
      </c>
    </row>
    <row r="6150">
      <c r="A6150" s="2">
        <f>IFERROR(__xludf.DUMMYFUNCTION("""COMPUTED_VALUE"""),40287.666666666664)</f>
        <v>40287.66667</v>
      </c>
      <c r="B6150" s="1">
        <f>IFERROR(__xludf.DUMMYFUNCTION("""COMPUTED_VALUE"""),1192.06)</f>
        <v>1192.06</v>
      </c>
      <c r="C6150" s="1">
        <f>IFERROR(__xludf.DUMMYFUNCTION("""COMPUTED_VALUE"""),1197.87)</f>
        <v>1197.87</v>
      </c>
      <c r="D6150" s="1">
        <f>IFERROR(__xludf.DUMMYFUNCTION("""COMPUTED_VALUE"""),1183.68)</f>
        <v>1183.68</v>
      </c>
      <c r="E6150" s="1">
        <f>IFERROR(__xludf.DUMMYFUNCTION("""COMPUTED_VALUE"""),1197.52)</f>
        <v>1197.52</v>
      </c>
      <c r="F6150" s="1">
        <f>IFERROR(__xludf.DUMMYFUNCTION("""COMPUTED_VALUE"""),6.59774016E8)</f>
        <v>659774016</v>
      </c>
    </row>
    <row r="6151">
      <c r="A6151" s="2">
        <f>IFERROR(__xludf.DUMMYFUNCTION("""COMPUTED_VALUE"""),40288.666666666664)</f>
        <v>40288.66667</v>
      </c>
      <c r="B6151" s="1">
        <f>IFERROR(__xludf.DUMMYFUNCTION("""COMPUTED_VALUE"""),1199.04)</f>
        <v>1199.04</v>
      </c>
      <c r="C6151" s="1">
        <f>IFERROR(__xludf.DUMMYFUNCTION("""COMPUTED_VALUE"""),1208.57)</f>
        <v>1208.57</v>
      </c>
      <c r="D6151" s="1">
        <f>IFERROR(__xludf.DUMMYFUNCTION("""COMPUTED_VALUE"""),1199.04)</f>
        <v>1199.04</v>
      </c>
      <c r="E6151" s="1">
        <f>IFERROR(__xludf.DUMMYFUNCTION("""COMPUTED_VALUE"""),1207.17)</f>
        <v>1207.17</v>
      </c>
      <c r="F6151" s="1">
        <f>IFERROR(__xludf.DUMMYFUNCTION("""COMPUTED_VALUE"""),5.31659008E8)</f>
        <v>531659008</v>
      </c>
    </row>
    <row r="6152">
      <c r="A6152" s="2">
        <f>IFERROR(__xludf.DUMMYFUNCTION("""COMPUTED_VALUE"""),40289.666666666664)</f>
        <v>40289.66667</v>
      </c>
      <c r="B6152" s="1">
        <f>IFERROR(__xludf.DUMMYFUNCTION("""COMPUTED_VALUE"""),1207.16)</f>
        <v>1207.16</v>
      </c>
      <c r="C6152" s="1">
        <f>IFERROR(__xludf.DUMMYFUNCTION("""COMPUTED_VALUE"""),1210.99)</f>
        <v>1210.99</v>
      </c>
      <c r="D6152" s="1">
        <f>IFERROR(__xludf.DUMMYFUNCTION("""COMPUTED_VALUE"""),1198.85)</f>
        <v>1198.85</v>
      </c>
      <c r="E6152" s="1">
        <f>IFERROR(__xludf.DUMMYFUNCTION("""COMPUTED_VALUE"""),1205.93)</f>
        <v>1205.93</v>
      </c>
      <c r="F6152" s="1">
        <f>IFERROR(__xludf.DUMMYFUNCTION("""COMPUTED_VALUE"""),5.72430976E8)</f>
        <v>572430976</v>
      </c>
    </row>
    <row r="6153">
      <c r="A6153" s="2">
        <f>IFERROR(__xludf.DUMMYFUNCTION("""COMPUTED_VALUE"""),40290.666666666664)</f>
        <v>40290.66667</v>
      </c>
      <c r="B6153" s="1">
        <f>IFERROR(__xludf.DUMMYFUNCTION("""COMPUTED_VALUE"""),1202.52)</f>
        <v>1202.52</v>
      </c>
      <c r="C6153" s="1">
        <f>IFERROR(__xludf.DUMMYFUNCTION("""COMPUTED_VALUE"""),1210.27)</f>
        <v>1210.27</v>
      </c>
      <c r="D6153" s="1">
        <f>IFERROR(__xludf.DUMMYFUNCTION("""COMPUTED_VALUE"""),1190.18)</f>
        <v>1190.18</v>
      </c>
      <c r="E6153" s="1">
        <f>IFERROR(__xludf.DUMMYFUNCTION("""COMPUTED_VALUE"""),1208.67)</f>
        <v>1208.67</v>
      </c>
      <c r="F6153" s="1">
        <f>IFERROR(__xludf.DUMMYFUNCTION("""COMPUTED_VALUE"""),6.03577984E8)</f>
        <v>603577984</v>
      </c>
    </row>
    <row r="6154">
      <c r="A6154" s="2">
        <f>IFERROR(__xludf.DUMMYFUNCTION("""COMPUTED_VALUE"""),40291.666666666664)</f>
        <v>40291.66667</v>
      </c>
      <c r="B6154" s="1">
        <f>IFERROR(__xludf.DUMMYFUNCTION("""COMPUTED_VALUE"""),1207.87)</f>
        <v>1207.87</v>
      </c>
      <c r="C6154" s="1">
        <f>IFERROR(__xludf.DUMMYFUNCTION("""COMPUTED_VALUE"""),1217.28)</f>
        <v>1217.28</v>
      </c>
      <c r="D6154" s="1">
        <f>IFERROR(__xludf.DUMMYFUNCTION("""COMPUTED_VALUE"""),1205.1)</f>
        <v>1205.1</v>
      </c>
      <c r="E6154" s="1">
        <f>IFERROR(__xludf.DUMMYFUNCTION("""COMPUTED_VALUE"""),1217.28)</f>
        <v>1217.28</v>
      </c>
      <c r="F6154" s="1">
        <f>IFERROR(__xludf.DUMMYFUNCTION("""COMPUTED_VALUE"""),5.32606016E8)</f>
        <v>532606016</v>
      </c>
    </row>
    <row r="6155">
      <c r="A6155" s="2">
        <f>IFERROR(__xludf.DUMMYFUNCTION("""COMPUTED_VALUE"""),40294.666666666664)</f>
        <v>40294.66667</v>
      </c>
      <c r="B6155" s="1">
        <f>IFERROR(__xludf.DUMMYFUNCTION("""COMPUTED_VALUE"""),1217.06)</f>
        <v>1217.06</v>
      </c>
      <c r="C6155" s="1">
        <f>IFERROR(__xludf.DUMMYFUNCTION("""COMPUTED_VALUE"""),1219.8)</f>
        <v>1219.8</v>
      </c>
      <c r="D6155" s="1">
        <f>IFERROR(__xludf.DUMMYFUNCTION("""COMPUTED_VALUE"""),1211.06)</f>
        <v>1211.06</v>
      </c>
      <c r="E6155" s="1">
        <f>IFERROR(__xludf.DUMMYFUNCTION("""COMPUTED_VALUE"""),1212.05)</f>
        <v>1212.05</v>
      </c>
      <c r="F6155" s="1">
        <f>IFERROR(__xludf.DUMMYFUNCTION("""COMPUTED_VALUE"""),5.64776E8)</f>
        <v>564776000</v>
      </c>
    </row>
    <row r="6156">
      <c r="A6156" s="2">
        <f>IFERROR(__xludf.DUMMYFUNCTION("""COMPUTED_VALUE"""),40295.666666666664)</f>
        <v>40295.66667</v>
      </c>
      <c r="B6156" s="1">
        <f>IFERROR(__xludf.DUMMYFUNCTION("""COMPUTED_VALUE"""),1209.92)</f>
        <v>1209.92</v>
      </c>
      <c r="C6156" s="1">
        <f>IFERROR(__xludf.DUMMYFUNCTION("""COMPUTED_VALUE"""),1211.38)</f>
        <v>1211.38</v>
      </c>
      <c r="D6156" s="1">
        <f>IFERROR(__xludf.DUMMYFUNCTION("""COMPUTED_VALUE"""),1181.62)</f>
        <v>1181.62</v>
      </c>
      <c r="E6156" s="1">
        <f>IFERROR(__xludf.DUMMYFUNCTION("""COMPUTED_VALUE"""),1183.71)</f>
        <v>1183.71</v>
      </c>
      <c r="F6156" s="1">
        <f>IFERROR(__xludf.DUMMYFUNCTION("""COMPUTED_VALUE"""),3.45454016E8)</f>
        <v>345454016</v>
      </c>
    </row>
    <row r="6157">
      <c r="A6157" s="2">
        <f>IFERROR(__xludf.DUMMYFUNCTION("""COMPUTED_VALUE"""),40296.666666666664)</f>
        <v>40296.66667</v>
      </c>
      <c r="B6157" s="1">
        <f>IFERROR(__xludf.DUMMYFUNCTION("""COMPUTED_VALUE"""),1184.59)</f>
        <v>1184.59</v>
      </c>
      <c r="C6157" s="1">
        <f>IFERROR(__xludf.DUMMYFUNCTION("""COMPUTED_VALUE"""),1195.05)</f>
        <v>1195.05</v>
      </c>
      <c r="D6157" s="1">
        <f>IFERROR(__xludf.DUMMYFUNCTION("""COMPUTED_VALUE"""),1181.81)</f>
        <v>1181.81</v>
      </c>
      <c r="E6157" s="1">
        <f>IFERROR(__xludf.DUMMYFUNCTION("""COMPUTED_VALUE"""),1191.36)</f>
        <v>1191.36</v>
      </c>
      <c r="F6157" s="1">
        <f>IFERROR(__xludf.DUMMYFUNCTION("""COMPUTED_VALUE"""),6.34230976E8)</f>
        <v>634230976</v>
      </c>
    </row>
    <row r="6158">
      <c r="A6158" s="2">
        <f>IFERROR(__xludf.DUMMYFUNCTION("""COMPUTED_VALUE"""),40297.666666666664)</f>
        <v>40297.66667</v>
      </c>
      <c r="B6158" s="1">
        <f>IFERROR(__xludf.DUMMYFUNCTION("""COMPUTED_VALUE"""),1193.3)</f>
        <v>1193.3</v>
      </c>
      <c r="C6158" s="1">
        <f>IFERROR(__xludf.DUMMYFUNCTION("""COMPUTED_VALUE"""),1209.36)</f>
        <v>1209.36</v>
      </c>
      <c r="D6158" s="1">
        <f>IFERROR(__xludf.DUMMYFUNCTION("""COMPUTED_VALUE"""),1193.3)</f>
        <v>1193.3</v>
      </c>
      <c r="E6158" s="1">
        <f>IFERROR(__xludf.DUMMYFUNCTION("""COMPUTED_VALUE"""),1206.78)</f>
        <v>1206.78</v>
      </c>
      <c r="F6158" s="1">
        <f>IFERROR(__xludf.DUMMYFUNCTION("""COMPUTED_VALUE"""),6.05940992E8)</f>
        <v>605940992</v>
      </c>
    </row>
    <row r="6159">
      <c r="A6159" s="2">
        <f>IFERROR(__xludf.DUMMYFUNCTION("""COMPUTED_VALUE"""),40298.666666666664)</f>
        <v>40298.66667</v>
      </c>
      <c r="B6159" s="1">
        <f>IFERROR(__xludf.DUMMYFUNCTION("""COMPUTED_VALUE"""),1206.77)</f>
        <v>1206.77</v>
      </c>
      <c r="C6159" s="1">
        <f>IFERROR(__xludf.DUMMYFUNCTION("""COMPUTED_VALUE"""),1207.99)</f>
        <v>1207.99</v>
      </c>
      <c r="D6159" s="1">
        <f>IFERROR(__xludf.DUMMYFUNCTION("""COMPUTED_VALUE"""),1186.31)</f>
        <v>1186.31</v>
      </c>
      <c r="E6159" s="1">
        <f>IFERROR(__xludf.DUMMYFUNCTION("""COMPUTED_VALUE"""),1186.68)</f>
        <v>1186.68</v>
      </c>
      <c r="F6159" s="1">
        <f>IFERROR(__xludf.DUMMYFUNCTION("""COMPUTED_VALUE"""),6.04825984E8)</f>
        <v>604825984</v>
      </c>
    </row>
    <row r="6160">
      <c r="A6160" s="2">
        <f>IFERROR(__xludf.DUMMYFUNCTION("""COMPUTED_VALUE"""),40301.666666666664)</f>
        <v>40301.66667</v>
      </c>
      <c r="B6160" s="1">
        <f>IFERROR(__xludf.DUMMYFUNCTION("""COMPUTED_VALUE"""),1188.57)</f>
        <v>1188.57</v>
      </c>
      <c r="C6160" s="1">
        <f>IFERROR(__xludf.DUMMYFUNCTION("""COMPUTED_VALUE"""),1205.13)</f>
        <v>1205.13</v>
      </c>
      <c r="D6160" s="1">
        <f>IFERROR(__xludf.DUMMYFUNCTION("""COMPUTED_VALUE"""),1188.57)</f>
        <v>1188.57</v>
      </c>
      <c r="E6160" s="1">
        <f>IFERROR(__xludf.DUMMYFUNCTION("""COMPUTED_VALUE"""),1202.26)</f>
        <v>1202.26</v>
      </c>
      <c r="F6160" s="1">
        <f>IFERROR(__xludf.DUMMYFUNCTION("""COMPUTED_VALUE"""),4.93804992E8)</f>
        <v>493804992</v>
      </c>
    </row>
    <row r="6161">
      <c r="A6161" s="2">
        <f>IFERROR(__xludf.DUMMYFUNCTION("""COMPUTED_VALUE"""),40302.666666666664)</f>
        <v>40302.66667</v>
      </c>
      <c r="B6161" s="1">
        <f>IFERROR(__xludf.DUMMYFUNCTION("""COMPUTED_VALUE"""),1197.5)</f>
        <v>1197.5</v>
      </c>
      <c r="C6161" s="1">
        <f>IFERROR(__xludf.DUMMYFUNCTION("""COMPUTED_VALUE"""),1197.5)</f>
        <v>1197.5</v>
      </c>
      <c r="D6161" s="1">
        <f>IFERROR(__xludf.DUMMYFUNCTION("""COMPUTED_VALUE"""),1168.12)</f>
        <v>1168.12</v>
      </c>
      <c r="E6161" s="1">
        <f>IFERROR(__xludf.DUMMYFUNCTION("""COMPUTED_VALUE"""),1173.6)</f>
        <v>1173.6</v>
      </c>
      <c r="F6161" s="1">
        <f>IFERROR(__xludf.DUMMYFUNCTION("""COMPUTED_VALUE"""),6.59472E8)</f>
        <v>659472000</v>
      </c>
    </row>
    <row r="6162">
      <c r="A6162" s="2">
        <f>IFERROR(__xludf.DUMMYFUNCTION("""COMPUTED_VALUE"""),40303.666666666664)</f>
        <v>40303.66667</v>
      </c>
      <c r="B6162" s="1">
        <f>IFERROR(__xludf.DUMMYFUNCTION("""COMPUTED_VALUE"""),1169.24)</f>
        <v>1169.24</v>
      </c>
      <c r="C6162" s="1">
        <f>IFERROR(__xludf.DUMMYFUNCTION("""COMPUTED_VALUE"""),1175.94)</f>
        <v>1175.94</v>
      </c>
      <c r="D6162" s="1">
        <f>IFERROR(__xludf.DUMMYFUNCTION("""COMPUTED_VALUE"""),1158.15)</f>
        <v>1158.15</v>
      </c>
      <c r="E6162" s="1">
        <f>IFERROR(__xludf.DUMMYFUNCTION("""COMPUTED_VALUE"""),1165.87)</f>
        <v>1165.87</v>
      </c>
      <c r="F6162" s="1">
        <f>IFERROR(__xludf.DUMMYFUNCTION("""COMPUTED_VALUE"""),6.79593984E8)</f>
        <v>679593984</v>
      </c>
    </row>
    <row r="6163">
      <c r="A6163" s="2">
        <f>IFERROR(__xludf.DUMMYFUNCTION("""COMPUTED_VALUE"""),40304.666666666664)</f>
        <v>40304.66667</v>
      </c>
      <c r="B6163" s="1">
        <f>IFERROR(__xludf.DUMMYFUNCTION("""COMPUTED_VALUE"""),1164.38)</f>
        <v>1164.38</v>
      </c>
      <c r="C6163" s="1">
        <f>IFERROR(__xludf.DUMMYFUNCTION("""COMPUTED_VALUE"""),1167.57)</f>
        <v>1167.57</v>
      </c>
      <c r="D6163" s="1">
        <f>IFERROR(__xludf.DUMMYFUNCTION("""COMPUTED_VALUE"""),1065.79)</f>
        <v>1065.79</v>
      </c>
      <c r="E6163" s="1">
        <f>IFERROR(__xludf.DUMMYFUNCTION("""COMPUTED_VALUE"""),1128.15)</f>
        <v>1128.15</v>
      </c>
      <c r="F6163" s="1">
        <f>IFERROR(__xludf.DUMMYFUNCTION("""COMPUTED_VALUE"""),1.06178096E8)</f>
        <v>106178096</v>
      </c>
    </row>
    <row r="6164">
      <c r="A6164" s="2">
        <f>IFERROR(__xludf.DUMMYFUNCTION("""COMPUTED_VALUE"""),40305.666666666664)</f>
        <v>40305.66667</v>
      </c>
      <c r="B6164" s="1">
        <f>IFERROR(__xludf.DUMMYFUNCTION("""COMPUTED_VALUE"""),1127.04)</f>
        <v>1127.04</v>
      </c>
      <c r="C6164" s="1">
        <f>IFERROR(__xludf.DUMMYFUNCTION("""COMPUTED_VALUE"""),1135.13)</f>
        <v>1135.13</v>
      </c>
      <c r="D6164" s="1">
        <f>IFERROR(__xludf.DUMMYFUNCTION("""COMPUTED_VALUE"""),1094.15)</f>
        <v>1094.15</v>
      </c>
      <c r="E6164" s="1">
        <f>IFERROR(__xludf.DUMMYFUNCTION("""COMPUTED_VALUE"""),1110.88)</f>
        <v>1110.88</v>
      </c>
      <c r="F6164" s="1">
        <f>IFERROR(__xludf.DUMMYFUNCTION("""COMPUTED_VALUE"""),4.4729104E8)</f>
        <v>447291040</v>
      </c>
    </row>
    <row r="6165">
      <c r="A6165" s="2">
        <f>IFERROR(__xludf.DUMMYFUNCTION("""COMPUTED_VALUE"""),40308.666666666664)</f>
        <v>40308.66667</v>
      </c>
      <c r="B6165" s="1">
        <f>IFERROR(__xludf.DUMMYFUNCTION("""COMPUTED_VALUE"""),1122.27)</f>
        <v>1122.27</v>
      </c>
      <c r="C6165" s="1">
        <f>IFERROR(__xludf.DUMMYFUNCTION("""COMPUTED_VALUE"""),1163.85)</f>
        <v>1163.85</v>
      </c>
      <c r="D6165" s="1">
        <f>IFERROR(__xludf.DUMMYFUNCTION("""COMPUTED_VALUE"""),1122.27)</f>
        <v>1122.27</v>
      </c>
      <c r="E6165" s="1">
        <f>IFERROR(__xludf.DUMMYFUNCTION("""COMPUTED_VALUE"""),1159.73)</f>
        <v>1159.73</v>
      </c>
      <c r="F6165" s="1">
        <f>IFERROR(__xludf.DUMMYFUNCTION("""COMPUTED_VALUE"""),6.89369984E8)</f>
        <v>689369984</v>
      </c>
    </row>
    <row r="6166">
      <c r="A6166" s="2">
        <f>IFERROR(__xludf.DUMMYFUNCTION("""COMPUTED_VALUE"""),40309.666666666664)</f>
        <v>40309.66667</v>
      </c>
      <c r="B6166" s="1">
        <f>IFERROR(__xludf.DUMMYFUNCTION("""COMPUTED_VALUE"""),1156.39)</f>
        <v>1156.39</v>
      </c>
      <c r="C6166" s="1">
        <f>IFERROR(__xludf.DUMMYFUNCTION("""COMPUTED_VALUE"""),1170.48)</f>
        <v>1170.48</v>
      </c>
      <c r="D6166" s="1">
        <f>IFERROR(__xludf.DUMMYFUNCTION("""COMPUTED_VALUE"""),1147.71)</f>
        <v>1147.71</v>
      </c>
      <c r="E6166" s="1">
        <f>IFERROR(__xludf.DUMMYFUNCTION("""COMPUTED_VALUE"""),1155.79)</f>
        <v>1155.79</v>
      </c>
      <c r="F6166" s="1">
        <f>IFERROR(__xludf.DUMMYFUNCTION("""COMPUTED_VALUE"""),5.84254976E8)</f>
        <v>584254976</v>
      </c>
    </row>
    <row r="6167">
      <c r="A6167" s="2">
        <f>IFERROR(__xludf.DUMMYFUNCTION("""COMPUTED_VALUE"""),40310.666666666664)</f>
        <v>40310.66667</v>
      </c>
      <c r="B6167" s="1">
        <f>IFERROR(__xludf.DUMMYFUNCTION("""COMPUTED_VALUE"""),1155.43)</f>
        <v>1155.43</v>
      </c>
      <c r="C6167" s="1">
        <f>IFERROR(__xludf.DUMMYFUNCTION("""COMPUTED_VALUE"""),1172.87)</f>
        <v>1172.87</v>
      </c>
      <c r="D6167" s="1">
        <f>IFERROR(__xludf.DUMMYFUNCTION("""COMPUTED_VALUE"""),1155.43)</f>
        <v>1155.43</v>
      </c>
      <c r="E6167" s="1">
        <f>IFERROR(__xludf.DUMMYFUNCTION("""COMPUTED_VALUE"""),1171.67)</f>
        <v>1171.67</v>
      </c>
      <c r="F6167" s="1">
        <f>IFERROR(__xludf.DUMMYFUNCTION("""COMPUTED_VALUE"""),5.22545984E8)</f>
        <v>522545984</v>
      </c>
    </row>
    <row r="6168">
      <c r="A6168" s="2">
        <f>IFERROR(__xludf.DUMMYFUNCTION("""COMPUTED_VALUE"""),40311.666666666664)</f>
        <v>40311.66667</v>
      </c>
      <c r="B6168" s="1">
        <f>IFERROR(__xludf.DUMMYFUNCTION("""COMPUTED_VALUE"""),1170.04)</f>
        <v>1170.04</v>
      </c>
      <c r="C6168" s="1">
        <f>IFERROR(__xludf.DUMMYFUNCTION("""COMPUTED_VALUE"""),1173.56)</f>
        <v>1173.56</v>
      </c>
      <c r="D6168" s="1">
        <f>IFERROR(__xludf.DUMMYFUNCTION("""COMPUTED_VALUE"""),1156.14)</f>
        <v>1156.14</v>
      </c>
      <c r="E6168" s="1">
        <f>IFERROR(__xludf.DUMMYFUNCTION("""COMPUTED_VALUE"""),1157.43)</f>
        <v>1157.43</v>
      </c>
      <c r="F6168" s="1">
        <f>IFERROR(__xludf.DUMMYFUNCTION("""COMPUTED_VALUE"""),4.87064E8)</f>
        <v>487064000</v>
      </c>
    </row>
    <row r="6169">
      <c r="A6169" s="2">
        <f>IFERROR(__xludf.DUMMYFUNCTION("""COMPUTED_VALUE"""),40312.666666666664)</f>
        <v>40312.66667</v>
      </c>
      <c r="B6169" s="1">
        <f>IFERROR(__xludf.DUMMYFUNCTION("""COMPUTED_VALUE"""),1157.18)</f>
        <v>1157.18</v>
      </c>
      <c r="C6169" s="1">
        <f>IFERROR(__xludf.DUMMYFUNCTION("""COMPUTED_VALUE"""),1157.18)</f>
        <v>1157.18</v>
      </c>
      <c r="D6169" s="1">
        <f>IFERROR(__xludf.DUMMYFUNCTION("""COMPUTED_VALUE"""),1126.14)</f>
        <v>1126.14</v>
      </c>
      <c r="E6169" s="1">
        <f>IFERROR(__xludf.DUMMYFUNCTION("""COMPUTED_VALUE"""),1135.68)</f>
        <v>1135.68</v>
      </c>
      <c r="F6169" s="1">
        <f>IFERROR(__xludf.DUMMYFUNCTION("""COMPUTED_VALUE"""),6.1264E8)</f>
        <v>612640000</v>
      </c>
    </row>
    <row r="6170">
      <c r="A6170" s="2">
        <f>IFERROR(__xludf.DUMMYFUNCTION("""COMPUTED_VALUE"""),40315.666666666664)</f>
        <v>40315.66667</v>
      </c>
      <c r="B6170" s="1">
        <f>IFERROR(__xludf.DUMMYFUNCTION("""COMPUTED_VALUE"""),1136.52)</f>
        <v>1136.52</v>
      </c>
      <c r="C6170" s="1">
        <f>IFERROR(__xludf.DUMMYFUNCTION("""COMPUTED_VALUE"""),1141.88)</f>
        <v>1141.88</v>
      </c>
      <c r="D6170" s="1">
        <f>IFERROR(__xludf.DUMMYFUNCTION("""COMPUTED_VALUE"""),1114.96)</f>
        <v>1114.96</v>
      </c>
      <c r="E6170" s="1">
        <f>IFERROR(__xludf.DUMMYFUNCTION("""COMPUTED_VALUE"""),1136.94)</f>
        <v>1136.94</v>
      </c>
      <c r="F6170" s="1">
        <f>IFERROR(__xludf.DUMMYFUNCTION("""COMPUTED_VALUE"""),5.92291968E8)</f>
        <v>592291968</v>
      </c>
    </row>
    <row r="6171">
      <c r="A6171" s="2">
        <f>IFERROR(__xludf.DUMMYFUNCTION("""COMPUTED_VALUE"""),40316.666666666664)</f>
        <v>40316.66667</v>
      </c>
      <c r="B6171" s="1">
        <f>IFERROR(__xludf.DUMMYFUNCTION("""COMPUTED_VALUE"""),1138.78)</f>
        <v>1138.78</v>
      </c>
      <c r="C6171" s="1">
        <f>IFERROR(__xludf.DUMMYFUNCTION("""COMPUTED_VALUE"""),1148.66)</f>
        <v>1148.66</v>
      </c>
      <c r="D6171" s="1">
        <f>IFERROR(__xludf.DUMMYFUNCTION("""COMPUTED_VALUE"""),1117.2)</f>
        <v>1117.2</v>
      </c>
      <c r="E6171" s="1">
        <f>IFERROR(__xludf.DUMMYFUNCTION("""COMPUTED_VALUE"""),1120.8)</f>
        <v>1120.8</v>
      </c>
      <c r="F6171" s="1">
        <f>IFERROR(__xludf.DUMMYFUNCTION("""COMPUTED_VALUE"""),6.17084032E8)</f>
        <v>617084032</v>
      </c>
    </row>
    <row r="6172">
      <c r="A6172" s="2">
        <f>IFERROR(__xludf.DUMMYFUNCTION("""COMPUTED_VALUE"""),40317.666666666664)</f>
        <v>40317.66667</v>
      </c>
      <c r="B6172" s="1">
        <f>IFERROR(__xludf.DUMMYFUNCTION("""COMPUTED_VALUE"""),1119.57)</f>
        <v>1119.57</v>
      </c>
      <c r="C6172" s="1">
        <f>IFERROR(__xludf.DUMMYFUNCTION("""COMPUTED_VALUE"""),1124.27)</f>
        <v>1124.27</v>
      </c>
      <c r="D6172" s="1">
        <f>IFERROR(__xludf.DUMMYFUNCTION("""COMPUTED_VALUE"""),1100.66)</f>
        <v>1100.66</v>
      </c>
      <c r="E6172" s="1">
        <f>IFERROR(__xludf.DUMMYFUNCTION("""COMPUTED_VALUE"""),1115.05)</f>
        <v>1115.05</v>
      </c>
      <c r="F6172" s="1">
        <f>IFERROR(__xludf.DUMMYFUNCTION("""COMPUTED_VALUE"""),6.76579968E8)</f>
        <v>676579968</v>
      </c>
    </row>
    <row r="6173">
      <c r="A6173" s="2">
        <f>IFERROR(__xludf.DUMMYFUNCTION("""COMPUTED_VALUE"""),40318.666666666664)</f>
        <v>40318.66667</v>
      </c>
      <c r="B6173" s="1">
        <f>IFERROR(__xludf.DUMMYFUNCTION("""COMPUTED_VALUE"""),1107.34)</f>
        <v>1107.34</v>
      </c>
      <c r="C6173" s="1">
        <f>IFERROR(__xludf.DUMMYFUNCTION("""COMPUTED_VALUE"""),1107.34)</f>
        <v>1107.34</v>
      </c>
      <c r="D6173" s="1">
        <f>IFERROR(__xludf.DUMMYFUNCTION("""COMPUTED_VALUE"""),1071.58)</f>
        <v>1071.58</v>
      </c>
      <c r="E6173" s="1">
        <f>IFERROR(__xludf.DUMMYFUNCTION("""COMPUTED_VALUE"""),1071.59)</f>
        <v>1071.59</v>
      </c>
      <c r="F6173" s="1">
        <f>IFERROR(__xludf.DUMMYFUNCTION("""COMPUTED_VALUE"""),3.3285696E8)</f>
        <v>332856960</v>
      </c>
    </row>
    <row r="6174">
      <c r="A6174" s="2">
        <f>IFERROR(__xludf.DUMMYFUNCTION("""COMPUTED_VALUE"""),40319.666666666664)</f>
        <v>40319.66667</v>
      </c>
      <c r="B6174" s="1">
        <f>IFERROR(__xludf.DUMMYFUNCTION("""COMPUTED_VALUE"""),1067.26)</f>
        <v>1067.26</v>
      </c>
      <c r="C6174" s="1">
        <f>IFERROR(__xludf.DUMMYFUNCTION("""COMPUTED_VALUE"""),1090.16)</f>
        <v>1090.16</v>
      </c>
      <c r="D6174" s="1">
        <f>IFERROR(__xludf.DUMMYFUNCTION("""COMPUTED_VALUE"""),1055.9)</f>
        <v>1055.9</v>
      </c>
      <c r="E6174" s="1">
        <f>IFERROR(__xludf.DUMMYFUNCTION("""COMPUTED_VALUE"""),1087.69)</f>
        <v>1087.69</v>
      </c>
      <c r="F6174" s="1">
        <f>IFERROR(__xludf.DUMMYFUNCTION("""COMPUTED_VALUE"""),5.45212992E8)</f>
        <v>545212992</v>
      </c>
    </row>
    <row r="6175">
      <c r="A6175" s="2">
        <f>IFERROR(__xludf.DUMMYFUNCTION("""COMPUTED_VALUE"""),40322.666666666664)</f>
        <v>40322.66667</v>
      </c>
      <c r="B6175" s="1">
        <f>IFERROR(__xludf.DUMMYFUNCTION("""COMPUTED_VALUE"""),1084.78)</f>
        <v>1084.78</v>
      </c>
      <c r="C6175" s="1">
        <f>IFERROR(__xludf.DUMMYFUNCTION("""COMPUTED_VALUE"""),1089.95)</f>
        <v>1089.95</v>
      </c>
      <c r="D6175" s="1">
        <f>IFERROR(__xludf.DUMMYFUNCTION("""COMPUTED_VALUE"""),1072.7)</f>
        <v>1072.7</v>
      </c>
      <c r="E6175" s="1">
        <f>IFERROR(__xludf.DUMMYFUNCTION("""COMPUTED_VALUE"""),1073.65)</f>
        <v>1073.65</v>
      </c>
      <c r="F6175" s="1">
        <f>IFERROR(__xludf.DUMMYFUNCTION("""COMPUTED_VALUE"""),5.22404E8)</f>
        <v>522404000</v>
      </c>
    </row>
    <row r="6176">
      <c r="A6176" s="2">
        <f>IFERROR(__xludf.DUMMYFUNCTION("""COMPUTED_VALUE"""),40323.666666666664)</f>
        <v>40323.66667</v>
      </c>
      <c r="B6176" s="1">
        <f>IFERROR(__xludf.DUMMYFUNCTION("""COMPUTED_VALUE"""),1067.42)</f>
        <v>1067.42</v>
      </c>
      <c r="C6176" s="1">
        <f>IFERROR(__xludf.DUMMYFUNCTION("""COMPUTED_VALUE"""),1074.75)</f>
        <v>1074.75</v>
      </c>
      <c r="D6176" s="1">
        <f>IFERROR(__xludf.DUMMYFUNCTION("""COMPUTED_VALUE"""),1040.78)</f>
        <v>1040.78</v>
      </c>
      <c r="E6176" s="1">
        <f>IFERROR(__xludf.DUMMYFUNCTION("""COMPUTED_VALUE"""),1074.03)</f>
        <v>1074.03</v>
      </c>
      <c r="F6176" s="1">
        <f>IFERROR(__xludf.DUMMYFUNCTION("""COMPUTED_VALUE"""),3.32958016E8)</f>
        <v>332958016</v>
      </c>
    </row>
    <row r="6177">
      <c r="A6177" s="2">
        <f>IFERROR(__xludf.DUMMYFUNCTION("""COMPUTED_VALUE"""),40324.666666666664)</f>
        <v>40324.66667</v>
      </c>
      <c r="B6177" s="1">
        <f>IFERROR(__xludf.DUMMYFUNCTION("""COMPUTED_VALUE"""),1075.51)</f>
        <v>1075.51</v>
      </c>
      <c r="C6177" s="1">
        <f>IFERROR(__xludf.DUMMYFUNCTION("""COMPUTED_VALUE"""),1090.75)</f>
        <v>1090.75</v>
      </c>
      <c r="D6177" s="1">
        <f>IFERROR(__xludf.DUMMYFUNCTION("""COMPUTED_VALUE"""),1065.59)</f>
        <v>1065.59</v>
      </c>
      <c r="E6177" s="1">
        <f>IFERROR(__xludf.DUMMYFUNCTION("""COMPUTED_VALUE"""),1067.95)</f>
        <v>1067.95</v>
      </c>
      <c r="F6177" s="1">
        <f>IFERROR(__xludf.DUMMYFUNCTION("""COMPUTED_VALUE"""),4.52104992E8)</f>
        <v>452104992</v>
      </c>
    </row>
    <row r="6178">
      <c r="A6178" s="2">
        <f>IFERROR(__xludf.DUMMYFUNCTION("""COMPUTED_VALUE"""),40325.666666666664)</f>
        <v>40325.66667</v>
      </c>
      <c r="B6178" s="1">
        <f>IFERROR(__xludf.DUMMYFUNCTION("""COMPUTED_VALUE"""),1074.27)</f>
        <v>1074.27</v>
      </c>
      <c r="C6178" s="1">
        <f>IFERROR(__xludf.DUMMYFUNCTION("""COMPUTED_VALUE"""),1103.52)</f>
        <v>1103.52</v>
      </c>
      <c r="D6178" s="1">
        <f>IFERROR(__xludf.DUMMYFUNCTION("""COMPUTED_VALUE"""),1074.27)</f>
        <v>1074.27</v>
      </c>
      <c r="E6178" s="1">
        <f>IFERROR(__xludf.DUMMYFUNCTION("""COMPUTED_VALUE"""),1103.06)</f>
        <v>1103.06</v>
      </c>
      <c r="F6178" s="1">
        <f>IFERROR(__xludf.DUMMYFUNCTION("""COMPUTED_VALUE"""),5.69846016E8)</f>
        <v>569846016</v>
      </c>
    </row>
    <row r="6179">
      <c r="A6179" s="2">
        <f>IFERROR(__xludf.DUMMYFUNCTION("""COMPUTED_VALUE"""),40326.666666666664)</f>
        <v>40326.66667</v>
      </c>
      <c r="B6179" s="1">
        <f>IFERROR(__xludf.DUMMYFUNCTION("""COMPUTED_VALUE"""),1102.59)</f>
        <v>1102.59</v>
      </c>
      <c r="C6179" s="1">
        <f>IFERROR(__xludf.DUMMYFUNCTION("""COMPUTED_VALUE"""),1102.59)</f>
        <v>1102.59</v>
      </c>
      <c r="D6179" s="1">
        <f>IFERROR(__xludf.DUMMYFUNCTION("""COMPUTED_VALUE"""),1084.78)</f>
        <v>1084.78</v>
      </c>
      <c r="E6179" s="1">
        <f>IFERROR(__xludf.DUMMYFUNCTION("""COMPUTED_VALUE"""),1089.41)</f>
        <v>1089.41</v>
      </c>
      <c r="F6179" s="1">
        <f>IFERROR(__xludf.DUMMYFUNCTION("""COMPUTED_VALUE"""),4.87120992E8)</f>
        <v>487120992</v>
      </c>
    </row>
    <row r="6180">
      <c r="A6180" s="2">
        <f>IFERROR(__xludf.DUMMYFUNCTION("""COMPUTED_VALUE"""),40330.666666666664)</f>
        <v>40330.66667</v>
      </c>
      <c r="B6180" s="1">
        <f>IFERROR(__xludf.DUMMYFUNCTION("""COMPUTED_VALUE"""),1087.3)</f>
        <v>1087.3</v>
      </c>
      <c r="C6180" s="1">
        <f>IFERROR(__xludf.DUMMYFUNCTION("""COMPUTED_VALUE"""),1094.77)</f>
        <v>1094.77</v>
      </c>
      <c r="D6180" s="1">
        <f>IFERROR(__xludf.DUMMYFUNCTION("""COMPUTED_VALUE"""),1069.89)</f>
        <v>1069.89</v>
      </c>
      <c r="E6180" s="1">
        <f>IFERROR(__xludf.DUMMYFUNCTION("""COMPUTED_VALUE"""),1070.71)</f>
        <v>1070.71</v>
      </c>
      <c r="F6180" s="1">
        <f>IFERROR(__xludf.DUMMYFUNCTION("""COMPUTED_VALUE"""),5.27148E8)</f>
        <v>527148000</v>
      </c>
    </row>
    <row r="6181">
      <c r="A6181" s="2">
        <f>IFERROR(__xludf.DUMMYFUNCTION("""COMPUTED_VALUE"""),40331.666666666664)</f>
        <v>40331.66667</v>
      </c>
      <c r="B6181" s="1">
        <f>IFERROR(__xludf.DUMMYFUNCTION("""COMPUTED_VALUE"""),1073.01)</f>
        <v>1073.01</v>
      </c>
      <c r="C6181" s="1">
        <f>IFERROR(__xludf.DUMMYFUNCTION("""COMPUTED_VALUE"""),1098.56)</f>
        <v>1098.56</v>
      </c>
      <c r="D6181" s="1">
        <f>IFERROR(__xludf.DUMMYFUNCTION("""COMPUTED_VALUE"""),1072.03)</f>
        <v>1072.03</v>
      </c>
      <c r="E6181" s="1">
        <f>IFERROR(__xludf.DUMMYFUNCTION("""COMPUTED_VALUE"""),1098.38)</f>
        <v>1098.38</v>
      </c>
      <c r="F6181" s="1">
        <f>IFERROR(__xludf.DUMMYFUNCTION("""COMPUTED_VALUE"""),5.02636E8)</f>
        <v>502636000</v>
      </c>
    </row>
    <row r="6182">
      <c r="A6182" s="2">
        <f>IFERROR(__xludf.DUMMYFUNCTION("""COMPUTED_VALUE"""),40332.666666666664)</f>
        <v>40332.66667</v>
      </c>
      <c r="B6182" s="1">
        <f>IFERROR(__xludf.DUMMYFUNCTION("""COMPUTED_VALUE"""),1098.82)</f>
        <v>1098.82</v>
      </c>
      <c r="C6182" s="1">
        <f>IFERROR(__xludf.DUMMYFUNCTION("""COMPUTED_VALUE"""),1105.67)</f>
        <v>1105.67</v>
      </c>
      <c r="D6182" s="1">
        <f>IFERROR(__xludf.DUMMYFUNCTION("""COMPUTED_VALUE"""),1091.81)</f>
        <v>1091.81</v>
      </c>
      <c r="E6182" s="1">
        <f>IFERROR(__xludf.DUMMYFUNCTION("""COMPUTED_VALUE"""),1102.83)</f>
        <v>1102.83</v>
      </c>
      <c r="F6182" s="1">
        <f>IFERROR(__xludf.DUMMYFUNCTION("""COMPUTED_VALUE"""),4.99596992E8)</f>
        <v>499596992</v>
      </c>
    </row>
    <row r="6183">
      <c r="A6183" s="2">
        <f>IFERROR(__xludf.DUMMYFUNCTION("""COMPUTED_VALUE"""),40333.666666666664)</f>
        <v>40333.66667</v>
      </c>
      <c r="B6183" s="1">
        <f>IFERROR(__xludf.DUMMYFUNCTION("""COMPUTED_VALUE"""),1098.43)</f>
        <v>1098.43</v>
      </c>
      <c r="C6183" s="1">
        <f>IFERROR(__xludf.DUMMYFUNCTION("""COMPUTED_VALUE"""),1098.43)</f>
        <v>1098.43</v>
      </c>
      <c r="D6183" s="1">
        <f>IFERROR(__xludf.DUMMYFUNCTION("""COMPUTED_VALUE"""),1060.5)</f>
        <v>1060.5</v>
      </c>
      <c r="E6183" s="1">
        <f>IFERROR(__xludf.DUMMYFUNCTION("""COMPUTED_VALUE"""),1064.88)</f>
        <v>1064.88</v>
      </c>
      <c r="F6183" s="1">
        <f>IFERROR(__xludf.DUMMYFUNCTION("""COMPUTED_VALUE"""),6.18057984E8)</f>
        <v>618057984</v>
      </c>
    </row>
    <row r="6184">
      <c r="A6184" s="2">
        <f>IFERROR(__xludf.DUMMYFUNCTION("""COMPUTED_VALUE"""),40336.666666666664)</f>
        <v>40336.66667</v>
      </c>
      <c r="B6184" s="1">
        <f>IFERROR(__xludf.DUMMYFUNCTION("""COMPUTED_VALUE"""),1065.84)</f>
        <v>1065.84</v>
      </c>
      <c r="C6184" s="1">
        <f>IFERROR(__xludf.DUMMYFUNCTION("""COMPUTED_VALUE"""),1071.36)</f>
        <v>1071.36</v>
      </c>
      <c r="D6184" s="1">
        <f>IFERROR(__xludf.DUMMYFUNCTION("""COMPUTED_VALUE"""),1049.86)</f>
        <v>1049.86</v>
      </c>
      <c r="E6184" s="1">
        <f>IFERROR(__xludf.DUMMYFUNCTION("""COMPUTED_VALUE"""),1050.47)</f>
        <v>1050.47</v>
      </c>
      <c r="F6184" s="1">
        <f>IFERROR(__xludf.DUMMYFUNCTION("""COMPUTED_VALUE"""),5.46755968E8)</f>
        <v>546755968</v>
      </c>
    </row>
    <row r="6185">
      <c r="A6185" s="2">
        <f>IFERROR(__xludf.DUMMYFUNCTION("""COMPUTED_VALUE"""),40337.666666666664)</f>
        <v>40337.66667</v>
      </c>
      <c r="B6185" s="1">
        <f>IFERROR(__xludf.DUMMYFUNCTION("""COMPUTED_VALUE"""),1050.81)</f>
        <v>1050.81</v>
      </c>
      <c r="C6185" s="1">
        <f>IFERROR(__xludf.DUMMYFUNCTION("""COMPUTED_VALUE"""),1063.15)</f>
        <v>1063.15</v>
      </c>
      <c r="D6185" s="1">
        <f>IFERROR(__xludf.DUMMYFUNCTION("""COMPUTED_VALUE"""),1042.17)</f>
        <v>1042.17</v>
      </c>
      <c r="E6185" s="1">
        <f>IFERROR(__xludf.DUMMYFUNCTION("""COMPUTED_VALUE"""),1062.0)</f>
        <v>1062</v>
      </c>
      <c r="F6185" s="1">
        <f>IFERROR(__xludf.DUMMYFUNCTION("""COMPUTED_VALUE"""),6.19275008E8)</f>
        <v>619275008</v>
      </c>
    </row>
    <row r="6186">
      <c r="A6186" s="2">
        <f>IFERROR(__xludf.DUMMYFUNCTION("""COMPUTED_VALUE"""),40338.666666666664)</f>
        <v>40338.66667</v>
      </c>
      <c r="B6186" s="1">
        <f>IFERROR(__xludf.DUMMYFUNCTION("""COMPUTED_VALUE"""),1062.75)</f>
        <v>1062.75</v>
      </c>
      <c r="C6186" s="1">
        <f>IFERROR(__xludf.DUMMYFUNCTION("""COMPUTED_VALUE"""),1077.74)</f>
        <v>1077.74</v>
      </c>
      <c r="D6186" s="1">
        <f>IFERROR(__xludf.DUMMYFUNCTION("""COMPUTED_VALUE"""),1052.25)</f>
        <v>1052.25</v>
      </c>
      <c r="E6186" s="1">
        <f>IFERROR(__xludf.DUMMYFUNCTION("""COMPUTED_VALUE"""),1055.69)</f>
        <v>1055.69</v>
      </c>
      <c r="F6186" s="1">
        <f>IFERROR(__xludf.DUMMYFUNCTION("""COMPUTED_VALUE"""),5.9832E8)</f>
        <v>598320000</v>
      </c>
    </row>
    <row r="6187">
      <c r="A6187" s="2">
        <f>IFERROR(__xludf.DUMMYFUNCTION("""COMPUTED_VALUE"""),40339.666666666664)</f>
        <v>40339.66667</v>
      </c>
      <c r="B6187" s="1">
        <f>IFERROR(__xludf.DUMMYFUNCTION("""COMPUTED_VALUE"""),1058.77)</f>
        <v>1058.77</v>
      </c>
      <c r="C6187" s="1">
        <f>IFERROR(__xludf.DUMMYFUNCTION("""COMPUTED_VALUE"""),1087.85)</f>
        <v>1087.85</v>
      </c>
      <c r="D6187" s="1">
        <f>IFERROR(__xludf.DUMMYFUNCTION("""COMPUTED_VALUE"""),1058.77)</f>
        <v>1058.77</v>
      </c>
      <c r="E6187" s="1">
        <f>IFERROR(__xludf.DUMMYFUNCTION("""COMPUTED_VALUE"""),1086.84)</f>
        <v>1086.84</v>
      </c>
      <c r="F6187" s="1">
        <f>IFERROR(__xludf.DUMMYFUNCTION("""COMPUTED_VALUE"""),5.14478016E8)</f>
        <v>514478016</v>
      </c>
    </row>
    <row r="6188">
      <c r="A6188" s="2">
        <f>IFERROR(__xludf.DUMMYFUNCTION("""COMPUTED_VALUE"""),40340.666666666664)</f>
        <v>40340.66667</v>
      </c>
      <c r="B6188" s="1">
        <f>IFERROR(__xludf.DUMMYFUNCTION("""COMPUTED_VALUE"""),1082.65)</f>
        <v>1082.65</v>
      </c>
      <c r="C6188" s="1">
        <f>IFERROR(__xludf.DUMMYFUNCTION("""COMPUTED_VALUE"""),1092.25)</f>
        <v>1092.25</v>
      </c>
      <c r="D6188" s="1">
        <f>IFERROR(__xludf.DUMMYFUNCTION("""COMPUTED_VALUE"""),1077.12)</f>
        <v>1077.12</v>
      </c>
      <c r="E6188" s="1">
        <f>IFERROR(__xludf.DUMMYFUNCTION("""COMPUTED_VALUE"""),1091.6)</f>
        <v>1091.6</v>
      </c>
      <c r="F6188" s="1">
        <f>IFERROR(__xludf.DUMMYFUNCTION("""COMPUTED_VALUE"""),4.05928E8)</f>
        <v>405928000</v>
      </c>
    </row>
    <row r="6189">
      <c r="A6189" s="2">
        <f>IFERROR(__xludf.DUMMYFUNCTION("""COMPUTED_VALUE"""),40343.666666666664)</f>
        <v>40343.66667</v>
      </c>
      <c r="B6189" s="1">
        <f>IFERROR(__xludf.DUMMYFUNCTION("""COMPUTED_VALUE"""),1095.0)</f>
        <v>1095</v>
      </c>
      <c r="C6189" s="1">
        <f>IFERROR(__xludf.DUMMYFUNCTION("""COMPUTED_VALUE"""),1105.91)</f>
        <v>1105.91</v>
      </c>
      <c r="D6189" s="1">
        <f>IFERROR(__xludf.DUMMYFUNCTION("""COMPUTED_VALUE"""),1089.03)</f>
        <v>1089.03</v>
      </c>
      <c r="E6189" s="1">
        <f>IFERROR(__xludf.DUMMYFUNCTION("""COMPUTED_VALUE"""),1089.63)</f>
        <v>1089.63</v>
      </c>
      <c r="F6189" s="1">
        <f>IFERROR(__xludf.DUMMYFUNCTION("""COMPUTED_VALUE"""),4.42583008E8)</f>
        <v>442583008</v>
      </c>
    </row>
    <row r="6190">
      <c r="A6190" s="2">
        <f>IFERROR(__xludf.DUMMYFUNCTION("""COMPUTED_VALUE"""),40344.666666666664)</f>
        <v>40344.66667</v>
      </c>
      <c r="B6190" s="1">
        <f>IFERROR(__xludf.DUMMYFUNCTION("""COMPUTED_VALUE"""),1091.21)</f>
        <v>1091.21</v>
      </c>
      <c r="C6190" s="1">
        <f>IFERROR(__xludf.DUMMYFUNCTION("""COMPUTED_VALUE"""),1115.59)</f>
        <v>1115.59</v>
      </c>
      <c r="D6190" s="1">
        <f>IFERROR(__xludf.DUMMYFUNCTION("""COMPUTED_VALUE"""),1091.21)</f>
        <v>1091.21</v>
      </c>
      <c r="E6190" s="1">
        <f>IFERROR(__xludf.DUMMYFUNCTION("""COMPUTED_VALUE"""),1115.23)</f>
        <v>1115.23</v>
      </c>
      <c r="F6190" s="1">
        <f>IFERROR(__xludf.DUMMYFUNCTION("""COMPUTED_VALUE"""),4.64448992E8)</f>
        <v>464448992</v>
      </c>
    </row>
    <row r="6191">
      <c r="A6191" s="2">
        <f>IFERROR(__xludf.DUMMYFUNCTION("""COMPUTED_VALUE"""),40345.666666666664)</f>
        <v>40345.66667</v>
      </c>
      <c r="B6191" s="1">
        <f>IFERROR(__xludf.DUMMYFUNCTION("""COMPUTED_VALUE"""),1114.02)</f>
        <v>1114.02</v>
      </c>
      <c r="C6191" s="1">
        <f>IFERROR(__xludf.DUMMYFUNCTION("""COMPUTED_VALUE"""),1118.74)</f>
        <v>1118.74</v>
      </c>
      <c r="D6191" s="1">
        <f>IFERROR(__xludf.DUMMYFUNCTION("""COMPUTED_VALUE"""),1107.13)</f>
        <v>1107.13</v>
      </c>
      <c r="E6191" s="1">
        <f>IFERROR(__xludf.DUMMYFUNCTION("""COMPUTED_VALUE"""),1114.61)</f>
        <v>1114.61</v>
      </c>
      <c r="F6191" s="1">
        <f>IFERROR(__xludf.DUMMYFUNCTION("""COMPUTED_VALUE"""),5.0026E8)</f>
        <v>500260000</v>
      </c>
    </row>
    <row r="6192">
      <c r="A6192" s="2">
        <f>IFERROR(__xludf.DUMMYFUNCTION("""COMPUTED_VALUE"""),40346.666666666664)</f>
        <v>40346.66667</v>
      </c>
      <c r="B6192" s="1">
        <f>IFERROR(__xludf.DUMMYFUNCTION("""COMPUTED_VALUE"""),1115.98)</f>
        <v>1115.98</v>
      </c>
      <c r="C6192" s="1">
        <f>IFERROR(__xludf.DUMMYFUNCTION("""COMPUTED_VALUE"""),1117.72)</f>
        <v>1117.72</v>
      </c>
      <c r="D6192" s="1">
        <f>IFERROR(__xludf.DUMMYFUNCTION("""COMPUTED_VALUE"""),1105.87)</f>
        <v>1105.87</v>
      </c>
      <c r="E6192" s="1">
        <f>IFERROR(__xludf.DUMMYFUNCTION("""COMPUTED_VALUE"""),1116.04)</f>
        <v>1116.04</v>
      </c>
      <c r="F6192" s="1">
        <f>IFERROR(__xludf.DUMMYFUNCTION("""COMPUTED_VALUE"""),4.55776E8)</f>
        <v>455776000</v>
      </c>
    </row>
    <row r="6193">
      <c r="A6193" s="2">
        <f>IFERROR(__xludf.DUMMYFUNCTION("""COMPUTED_VALUE"""),40347.666666666664)</f>
        <v>40347.66667</v>
      </c>
      <c r="B6193" s="1">
        <f>IFERROR(__xludf.DUMMYFUNCTION("""COMPUTED_VALUE"""),1116.16)</f>
        <v>1116.16</v>
      </c>
      <c r="C6193" s="1">
        <f>IFERROR(__xludf.DUMMYFUNCTION("""COMPUTED_VALUE"""),1121.01)</f>
        <v>1121.01</v>
      </c>
      <c r="D6193" s="1">
        <f>IFERROR(__xludf.DUMMYFUNCTION("""COMPUTED_VALUE"""),1113.93)</f>
        <v>1113.93</v>
      </c>
      <c r="E6193" s="1">
        <f>IFERROR(__xludf.DUMMYFUNCTION("""COMPUTED_VALUE"""),1117.51)</f>
        <v>1117.51</v>
      </c>
      <c r="F6193" s="1">
        <f>IFERROR(__xludf.DUMMYFUNCTION("""COMPUTED_VALUE"""),4.55536E8)</f>
        <v>455536000</v>
      </c>
    </row>
    <row r="6194">
      <c r="A6194" s="2">
        <f>IFERROR(__xludf.DUMMYFUNCTION("""COMPUTED_VALUE"""),40350.666666666664)</f>
        <v>40350.66667</v>
      </c>
      <c r="B6194" s="1">
        <f>IFERROR(__xludf.DUMMYFUNCTION("""COMPUTED_VALUE"""),1122.79)</f>
        <v>1122.79</v>
      </c>
      <c r="C6194" s="1">
        <f>IFERROR(__xludf.DUMMYFUNCTION("""COMPUTED_VALUE"""),1131.23)</f>
        <v>1131.23</v>
      </c>
      <c r="D6194" s="1">
        <f>IFERROR(__xludf.DUMMYFUNCTION("""COMPUTED_VALUE"""),1108.24)</f>
        <v>1108.24</v>
      </c>
      <c r="E6194" s="1">
        <f>IFERROR(__xludf.DUMMYFUNCTION("""COMPUTED_VALUE"""),1113.2)</f>
        <v>1113.2</v>
      </c>
      <c r="F6194" s="1">
        <f>IFERROR(__xludf.DUMMYFUNCTION("""COMPUTED_VALUE"""),4.51436E8)</f>
        <v>451436000</v>
      </c>
    </row>
    <row r="6195">
      <c r="A6195" s="2">
        <f>IFERROR(__xludf.DUMMYFUNCTION("""COMPUTED_VALUE"""),40351.666666666664)</f>
        <v>40351.66667</v>
      </c>
      <c r="B6195" s="1">
        <f>IFERROR(__xludf.DUMMYFUNCTION("""COMPUTED_VALUE"""),1113.9)</f>
        <v>1113.9</v>
      </c>
      <c r="C6195" s="1">
        <f>IFERROR(__xludf.DUMMYFUNCTION("""COMPUTED_VALUE"""),1118.5)</f>
        <v>1118.5</v>
      </c>
      <c r="D6195" s="1">
        <f>IFERROR(__xludf.DUMMYFUNCTION("""COMPUTED_VALUE"""),1094.18)</f>
        <v>1094.18</v>
      </c>
      <c r="E6195" s="1">
        <f>IFERROR(__xludf.DUMMYFUNCTION("""COMPUTED_VALUE"""),1095.31)</f>
        <v>1095.31</v>
      </c>
      <c r="F6195" s="1">
        <f>IFERROR(__xludf.DUMMYFUNCTION("""COMPUTED_VALUE"""),4.51438016E8)</f>
        <v>451438016</v>
      </c>
    </row>
    <row r="6196">
      <c r="A6196" s="2">
        <f>IFERROR(__xludf.DUMMYFUNCTION("""COMPUTED_VALUE"""),40352.666666666664)</f>
        <v>40352.66667</v>
      </c>
      <c r="B6196" s="1">
        <f>IFERROR(__xludf.DUMMYFUNCTION("""COMPUTED_VALUE"""),1095.57)</f>
        <v>1095.57</v>
      </c>
      <c r="C6196" s="1">
        <f>IFERROR(__xludf.DUMMYFUNCTION("""COMPUTED_VALUE"""),1099.64)</f>
        <v>1099.64</v>
      </c>
      <c r="D6196" s="1">
        <f>IFERROR(__xludf.DUMMYFUNCTION("""COMPUTED_VALUE"""),1085.31)</f>
        <v>1085.31</v>
      </c>
      <c r="E6196" s="1">
        <f>IFERROR(__xludf.DUMMYFUNCTION("""COMPUTED_VALUE"""),1092.04)</f>
        <v>1092.04</v>
      </c>
      <c r="F6196" s="1">
        <f>IFERROR(__xludf.DUMMYFUNCTION("""COMPUTED_VALUE"""),4.52615008E8)</f>
        <v>452615008</v>
      </c>
    </row>
    <row r="6197">
      <c r="A6197" s="2">
        <f>IFERROR(__xludf.DUMMYFUNCTION("""COMPUTED_VALUE"""),40353.666666666664)</f>
        <v>40353.66667</v>
      </c>
      <c r="B6197" s="1">
        <f>IFERROR(__xludf.DUMMYFUNCTION("""COMPUTED_VALUE"""),1090.93)</f>
        <v>1090.93</v>
      </c>
      <c r="C6197" s="1">
        <f>IFERROR(__xludf.DUMMYFUNCTION("""COMPUTED_VALUE"""),1090.93)</f>
        <v>1090.93</v>
      </c>
      <c r="D6197" s="1">
        <f>IFERROR(__xludf.DUMMYFUNCTION("""COMPUTED_VALUE"""),1071.6)</f>
        <v>1071.6</v>
      </c>
      <c r="E6197" s="1">
        <f>IFERROR(__xludf.DUMMYFUNCTION("""COMPUTED_VALUE"""),1073.69)</f>
        <v>1073.69</v>
      </c>
      <c r="F6197" s="1">
        <f>IFERROR(__xludf.DUMMYFUNCTION("""COMPUTED_VALUE"""),4.81483008E8)</f>
        <v>481483008</v>
      </c>
    </row>
    <row r="6198">
      <c r="A6198" s="2">
        <f>IFERROR(__xludf.DUMMYFUNCTION("""COMPUTED_VALUE"""),40354.666666666664)</f>
        <v>40354.66667</v>
      </c>
      <c r="B6198" s="1">
        <f>IFERROR(__xludf.DUMMYFUNCTION("""COMPUTED_VALUE"""),1075.1)</f>
        <v>1075.1</v>
      </c>
      <c r="C6198" s="1">
        <f>IFERROR(__xludf.DUMMYFUNCTION("""COMPUTED_VALUE"""),1083.56)</f>
        <v>1083.56</v>
      </c>
      <c r="D6198" s="1">
        <f>IFERROR(__xludf.DUMMYFUNCTION("""COMPUTED_VALUE"""),1067.89)</f>
        <v>1067.89</v>
      </c>
      <c r="E6198" s="1">
        <f>IFERROR(__xludf.DUMMYFUNCTION("""COMPUTED_VALUE"""),1076.76)</f>
        <v>1076.76</v>
      </c>
      <c r="F6198" s="1">
        <f>IFERROR(__xludf.DUMMYFUNCTION("""COMPUTED_VALUE"""),5.12884E8)</f>
        <v>512884000</v>
      </c>
    </row>
    <row r="6199">
      <c r="A6199" s="2">
        <f>IFERROR(__xludf.DUMMYFUNCTION("""COMPUTED_VALUE"""),40357.666666666664)</f>
        <v>40357.66667</v>
      </c>
      <c r="B6199" s="1">
        <f>IFERROR(__xludf.DUMMYFUNCTION("""COMPUTED_VALUE"""),1077.5)</f>
        <v>1077.5</v>
      </c>
      <c r="C6199" s="1">
        <f>IFERROR(__xludf.DUMMYFUNCTION("""COMPUTED_VALUE"""),1082.6)</f>
        <v>1082.6</v>
      </c>
      <c r="D6199" s="1">
        <f>IFERROR(__xludf.DUMMYFUNCTION("""COMPUTED_VALUE"""),1071.45)</f>
        <v>1071.45</v>
      </c>
      <c r="E6199" s="1">
        <f>IFERROR(__xludf.DUMMYFUNCTION("""COMPUTED_VALUE"""),1074.57)</f>
        <v>1074.57</v>
      </c>
      <c r="F6199" s="1">
        <f>IFERROR(__xludf.DUMMYFUNCTION("""COMPUTED_VALUE"""),3.89640992E8)</f>
        <v>389640992</v>
      </c>
    </row>
    <row r="6200">
      <c r="A6200" s="2">
        <f>IFERROR(__xludf.DUMMYFUNCTION("""COMPUTED_VALUE"""),40358.666666666664)</f>
        <v>40358.66667</v>
      </c>
      <c r="B6200" s="1">
        <f>IFERROR(__xludf.DUMMYFUNCTION("""COMPUTED_VALUE"""),1071.1)</f>
        <v>1071.1</v>
      </c>
      <c r="C6200" s="1">
        <f>IFERROR(__xludf.DUMMYFUNCTION("""COMPUTED_VALUE"""),1071.1)</f>
        <v>1071.1</v>
      </c>
      <c r="D6200" s="1">
        <f>IFERROR(__xludf.DUMMYFUNCTION("""COMPUTED_VALUE"""),1035.18)</f>
        <v>1035.18</v>
      </c>
      <c r="E6200" s="1">
        <f>IFERROR(__xludf.DUMMYFUNCTION("""COMPUTED_VALUE"""),1041.24)</f>
        <v>1041.24</v>
      </c>
      <c r="F6200" s="1">
        <f>IFERROR(__xludf.DUMMYFUNCTION("""COMPUTED_VALUE"""),6.13670016E8)</f>
        <v>613670016</v>
      </c>
    </row>
    <row r="6201">
      <c r="A6201" s="2">
        <f>IFERROR(__xludf.DUMMYFUNCTION("""COMPUTED_VALUE"""),40359.666666666664)</f>
        <v>40359.66667</v>
      </c>
      <c r="B6201" s="1">
        <f>IFERROR(__xludf.DUMMYFUNCTION("""COMPUTED_VALUE"""),1040.56)</f>
        <v>1040.56</v>
      </c>
      <c r="C6201" s="1">
        <f>IFERROR(__xludf.DUMMYFUNCTION("""COMPUTED_VALUE"""),1048.08)</f>
        <v>1048.08</v>
      </c>
      <c r="D6201" s="1">
        <f>IFERROR(__xludf.DUMMYFUNCTION("""COMPUTED_VALUE"""),1028.33)</f>
        <v>1028.33</v>
      </c>
      <c r="E6201" s="1">
        <f>IFERROR(__xludf.DUMMYFUNCTION("""COMPUTED_VALUE"""),1030.71)</f>
        <v>1030.71</v>
      </c>
      <c r="F6201" s="1">
        <f>IFERROR(__xludf.DUMMYFUNCTION("""COMPUTED_VALUE"""),5.06708E8)</f>
        <v>506708000</v>
      </c>
    </row>
    <row r="6202">
      <c r="A6202" s="2">
        <f>IFERROR(__xludf.DUMMYFUNCTION("""COMPUTED_VALUE"""),40360.666666666664)</f>
        <v>40360.66667</v>
      </c>
      <c r="B6202" s="1">
        <f>IFERROR(__xludf.DUMMYFUNCTION("""COMPUTED_VALUE"""),1031.1)</f>
        <v>1031.1</v>
      </c>
      <c r="C6202" s="1">
        <f>IFERROR(__xludf.DUMMYFUNCTION("""COMPUTED_VALUE"""),1033.58)</f>
        <v>1033.58</v>
      </c>
      <c r="D6202" s="1">
        <f>IFERROR(__xludf.DUMMYFUNCTION("""COMPUTED_VALUE"""),1010.91)</f>
        <v>1010.91</v>
      </c>
      <c r="E6202" s="1">
        <f>IFERROR(__xludf.DUMMYFUNCTION("""COMPUTED_VALUE"""),1027.37)</f>
        <v>1027.37</v>
      </c>
      <c r="F6202" s="1">
        <f>IFERROR(__xludf.DUMMYFUNCTION("""COMPUTED_VALUE"""),6.43577024E8)</f>
        <v>643577024</v>
      </c>
    </row>
    <row r="6203">
      <c r="A6203" s="2">
        <f>IFERROR(__xludf.DUMMYFUNCTION("""COMPUTED_VALUE"""),40361.666666666664)</f>
        <v>40361.66667</v>
      </c>
      <c r="B6203" s="1">
        <f>IFERROR(__xludf.DUMMYFUNCTION("""COMPUTED_VALUE"""),1027.65)</f>
        <v>1027.65</v>
      </c>
      <c r="C6203" s="1">
        <f>IFERROR(__xludf.DUMMYFUNCTION("""COMPUTED_VALUE"""),1032.95)</f>
        <v>1032.95</v>
      </c>
      <c r="D6203" s="1">
        <f>IFERROR(__xludf.DUMMYFUNCTION("""COMPUTED_VALUE"""),1015.93)</f>
        <v>1015.93</v>
      </c>
      <c r="E6203" s="1">
        <f>IFERROR(__xludf.DUMMYFUNCTION("""COMPUTED_VALUE"""),1022.58)</f>
        <v>1022.58</v>
      </c>
      <c r="F6203" s="1">
        <f>IFERROR(__xludf.DUMMYFUNCTION("""COMPUTED_VALUE"""),3.96849984E8)</f>
        <v>396849984</v>
      </c>
    </row>
    <row r="6204">
      <c r="A6204" s="2">
        <f>IFERROR(__xludf.DUMMYFUNCTION("""COMPUTED_VALUE"""),40365.666666666664)</f>
        <v>40365.66667</v>
      </c>
      <c r="B6204" s="1">
        <f>IFERROR(__xludf.DUMMYFUNCTION("""COMPUTED_VALUE"""),1028.09)</f>
        <v>1028.09</v>
      </c>
      <c r="C6204" s="1">
        <f>IFERROR(__xludf.DUMMYFUNCTION("""COMPUTED_VALUE"""),1042.5)</f>
        <v>1042.5</v>
      </c>
      <c r="D6204" s="1">
        <f>IFERROR(__xludf.DUMMYFUNCTION("""COMPUTED_VALUE"""),1018.35)</f>
        <v>1018.35</v>
      </c>
      <c r="E6204" s="1">
        <f>IFERROR(__xludf.DUMMYFUNCTION("""COMPUTED_VALUE"""),1028.06)</f>
        <v>1028.06</v>
      </c>
      <c r="F6204" s="1">
        <f>IFERROR(__xludf.DUMMYFUNCTION("""COMPUTED_VALUE"""),4.69124E8)</f>
        <v>469124000</v>
      </c>
    </row>
    <row r="6205">
      <c r="A6205" s="2">
        <f>IFERROR(__xludf.DUMMYFUNCTION("""COMPUTED_VALUE"""),40366.666666666664)</f>
        <v>40366.66667</v>
      </c>
      <c r="B6205" s="1">
        <f>IFERROR(__xludf.DUMMYFUNCTION("""COMPUTED_VALUE"""),1028.54)</f>
        <v>1028.54</v>
      </c>
      <c r="C6205" s="1">
        <f>IFERROR(__xludf.DUMMYFUNCTION("""COMPUTED_VALUE"""),1060.89)</f>
        <v>1060.89</v>
      </c>
      <c r="D6205" s="1">
        <f>IFERROR(__xludf.DUMMYFUNCTION("""COMPUTED_VALUE"""),1028.54)</f>
        <v>1028.54</v>
      </c>
      <c r="E6205" s="1">
        <f>IFERROR(__xludf.DUMMYFUNCTION("""COMPUTED_VALUE"""),1060.27)</f>
        <v>1060.27</v>
      </c>
      <c r="F6205" s="1">
        <f>IFERROR(__xludf.DUMMYFUNCTION("""COMPUTED_VALUE"""),4.93121984E8)</f>
        <v>493121984</v>
      </c>
    </row>
    <row r="6206">
      <c r="A6206" s="2">
        <f>IFERROR(__xludf.DUMMYFUNCTION("""COMPUTED_VALUE"""),40367.666666666664)</f>
        <v>40367.66667</v>
      </c>
      <c r="B6206" s="1">
        <f>IFERROR(__xludf.DUMMYFUNCTION("""COMPUTED_VALUE"""),1062.92)</f>
        <v>1062.92</v>
      </c>
      <c r="C6206" s="1">
        <f>IFERROR(__xludf.DUMMYFUNCTION("""COMPUTED_VALUE"""),1071.25)</f>
        <v>1071.25</v>
      </c>
      <c r="D6206" s="1">
        <f>IFERROR(__xludf.DUMMYFUNCTION("""COMPUTED_VALUE"""),1058.24)</f>
        <v>1058.24</v>
      </c>
      <c r="E6206" s="1">
        <f>IFERROR(__xludf.DUMMYFUNCTION("""COMPUTED_VALUE"""),1070.25)</f>
        <v>1070.25</v>
      </c>
      <c r="F6206" s="1">
        <f>IFERROR(__xludf.DUMMYFUNCTION("""COMPUTED_VALUE"""),4.54846016E8)</f>
        <v>454846016</v>
      </c>
    </row>
    <row r="6207">
      <c r="A6207" s="2">
        <f>IFERROR(__xludf.DUMMYFUNCTION("""COMPUTED_VALUE"""),40368.666666666664)</f>
        <v>40368.66667</v>
      </c>
      <c r="B6207" s="1">
        <f>IFERROR(__xludf.DUMMYFUNCTION("""COMPUTED_VALUE"""),1070.5)</f>
        <v>1070.5</v>
      </c>
      <c r="C6207" s="1">
        <f>IFERROR(__xludf.DUMMYFUNCTION("""COMPUTED_VALUE"""),1078.16)</f>
        <v>1078.16</v>
      </c>
      <c r="D6207" s="1">
        <f>IFERROR(__xludf.DUMMYFUNCTION("""COMPUTED_VALUE"""),1068.1)</f>
        <v>1068.1</v>
      </c>
      <c r="E6207" s="1">
        <f>IFERROR(__xludf.DUMMYFUNCTION("""COMPUTED_VALUE"""),1077.96)</f>
        <v>1077.96</v>
      </c>
      <c r="F6207" s="1">
        <f>IFERROR(__xludf.DUMMYFUNCTION("""COMPUTED_VALUE"""),3.50656992E8)</f>
        <v>350656992</v>
      </c>
    </row>
    <row r="6208">
      <c r="A6208" s="2">
        <f>IFERROR(__xludf.DUMMYFUNCTION("""COMPUTED_VALUE"""),40371.666666666664)</f>
        <v>40371.66667</v>
      </c>
      <c r="B6208" s="1">
        <f>IFERROR(__xludf.DUMMYFUNCTION("""COMPUTED_VALUE"""),1077.23)</f>
        <v>1077.23</v>
      </c>
      <c r="C6208" s="1">
        <f>IFERROR(__xludf.DUMMYFUNCTION("""COMPUTED_VALUE"""),1080.78)</f>
        <v>1080.78</v>
      </c>
      <c r="D6208" s="1">
        <f>IFERROR(__xludf.DUMMYFUNCTION("""COMPUTED_VALUE"""),1070.45)</f>
        <v>1070.45</v>
      </c>
      <c r="E6208" s="1">
        <f>IFERROR(__xludf.DUMMYFUNCTION("""COMPUTED_VALUE"""),1078.75)</f>
        <v>1078.75</v>
      </c>
      <c r="F6208" s="1">
        <f>IFERROR(__xludf.DUMMYFUNCTION("""COMPUTED_VALUE"""),3.42699008E8)</f>
        <v>342699008</v>
      </c>
    </row>
    <row r="6209">
      <c r="A6209" s="2">
        <f>IFERROR(__xludf.DUMMYFUNCTION("""COMPUTED_VALUE"""),40372.666666666664)</f>
        <v>40372.66667</v>
      </c>
      <c r="B6209" s="1">
        <f>IFERROR(__xludf.DUMMYFUNCTION("""COMPUTED_VALUE"""),1080.65)</f>
        <v>1080.65</v>
      </c>
      <c r="C6209" s="1">
        <f>IFERROR(__xludf.DUMMYFUNCTION("""COMPUTED_VALUE"""),1099.46)</f>
        <v>1099.46</v>
      </c>
      <c r="D6209" s="1">
        <f>IFERROR(__xludf.DUMMYFUNCTION("""COMPUTED_VALUE"""),1080.65)</f>
        <v>1080.65</v>
      </c>
      <c r="E6209" s="1">
        <f>IFERROR(__xludf.DUMMYFUNCTION("""COMPUTED_VALUE"""),1095.34)</f>
        <v>1095.34</v>
      </c>
      <c r="F6209" s="1">
        <f>IFERROR(__xludf.DUMMYFUNCTION("""COMPUTED_VALUE"""),4.64046016E8)</f>
        <v>464046016</v>
      </c>
    </row>
    <row r="6210">
      <c r="A6210" s="2">
        <f>IFERROR(__xludf.DUMMYFUNCTION("""COMPUTED_VALUE"""),40373.666666666664)</f>
        <v>40373.66667</v>
      </c>
      <c r="B6210" s="1">
        <f>IFERROR(__xludf.DUMMYFUNCTION("""COMPUTED_VALUE"""),1095.61)</f>
        <v>1095.61</v>
      </c>
      <c r="C6210" s="1">
        <f>IFERROR(__xludf.DUMMYFUNCTION("""COMPUTED_VALUE"""),1099.08)</f>
        <v>1099.08</v>
      </c>
      <c r="D6210" s="1">
        <f>IFERROR(__xludf.DUMMYFUNCTION("""COMPUTED_VALUE"""),1087.68)</f>
        <v>1087.68</v>
      </c>
      <c r="E6210" s="1">
        <f>IFERROR(__xludf.DUMMYFUNCTION("""COMPUTED_VALUE"""),1095.17)</f>
        <v>1095.17</v>
      </c>
      <c r="F6210" s="1">
        <f>IFERROR(__xludf.DUMMYFUNCTION("""COMPUTED_VALUE"""),4.52104992E8)</f>
        <v>452104992</v>
      </c>
    </row>
    <row r="6211">
      <c r="A6211" s="2">
        <f>IFERROR(__xludf.DUMMYFUNCTION("""COMPUTED_VALUE"""),40374.666666666664)</f>
        <v>40374.66667</v>
      </c>
      <c r="B6211" s="1">
        <f>IFERROR(__xludf.DUMMYFUNCTION("""COMPUTED_VALUE"""),1094.46)</f>
        <v>1094.46</v>
      </c>
      <c r="C6211" s="1">
        <f>IFERROR(__xludf.DUMMYFUNCTION("""COMPUTED_VALUE"""),1098.66)</f>
        <v>1098.66</v>
      </c>
      <c r="D6211" s="1">
        <f>IFERROR(__xludf.DUMMYFUNCTION("""COMPUTED_VALUE"""),1080.53)</f>
        <v>1080.53</v>
      </c>
      <c r="E6211" s="1">
        <f>IFERROR(__xludf.DUMMYFUNCTION("""COMPUTED_VALUE"""),1096.48)</f>
        <v>1096.48</v>
      </c>
      <c r="F6211" s="1">
        <f>IFERROR(__xludf.DUMMYFUNCTION("""COMPUTED_VALUE"""),4.55247008E8)</f>
        <v>455247008</v>
      </c>
    </row>
    <row r="6212">
      <c r="A6212" s="2">
        <f>IFERROR(__xludf.DUMMYFUNCTION("""COMPUTED_VALUE"""),40375.666666666664)</f>
        <v>40375.66667</v>
      </c>
      <c r="B6212" s="1">
        <f>IFERROR(__xludf.DUMMYFUNCTION("""COMPUTED_VALUE"""),1093.85)</f>
        <v>1093.85</v>
      </c>
      <c r="C6212" s="1">
        <f>IFERROR(__xludf.DUMMYFUNCTION("""COMPUTED_VALUE"""),1093.85)</f>
        <v>1093.85</v>
      </c>
      <c r="D6212" s="1">
        <f>IFERROR(__xludf.DUMMYFUNCTION("""COMPUTED_VALUE"""),1063.32)</f>
        <v>1063.32</v>
      </c>
      <c r="E6212" s="1">
        <f>IFERROR(__xludf.DUMMYFUNCTION("""COMPUTED_VALUE"""),1064.88)</f>
        <v>1064.88</v>
      </c>
      <c r="F6212" s="1">
        <f>IFERROR(__xludf.DUMMYFUNCTION("""COMPUTED_VALUE"""),5.29735008E8)</f>
        <v>529735008</v>
      </c>
    </row>
    <row r="6213">
      <c r="A6213" s="2">
        <f>IFERROR(__xludf.DUMMYFUNCTION("""COMPUTED_VALUE"""),40378.666666666664)</f>
        <v>40378.66667</v>
      </c>
      <c r="B6213" s="1">
        <f>IFERROR(__xludf.DUMMYFUNCTION("""COMPUTED_VALUE"""),1066.85)</f>
        <v>1066.85</v>
      </c>
      <c r="C6213" s="1">
        <f>IFERROR(__xludf.DUMMYFUNCTION("""COMPUTED_VALUE"""),1074.7)</f>
        <v>1074.7</v>
      </c>
      <c r="D6213" s="1">
        <f>IFERROR(__xludf.DUMMYFUNCTION("""COMPUTED_VALUE"""),1061.11)</f>
        <v>1061.11</v>
      </c>
      <c r="E6213" s="1">
        <f>IFERROR(__xludf.DUMMYFUNCTION("""COMPUTED_VALUE"""),1071.25)</f>
        <v>1071.25</v>
      </c>
      <c r="F6213" s="1">
        <f>IFERROR(__xludf.DUMMYFUNCTION("""COMPUTED_VALUE"""),4.08950016E8)</f>
        <v>408950016</v>
      </c>
    </row>
    <row r="6214">
      <c r="A6214" s="2">
        <f>IFERROR(__xludf.DUMMYFUNCTION("""COMPUTED_VALUE"""),40379.666666666664)</f>
        <v>40379.66667</v>
      </c>
      <c r="B6214" s="1">
        <f>IFERROR(__xludf.DUMMYFUNCTION("""COMPUTED_VALUE"""),1064.53)</f>
        <v>1064.53</v>
      </c>
      <c r="C6214" s="1">
        <f>IFERROR(__xludf.DUMMYFUNCTION("""COMPUTED_VALUE"""),1083.94)</f>
        <v>1083.94</v>
      </c>
      <c r="D6214" s="1">
        <f>IFERROR(__xludf.DUMMYFUNCTION("""COMPUTED_VALUE"""),1056.88)</f>
        <v>1056.88</v>
      </c>
      <c r="E6214" s="1">
        <f>IFERROR(__xludf.DUMMYFUNCTION("""COMPUTED_VALUE"""),1083.48)</f>
        <v>1083.48</v>
      </c>
      <c r="F6214" s="1">
        <f>IFERROR(__xludf.DUMMYFUNCTION("""COMPUTED_VALUE"""),4.71328E8)</f>
        <v>471328000</v>
      </c>
    </row>
    <row r="6215">
      <c r="A6215" s="2">
        <f>IFERROR(__xludf.DUMMYFUNCTION("""COMPUTED_VALUE"""),40380.666666666664)</f>
        <v>40380.66667</v>
      </c>
      <c r="B6215" s="1">
        <f>IFERROR(__xludf.DUMMYFUNCTION("""COMPUTED_VALUE"""),1086.67)</f>
        <v>1086.67</v>
      </c>
      <c r="C6215" s="1">
        <f>IFERROR(__xludf.DUMMYFUNCTION("""COMPUTED_VALUE"""),1088.96)</f>
        <v>1088.96</v>
      </c>
      <c r="D6215" s="1">
        <f>IFERROR(__xludf.DUMMYFUNCTION("""COMPUTED_VALUE"""),1065.25)</f>
        <v>1065.25</v>
      </c>
      <c r="E6215" s="1">
        <f>IFERROR(__xludf.DUMMYFUNCTION("""COMPUTED_VALUE"""),1069.59)</f>
        <v>1069.59</v>
      </c>
      <c r="F6215" s="1">
        <f>IFERROR(__xludf.DUMMYFUNCTION("""COMPUTED_VALUE"""),4.74718016E8)</f>
        <v>474718016</v>
      </c>
    </row>
    <row r="6216">
      <c r="A6216" s="2">
        <f>IFERROR(__xludf.DUMMYFUNCTION("""COMPUTED_VALUE"""),40381.666666666664)</f>
        <v>40381.66667</v>
      </c>
      <c r="B6216" s="1">
        <f>IFERROR(__xludf.DUMMYFUNCTION("""COMPUTED_VALUE"""),1072.14)</f>
        <v>1072.14</v>
      </c>
      <c r="C6216" s="1">
        <f>IFERROR(__xludf.DUMMYFUNCTION("""COMPUTED_VALUE"""),1097.5)</f>
        <v>1097.5</v>
      </c>
      <c r="D6216" s="1">
        <f>IFERROR(__xludf.DUMMYFUNCTION("""COMPUTED_VALUE"""),1072.14)</f>
        <v>1072.14</v>
      </c>
      <c r="E6216" s="1">
        <f>IFERROR(__xludf.DUMMYFUNCTION("""COMPUTED_VALUE"""),1093.67)</f>
        <v>1093.67</v>
      </c>
      <c r="F6216" s="1">
        <f>IFERROR(__xludf.DUMMYFUNCTION("""COMPUTED_VALUE"""),4.82689984E8)</f>
        <v>482689984</v>
      </c>
    </row>
    <row r="6217">
      <c r="A6217" s="2">
        <f>IFERROR(__xludf.DUMMYFUNCTION("""COMPUTED_VALUE"""),40382.666666666664)</f>
        <v>40382.66667</v>
      </c>
      <c r="B6217" s="1">
        <f>IFERROR(__xludf.DUMMYFUNCTION("""COMPUTED_VALUE"""),1092.17)</f>
        <v>1092.17</v>
      </c>
      <c r="C6217" s="1">
        <f>IFERROR(__xludf.DUMMYFUNCTION("""COMPUTED_VALUE"""),1103.73)</f>
        <v>1103.73</v>
      </c>
      <c r="D6217" s="1">
        <f>IFERROR(__xludf.DUMMYFUNCTION("""COMPUTED_VALUE"""),1087.88)</f>
        <v>1087.88</v>
      </c>
      <c r="E6217" s="1">
        <f>IFERROR(__xludf.DUMMYFUNCTION("""COMPUTED_VALUE"""),1102.66)</f>
        <v>1102.66</v>
      </c>
      <c r="F6217" s="1">
        <f>IFERROR(__xludf.DUMMYFUNCTION("""COMPUTED_VALUE"""),4.52456992E8)</f>
        <v>452456992</v>
      </c>
    </row>
    <row r="6218">
      <c r="A6218" s="2">
        <f>IFERROR(__xludf.DUMMYFUNCTION("""COMPUTED_VALUE"""),40385.666666666664)</f>
        <v>40385.66667</v>
      </c>
      <c r="B6218" s="1">
        <f>IFERROR(__xludf.DUMMYFUNCTION("""COMPUTED_VALUE"""),1102.89)</f>
        <v>1102.89</v>
      </c>
      <c r="C6218" s="1">
        <f>IFERROR(__xludf.DUMMYFUNCTION("""COMPUTED_VALUE"""),1115.01)</f>
        <v>1115.01</v>
      </c>
      <c r="D6218" s="1">
        <f>IFERROR(__xludf.DUMMYFUNCTION("""COMPUTED_VALUE"""),1101.3)</f>
        <v>1101.3</v>
      </c>
      <c r="E6218" s="1">
        <f>IFERROR(__xludf.DUMMYFUNCTION("""COMPUTED_VALUE"""),1115.01)</f>
        <v>1115.01</v>
      </c>
      <c r="F6218" s="1">
        <f>IFERROR(__xludf.DUMMYFUNCTION("""COMPUTED_VALUE"""),4.00964992E8)</f>
        <v>400964992</v>
      </c>
    </row>
    <row r="6219">
      <c r="A6219" s="2">
        <f>IFERROR(__xludf.DUMMYFUNCTION("""COMPUTED_VALUE"""),40386.666666666664)</f>
        <v>40386.66667</v>
      </c>
      <c r="B6219" s="1">
        <f>IFERROR(__xludf.DUMMYFUNCTION("""COMPUTED_VALUE"""),1117.36)</f>
        <v>1117.36</v>
      </c>
      <c r="C6219" s="1">
        <f>IFERROR(__xludf.DUMMYFUNCTION("""COMPUTED_VALUE"""),1120.95)</f>
        <v>1120.95</v>
      </c>
      <c r="D6219" s="1">
        <f>IFERROR(__xludf.DUMMYFUNCTION("""COMPUTED_VALUE"""),1109.78)</f>
        <v>1109.78</v>
      </c>
      <c r="E6219" s="1">
        <f>IFERROR(__xludf.DUMMYFUNCTION("""COMPUTED_VALUE"""),1113.84)</f>
        <v>1113.84</v>
      </c>
      <c r="F6219" s="1">
        <f>IFERROR(__xludf.DUMMYFUNCTION("""COMPUTED_VALUE"""),4.72568992E8)</f>
        <v>472568992</v>
      </c>
    </row>
    <row r="6220">
      <c r="A6220" s="2">
        <f>IFERROR(__xludf.DUMMYFUNCTION("""COMPUTED_VALUE"""),40387.666666666664)</f>
        <v>40387.66667</v>
      </c>
      <c r="B6220" s="1">
        <f>IFERROR(__xludf.DUMMYFUNCTION("""COMPUTED_VALUE"""),1112.84)</f>
        <v>1112.84</v>
      </c>
      <c r="C6220" s="1">
        <f>IFERROR(__xludf.DUMMYFUNCTION("""COMPUTED_VALUE"""),1114.66)</f>
        <v>1114.66</v>
      </c>
      <c r="D6220" s="1">
        <f>IFERROR(__xludf.DUMMYFUNCTION("""COMPUTED_VALUE"""),1103.11)</f>
        <v>1103.11</v>
      </c>
      <c r="E6220" s="1">
        <f>IFERROR(__xludf.DUMMYFUNCTION("""COMPUTED_VALUE"""),1106.13)</f>
        <v>1106.13</v>
      </c>
      <c r="F6220" s="1">
        <f>IFERROR(__xludf.DUMMYFUNCTION("""COMPUTED_VALUE"""),4.00239008E8)</f>
        <v>400239008</v>
      </c>
    </row>
    <row r="6221">
      <c r="A6221" s="2">
        <f>IFERROR(__xludf.DUMMYFUNCTION("""COMPUTED_VALUE"""),40388.666666666664)</f>
        <v>40388.66667</v>
      </c>
      <c r="B6221" s="1">
        <f>IFERROR(__xludf.DUMMYFUNCTION("""COMPUTED_VALUE"""),1108.07)</f>
        <v>1108.07</v>
      </c>
      <c r="C6221" s="1">
        <f>IFERROR(__xludf.DUMMYFUNCTION("""COMPUTED_VALUE"""),1115.9)</f>
        <v>1115.9</v>
      </c>
      <c r="D6221" s="1">
        <f>IFERROR(__xludf.DUMMYFUNCTION("""COMPUTED_VALUE"""),1092.82)</f>
        <v>1092.82</v>
      </c>
      <c r="E6221" s="1">
        <f>IFERROR(__xludf.DUMMYFUNCTION("""COMPUTED_VALUE"""),1101.53)</f>
        <v>1101.53</v>
      </c>
      <c r="F6221" s="1">
        <f>IFERROR(__xludf.DUMMYFUNCTION("""COMPUTED_VALUE"""),4.61241984E8)</f>
        <v>461241984</v>
      </c>
    </row>
    <row r="6222">
      <c r="A6222" s="2">
        <f>IFERROR(__xludf.DUMMYFUNCTION("""COMPUTED_VALUE"""),40389.666666666664)</f>
        <v>40389.66667</v>
      </c>
      <c r="B6222" s="1">
        <f>IFERROR(__xludf.DUMMYFUNCTION("""COMPUTED_VALUE"""),1098.44)</f>
        <v>1098.44</v>
      </c>
      <c r="C6222" s="1">
        <f>IFERROR(__xludf.DUMMYFUNCTION("""COMPUTED_VALUE"""),1106.44)</f>
        <v>1106.44</v>
      </c>
      <c r="D6222" s="1">
        <f>IFERROR(__xludf.DUMMYFUNCTION("""COMPUTED_VALUE"""),1088.01)</f>
        <v>1088.01</v>
      </c>
      <c r="E6222" s="1">
        <f>IFERROR(__xludf.DUMMYFUNCTION("""COMPUTED_VALUE"""),1101.6)</f>
        <v>1101.6</v>
      </c>
      <c r="F6222" s="1">
        <f>IFERROR(__xludf.DUMMYFUNCTION("""COMPUTED_VALUE"""),4.00644992E8)</f>
        <v>400644992</v>
      </c>
    </row>
    <row r="6223">
      <c r="A6223" s="2">
        <f>IFERROR(__xludf.DUMMYFUNCTION("""COMPUTED_VALUE"""),40392.666666666664)</f>
        <v>40392.66667</v>
      </c>
      <c r="B6223" s="1">
        <f>IFERROR(__xludf.DUMMYFUNCTION("""COMPUTED_VALUE"""),1107.53)</f>
        <v>1107.53</v>
      </c>
      <c r="C6223" s="1">
        <f>IFERROR(__xludf.DUMMYFUNCTION("""COMPUTED_VALUE"""),1127.3)</f>
        <v>1127.3</v>
      </c>
      <c r="D6223" s="1">
        <f>IFERROR(__xludf.DUMMYFUNCTION("""COMPUTED_VALUE"""),1107.53)</f>
        <v>1107.53</v>
      </c>
      <c r="E6223" s="1">
        <f>IFERROR(__xludf.DUMMYFUNCTION("""COMPUTED_VALUE"""),1125.86)</f>
        <v>1125.86</v>
      </c>
      <c r="F6223" s="1">
        <f>IFERROR(__xludf.DUMMYFUNCTION("""COMPUTED_VALUE"""),4.14417984E8)</f>
        <v>414417984</v>
      </c>
    </row>
    <row r="6224">
      <c r="A6224" s="2">
        <f>IFERROR(__xludf.DUMMYFUNCTION("""COMPUTED_VALUE"""),40393.666666666664)</f>
        <v>40393.66667</v>
      </c>
      <c r="B6224" s="1">
        <f>IFERROR(__xludf.DUMMYFUNCTION("""COMPUTED_VALUE"""),1125.34)</f>
        <v>1125.34</v>
      </c>
      <c r="C6224" s="1">
        <f>IFERROR(__xludf.DUMMYFUNCTION("""COMPUTED_VALUE"""),1125.44)</f>
        <v>1125.44</v>
      </c>
      <c r="D6224" s="1">
        <f>IFERROR(__xludf.DUMMYFUNCTION("""COMPUTED_VALUE"""),1116.76)</f>
        <v>1116.76</v>
      </c>
      <c r="E6224" s="1">
        <f>IFERROR(__xludf.DUMMYFUNCTION("""COMPUTED_VALUE"""),1120.46)</f>
        <v>1120.46</v>
      </c>
      <c r="F6224" s="1">
        <f>IFERROR(__xludf.DUMMYFUNCTION("""COMPUTED_VALUE"""),4.07182016E8)</f>
        <v>407182016</v>
      </c>
    </row>
    <row r="6225">
      <c r="A6225" s="2">
        <f>IFERROR(__xludf.DUMMYFUNCTION("""COMPUTED_VALUE"""),40394.666666666664)</f>
        <v>40394.66667</v>
      </c>
      <c r="B6225" s="1">
        <f>IFERROR(__xludf.DUMMYFUNCTION("""COMPUTED_VALUE"""),1121.06)</f>
        <v>1121.06</v>
      </c>
      <c r="C6225" s="1">
        <f>IFERROR(__xludf.DUMMYFUNCTION("""COMPUTED_VALUE"""),1128.75)</f>
        <v>1128.75</v>
      </c>
      <c r="D6225" s="1">
        <f>IFERROR(__xludf.DUMMYFUNCTION("""COMPUTED_VALUE"""),1119.46)</f>
        <v>1119.46</v>
      </c>
      <c r="E6225" s="1">
        <f>IFERROR(__xludf.DUMMYFUNCTION("""COMPUTED_VALUE"""),1127.24)</f>
        <v>1127.24</v>
      </c>
      <c r="F6225" s="1">
        <f>IFERROR(__xludf.DUMMYFUNCTION("""COMPUTED_VALUE"""),4.05784992E8)</f>
        <v>405784992</v>
      </c>
    </row>
    <row r="6226">
      <c r="A6226" s="2">
        <f>IFERROR(__xludf.DUMMYFUNCTION("""COMPUTED_VALUE"""),40395.666666666664)</f>
        <v>40395.66667</v>
      </c>
      <c r="B6226" s="1">
        <f>IFERROR(__xludf.DUMMYFUNCTION("""COMPUTED_VALUE"""),1125.78)</f>
        <v>1125.78</v>
      </c>
      <c r="C6226" s="1">
        <f>IFERROR(__xludf.DUMMYFUNCTION("""COMPUTED_VALUE"""),1126.56)</f>
        <v>1126.56</v>
      </c>
      <c r="D6226" s="1">
        <f>IFERROR(__xludf.DUMMYFUNCTION("""COMPUTED_VALUE"""),1118.81)</f>
        <v>1118.81</v>
      </c>
      <c r="E6226" s="1">
        <f>IFERROR(__xludf.DUMMYFUNCTION("""COMPUTED_VALUE"""),1125.81)</f>
        <v>1125.81</v>
      </c>
      <c r="F6226" s="1">
        <f>IFERROR(__xludf.DUMMYFUNCTION("""COMPUTED_VALUE"""),3.68556E8)</f>
        <v>368556000</v>
      </c>
    </row>
    <row r="6227">
      <c r="A6227" s="2">
        <f>IFERROR(__xludf.DUMMYFUNCTION("""COMPUTED_VALUE"""),40396.666666666664)</f>
        <v>40396.66667</v>
      </c>
      <c r="B6227" s="1">
        <f>IFERROR(__xludf.DUMMYFUNCTION("""COMPUTED_VALUE"""),1122.07)</f>
        <v>1122.07</v>
      </c>
      <c r="C6227" s="1">
        <f>IFERROR(__xludf.DUMMYFUNCTION("""COMPUTED_VALUE"""),1123.06)</f>
        <v>1123.06</v>
      </c>
      <c r="D6227" s="1">
        <f>IFERROR(__xludf.DUMMYFUNCTION("""COMPUTED_VALUE"""),1107.17)</f>
        <v>1107.17</v>
      </c>
      <c r="E6227" s="1">
        <f>IFERROR(__xludf.DUMMYFUNCTION("""COMPUTED_VALUE"""),1121.64)</f>
        <v>1121.64</v>
      </c>
      <c r="F6227" s="1">
        <f>IFERROR(__xludf.DUMMYFUNCTION("""COMPUTED_VALUE"""),3.85788992E8)</f>
        <v>385788992</v>
      </c>
    </row>
    <row r="6228">
      <c r="A6228" s="2">
        <f>IFERROR(__xludf.DUMMYFUNCTION("""COMPUTED_VALUE"""),40399.666666666664)</f>
        <v>40399.66667</v>
      </c>
      <c r="B6228" s="1">
        <f>IFERROR(__xludf.DUMMYFUNCTION("""COMPUTED_VALUE"""),1122.8)</f>
        <v>1122.8</v>
      </c>
      <c r="C6228" s="1">
        <f>IFERROR(__xludf.DUMMYFUNCTION("""COMPUTED_VALUE"""),1129.24)</f>
        <v>1129.24</v>
      </c>
      <c r="D6228" s="1">
        <f>IFERROR(__xludf.DUMMYFUNCTION("""COMPUTED_VALUE"""),1120.91)</f>
        <v>1120.91</v>
      </c>
      <c r="E6228" s="1">
        <f>IFERROR(__xludf.DUMMYFUNCTION("""COMPUTED_VALUE"""),1127.79)</f>
        <v>1127.79</v>
      </c>
      <c r="F6228" s="1">
        <f>IFERROR(__xludf.DUMMYFUNCTION("""COMPUTED_VALUE"""),3.19163008E8)</f>
        <v>319163008</v>
      </c>
    </row>
    <row r="6229">
      <c r="A6229" s="2">
        <f>IFERROR(__xludf.DUMMYFUNCTION("""COMPUTED_VALUE"""),40400.666666666664)</f>
        <v>40400.66667</v>
      </c>
      <c r="B6229" s="1">
        <f>IFERROR(__xludf.DUMMYFUNCTION("""COMPUTED_VALUE"""),1122.92)</f>
        <v>1122.92</v>
      </c>
      <c r="C6229" s="1">
        <f>IFERROR(__xludf.DUMMYFUNCTION("""COMPUTED_VALUE"""),1127.16)</f>
        <v>1127.16</v>
      </c>
      <c r="D6229" s="1">
        <f>IFERROR(__xludf.DUMMYFUNCTION("""COMPUTED_VALUE"""),1111.58)</f>
        <v>1111.58</v>
      </c>
      <c r="E6229" s="1">
        <f>IFERROR(__xludf.DUMMYFUNCTION("""COMPUTED_VALUE"""),1121.06)</f>
        <v>1121.06</v>
      </c>
      <c r="F6229" s="1">
        <f>IFERROR(__xludf.DUMMYFUNCTION("""COMPUTED_VALUE"""),3.97936E8)</f>
        <v>397936000</v>
      </c>
    </row>
    <row r="6230">
      <c r="A6230" s="2">
        <f>IFERROR(__xludf.DUMMYFUNCTION("""COMPUTED_VALUE"""),40401.666666666664)</f>
        <v>40401.66667</v>
      </c>
      <c r="B6230" s="1">
        <f>IFERROR(__xludf.DUMMYFUNCTION("""COMPUTED_VALUE"""),1116.89)</f>
        <v>1116.89</v>
      </c>
      <c r="C6230" s="1">
        <f>IFERROR(__xludf.DUMMYFUNCTION("""COMPUTED_VALUE"""),1116.89)</f>
        <v>1116.89</v>
      </c>
      <c r="D6230" s="1">
        <f>IFERROR(__xludf.DUMMYFUNCTION("""COMPUTED_VALUE"""),1088.55)</f>
        <v>1088.55</v>
      </c>
      <c r="E6230" s="1">
        <f>IFERROR(__xludf.DUMMYFUNCTION("""COMPUTED_VALUE"""),1089.47)</f>
        <v>1089.47</v>
      </c>
      <c r="F6230" s="1">
        <f>IFERROR(__xludf.DUMMYFUNCTION("""COMPUTED_VALUE"""),4.51185984E8)</f>
        <v>451185984</v>
      </c>
    </row>
    <row r="6231">
      <c r="A6231" s="2">
        <f>IFERROR(__xludf.DUMMYFUNCTION("""COMPUTED_VALUE"""),40402.666666666664)</f>
        <v>40402.66667</v>
      </c>
      <c r="B6231" s="1">
        <f>IFERROR(__xludf.DUMMYFUNCTION("""COMPUTED_VALUE"""),1081.48)</f>
        <v>1081.48</v>
      </c>
      <c r="C6231" s="1">
        <f>IFERROR(__xludf.DUMMYFUNCTION("""COMPUTED_VALUE"""),1086.72)</f>
        <v>1086.72</v>
      </c>
      <c r="D6231" s="1">
        <f>IFERROR(__xludf.DUMMYFUNCTION("""COMPUTED_VALUE"""),1076.69)</f>
        <v>1076.69</v>
      </c>
      <c r="E6231" s="1">
        <f>IFERROR(__xludf.DUMMYFUNCTION("""COMPUTED_VALUE"""),1083.61)</f>
        <v>1083.61</v>
      </c>
      <c r="F6231" s="1">
        <f>IFERROR(__xludf.DUMMYFUNCTION("""COMPUTED_VALUE"""),4.52104992E8)</f>
        <v>452104992</v>
      </c>
    </row>
    <row r="6232">
      <c r="A6232" s="2">
        <f>IFERROR(__xludf.DUMMYFUNCTION("""COMPUTED_VALUE"""),40403.666666666664)</f>
        <v>40403.66667</v>
      </c>
      <c r="B6232" s="1">
        <f>IFERROR(__xludf.DUMMYFUNCTION("""COMPUTED_VALUE"""),1082.22)</f>
        <v>1082.22</v>
      </c>
      <c r="C6232" s="1">
        <f>IFERROR(__xludf.DUMMYFUNCTION("""COMPUTED_VALUE"""),1086.25)</f>
        <v>1086.25</v>
      </c>
      <c r="D6232" s="1">
        <f>IFERROR(__xludf.DUMMYFUNCTION("""COMPUTED_VALUE"""),1079.0)</f>
        <v>1079</v>
      </c>
      <c r="E6232" s="1">
        <f>IFERROR(__xludf.DUMMYFUNCTION("""COMPUTED_VALUE"""),1079.25)</f>
        <v>1079.25</v>
      </c>
      <c r="F6232" s="1">
        <f>IFERROR(__xludf.DUMMYFUNCTION("""COMPUTED_VALUE"""),3.32888992E8)</f>
        <v>332888992</v>
      </c>
    </row>
    <row r="6233">
      <c r="A6233" s="2">
        <f>IFERROR(__xludf.DUMMYFUNCTION("""COMPUTED_VALUE"""),40406.666666666664)</f>
        <v>40406.66667</v>
      </c>
      <c r="B6233" s="1">
        <f>IFERROR(__xludf.DUMMYFUNCTION("""COMPUTED_VALUE"""),1077.49)</f>
        <v>1077.49</v>
      </c>
      <c r="C6233" s="1">
        <f>IFERROR(__xludf.DUMMYFUNCTION("""COMPUTED_VALUE"""),1082.62)</f>
        <v>1082.62</v>
      </c>
      <c r="D6233" s="1">
        <f>IFERROR(__xludf.DUMMYFUNCTION("""COMPUTED_VALUE"""),1069.49)</f>
        <v>1069.49</v>
      </c>
      <c r="E6233" s="1">
        <f>IFERROR(__xludf.DUMMYFUNCTION("""COMPUTED_VALUE"""),1079.38)</f>
        <v>1079.38</v>
      </c>
      <c r="F6233" s="1">
        <f>IFERROR(__xludf.DUMMYFUNCTION("""COMPUTED_VALUE"""),3.14244992E8)</f>
        <v>314244992</v>
      </c>
    </row>
    <row r="6234">
      <c r="A6234" s="2">
        <f>IFERROR(__xludf.DUMMYFUNCTION("""COMPUTED_VALUE"""),40407.666666666664)</f>
        <v>40407.66667</v>
      </c>
      <c r="B6234" s="1">
        <f>IFERROR(__xludf.DUMMYFUNCTION("""COMPUTED_VALUE"""),1081.16)</f>
        <v>1081.16</v>
      </c>
      <c r="C6234" s="1">
        <f>IFERROR(__xludf.DUMMYFUNCTION("""COMPUTED_VALUE"""),1100.14)</f>
        <v>1100.14</v>
      </c>
      <c r="D6234" s="1">
        <f>IFERROR(__xludf.DUMMYFUNCTION("""COMPUTED_VALUE"""),1081.16)</f>
        <v>1081.16</v>
      </c>
      <c r="E6234" s="1">
        <f>IFERROR(__xludf.DUMMYFUNCTION("""COMPUTED_VALUE"""),1092.54)</f>
        <v>1092.54</v>
      </c>
      <c r="F6234" s="1">
        <f>IFERROR(__xludf.DUMMYFUNCTION("""COMPUTED_VALUE"""),3.96820992E8)</f>
        <v>396820992</v>
      </c>
    </row>
    <row r="6235">
      <c r="A6235" s="2">
        <f>IFERROR(__xludf.DUMMYFUNCTION("""COMPUTED_VALUE"""),40408.666666666664)</f>
        <v>40408.66667</v>
      </c>
      <c r="B6235" s="1">
        <f>IFERROR(__xludf.DUMMYFUNCTION("""COMPUTED_VALUE"""),1092.08)</f>
        <v>1092.08</v>
      </c>
      <c r="C6235" s="1">
        <f>IFERROR(__xludf.DUMMYFUNCTION("""COMPUTED_VALUE"""),1099.77)</f>
        <v>1099.77</v>
      </c>
      <c r="D6235" s="1">
        <f>IFERROR(__xludf.DUMMYFUNCTION("""COMPUTED_VALUE"""),1085.76)</f>
        <v>1085.76</v>
      </c>
      <c r="E6235" s="1">
        <f>IFERROR(__xludf.DUMMYFUNCTION("""COMPUTED_VALUE"""),1094.16)</f>
        <v>1094.16</v>
      </c>
      <c r="F6235" s="1">
        <f>IFERROR(__xludf.DUMMYFUNCTION("""COMPUTED_VALUE"""),3.72425984E8)</f>
        <v>372425984</v>
      </c>
    </row>
    <row r="6236">
      <c r="A6236" s="2">
        <f>IFERROR(__xludf.DUMMYFUNCTION("""COMPUTED_VALUE"""),40409.666666666664)</f>
        <v>40409.66667</v>
      </c>
      <c r="B6236" s="1">
        <f>IFERROR(__xludf.DUMMYFUNCTION("""COMPUTED_VALUE"""),1092.44)</f>
        <v>1092.44</v>
      </c>
      <c r="C6236" s="1">
        <f>IFERROR(__xludf.DUMMYFUNCTION("""COMPUTED_VALUE"""),1092.44)</f>
        <v>1092.44</v>
      </c>
      <c r="D6236" s="1">
        <f>IFERROR(__xludf.DUMMYFUNCTION("""COMPUTED_VALUE"""),1070.66)</f>
        <v>1070.66</v>
      </c>
      <c r="E6236" s="1">
        <f>IFERROR(__xludf.DUMMYFUNCTION("""COMPUTED_VALUE"""),1075.63)</f>
        <v>1075.63</v>
      </c>
      <c r="F6236" s="1">
        <f>IFERROR(__xludf.DUMMYFUNCTION("""COMPUTED_VALUE"""),4.29054016E8)</f>
        <v>429054016</v>
      </c>
    </row>
    <row r="6237">
      <c r="A6237" s="2">
        <f>IFERROR(__xludf.DUMMYFUNCTION("""COMPUTED_VALUE"""),40410.666666666664)</f>
        <v>40410.66667</v>
      </c>
      <c r="B6237" s="1">
        <f>IFERROR(__xludf.DUMMYFUNCTION("""COMPUTED_VALUE"""),1075.63)</f>
        <v>1075.63</v>
      </c>
      <c r="C6237" s="1">
        <f>IFERROR(__xludf.DUMMYFUNCTION("""COMPUTED_VALUE"""),1075.63)</f>
        <v>1075.63</v>
      </c>
      <c r="D6237" s="1">
        <f>IFERROR(__xludf.DUMMYFUNCTION("""COMPUTED_VALUE"""),1063.91)</f>
        <v>1063.91</v>
      </c>
      <c r="E6237" s="1">
        <f>IFERROR(__xludf.DUMMYFUNCTION("""COMPUTED_VALUE"""),1071.69)</f>
        <v>1071.69</v>
      </c>
      <c r="F6237" s="1">
        <f>IFERROR(__xludf.DUMMYFUNCTION("""COMPUTED_VALUE"""),3.76156992E8)</f>
        <v>376156992</v>
      </c>
    </row>
    <row r="6238">
      <c r="A6238" s="2">
        <f>IFERROR(__xludf.DUMMYFUNCTION("""COMPUTED_VALUE"""),40413.666666666664)</f>
        <v>40413.66667</v>
      </c>
      <c r="B6238" s="1">
        <f>IFERROR(__xludf.DUMMYFUNCTION("""COMPUTED_VALUE"""),1073.36)</f>
        <v>1073.36</v>
      </c>
      <c r="C6238" s="1">
        <f>IFERROR(__xludf.DUMMYFUNCTION("""COMPUTED_VALUE"""),1081.58)</f>
        <v>1081.58</v>
      </c>
      <c r="D6238" s="1">
        <f>IFERROR(__xludf.DUMMYFUNCTION("""COMPUTED_VALUE"""),1067.08)</f>
        <v>1067.08</v>
      </c>
      <c r="E6238" s="1">
        <f>IFERROR(__xludf.DUMMYFUNCTION("""COMPUTED_VALUE"""),1067.36)</f>
        <v>1067.36</v>
      </c>
      <c r="F6238" s="1">
        <f>IFERROR(__xludf.DUMMYFUNCTION("""COMPUTED_VALUE"""),3.21095008E8)</f>
        <v>321095008</v>
      </c>
    </row>
    <row r="6239">
      <c r="A6239" s="2">
        <f>IFERROR(__xludf.DUMMYFUNCTION("""COMPUTED_VALUE"""),40414.666666666664)</f>
        <v>40414.66667</v>
      </c>
      <c r="B6239" s="1">
        <f>IFERROR(__xludf.DUMMYFUNCTION("""COMPUTED_VALUE"""),1063.2)</f>
        <v>1063.2</v>
      </c>
      <c r="C6239" s="1">
        <f>IFERROR(__xludf.DUMMYFUNCTION("""COMPUTED_VALUE"""),1063.2)</f>
        <v>1063.2</v>
      </c>
      <c r="D6239" s="1">
        <f>IFERROR(__xludf.DUMMYFUNCTION("""COMPUTED_VALUE"""),1046.68)</f>
        <v>1046.68</v>
      </c>
      <c r="E6239" s="1">
        <f>IFERROR(__xludf.DUMMYFUNCTION("""COMPUTED_VALUE"""),1051.87)</f>
        <v>1051.87</v>
      </c>
      <c r="F6239" s="1">
        <f>IFERROR(__xludf.DUMMYFUNCTION("""COMPUTED_VALUE"""),4.43632992E8)</f>
        <v>443632992</v>
      </c>
    </row>
    <row r="6240">
      <c r="A6240" s="2">
        <f>IFERROR(__xludf.DUMMYFUNCTION("""COMPUTED_VALUE"""),40415.666666666664)</f>
        <v>40415.66667</v>
      </c>
      <c r="B6240" s="1">
        <f>IFERROR(__xludf.DUMMYFUNCTION("""COMPUTED_VALUE"""),1048.98)</f>
        <v>1048.98</v>
      </c>
      <c r="C6240" s="1">
        <f>IFERROR(__xludf.DUMMYFUNCTION("""COMPUTED_VALUE"""),1059.38)</f>
        <v>1059.38</v>
      </c>
      <c r="D6240" s="1">
        <f>IFERROR(__xludf.DUMMYFUNCTION("""COMPUTED_VALUE"""),1039.83)</f>
        <v>1039.83</v>
      </c>
      <c r="E6240" s="1">
        <f>IFERROR(__xludf.DUMMYFUNCTION("""COMPUTED_VALUE"""),1055.33)</f>
        <v>1055.33</v>
      </c>
      <c r="F6240" s="1">
        <f>IFERROR(__xludf.DUMMYFUNCTION("""COMPUTED_VALUE"""),4.36019008E8)</f>
        <v>436019008</v>
      </c>
    </row>
    <row r="6241">
      <c r="A6241" s="2">
        <f>IFERROR(__xludf.DUMMYFUNCTION("""COMPUTED_VALUE"""),40416.666666666664)</f>
        <v>40416.66667</v>
      </c>
      <c r="B6241" s="1">
        <f>IFERROR(__xludf.DUMMYFUNCTION("""COMPUTED_VALUE"""),1056.28)</f>
        <v>1056.28</v>
      </c>
      <c r="C6241" s="1">
        <f>IFERROR(__xludf.DUMMYFUNCTION("""COMPUTED_VALUE"""),1061.45)</f>
        <v>1061.45</v>
      </c>
      <c r="D6241" s="1">
        <f>IFERROR(__xludf.DUMMYFUNCTION("""COMPUTED_VALUE"""),1045.4)</f>
        <v>1045.4</v>
      </c>
      <c r="E6241" s="1">
        <f>IFERROR(__xludf.DUMMYFUNCTION("""COMPUTED_VALUE"""),1047.22)</f>
        <v>1047.22</v>
      </c>
      <c r="F6241" s="1">
        <f>IFERROR(__xludf.DUMMYFUNCTION("""COMPUTED_VALUE"""),3.64671008E8)</f>
        <v>364671008</v>
      </c>
    </row>
    <row r="6242">
      <c r="A6242" s="2">
        <f>IFERROR(__xludf.DUMMYFUNCTION("""COMPUTED_VALUE"""),40417.666666666664)</f>
        <v>40417.66667</v>
      </c>
      <c r="B6242" s="1">
        <f>IFERROR(__xludf.DUMMYFUNCTION("""COMPUTED_VALUE"""),1049.27)</f>
        <v>1049.27</v>
      </c>
      <c r="C6242" s="1">
        <f>IFERROR(__xludf.DUMMYFUNCTION("""COMPUTED_VALUE"""),1065.21)</f>
        <v>1065.21</v>
      </c>
      <c r="D6242" s="1">
        <f>IFERROR(__xludf.DUMMYFUNCTION("""COMPUTED_VALUE"""),1039.7)</f>
        <v>1039.7</v>
      </c>
      <c r="E6242" s="1">
        <f>IFERROR(__xludf.DUMMYFUNCTION("""COMPUTED_VALUE"""),1064.59)</f>
        <v>1064.59</v>
      </c>
      <c r="F6242" s="1">
        <f>IFERROR(__xludf.DUMMYFUNCTION("""COMPUTED_VALUE"""),4.10246016E8)</f>
        <v>410246016</v>
      </c>
    </row>
    <row r="6243">
      <c r="A6243" s="2">
        <f>IFERROR(__xludf.DUMMYFUNCTION("""COMPUTED_VALUE"""),40420.666666666664)</f>
        <v>40420.66667</v>
      </c>
      <c r="B6243" s="1">
        <f>IFERROR(__xludf.DUMMYFUNCTION("""COMPUTED_VALUE"""),1062.9)</f>
        <v>1062.9</v>
      </c>
      <c r="C6243" s="1">
        <f>IFERROR(__xludf.DUMMYFUNCTION("""COMPUTED_VALUE"""),1064.4)</f>
        <v>1064.4</v>
      </c>
      <c r="D6243" s="1">
        <f>IFERROR(__xludf.DUMMYFUNCTION("""COMPUTED_VALUE"""),1048.79)</f>
        <v>1048.79</v>
      </c>
      <c r="E6243" s="1">
        <f>IFERROR(__xludf.DUMMYFUNCTION("""COMPUTED_VALUE"""),1048.92)</f>
        <v>1048.92</v>
      </c>
      <c r="F6243" s="1">
        <f>IFERROR(__xludf.DUMMYFUNCTION("""COMPUTED_VALUE"""),2.91799008E8)</f>
        <v>291799008</v>
      </c>
    </row>
    <row r="6244">
      <c r="A6244" s="2">
        <f>IFERROR(__xludf.DUMMYFUNCTION("""COMPUTED_VALUE"""),40421.666666666664)</f>
        <v>40421.66667</v>
      </c>
      <c r="B6244" s="1">
        <f>IFERROR(__xludf.DUMMYFUNCTION("""COMPUTED_VALUE"""),1046.88)</f>
        <v>1046.88</v>
      </c>
      <c r="C6244" s="1">
        <f>IFERROR(__xludf.DUMMYFUNCTION("""COMPUTED_VALUE"""),1055.14)</f>
        <v>1055.14</v>
      </c>
      <c r="D6244" s="1">
        <f>IFERROR(__xludf.DUMMYFUNCTION("""COMPUTED_VALUE"""),1040.88)</f>
        <v>1040.88</v>
      </c>
      <c r="E6244" s="1">
        <f>IFERROR(__xludf.DUMMYFUNCTION("""COMPUTED_VALUE"""),1049.33)</f>
        <v>1049.33</v>
      </c>
      <c r="F6244" s="1">
        <f>IFERROR(__xludf.DUMMYFUNCTION("""COMPUTED_VALUE"""),4.03876992E8)</f>
        <v>403876992</v>
      </c>
    </row>
    <row r="6245">
      <c r="A6245" s="2">
        <f>IFERROR(__xludf.DUMMYFUNCTION("""COMPUTED_VALUE"""),40422.666666666664)</f>
        <v>40422.66667</v>
      </c>
      <c r="B6245" s="1">
        <f>IFERROR(__xludf.DUMMYFUNCTION("""COMPUTED_VALUE"""),1049.72)</f>
        <v>1049.72</v>
      </c>
      <c r="C6245" s="1">
        <f>IFERROR(__xludf.DUMMYFUNCTION("""COMPUTED_VALUE"""),1081.3)</f>
        <v>1081.3</v>
      </c>
      <c r="D6245" s="1">
        <f>IFERROR(__xludf.DUMMYFUNCTION("""COMPUTED_VALUE"""),1049.72)</f>
        <v>1049.72</v>
      </c>
      <c r="E6245" s="1">
        <f>IFERROR(__xludf.DUMMYFUNCTION("""COMPUTED_VALUE"""),1080.29)</f>
        <v>1080.29</v>
      </c>
      <c r="F6245" s="1">
        <f>IFERROR(__xludf.DUMMYFUNCTION("""COMPUTED_VALUE"""),4.39688E8)</f>
        <v>439688000</v>
      </c>
    </row>
    <row r="6246">
      <c r="A6246" s="2">
        <f>IFERROR(__xludf.DUMMYFUNCTION("""COMPUTED_VALUE"""),40423.666666666664)</f>
        <v>40423.66667</v>
      </c>
      <c r="B6246" s="1">
        <f>IFERROR(__xludf.DUMMYFUNCTION("""COMPUTED_VALUE"""),1080.66)</f>
        <v>1080.66</v>
      </c>
      <c r="C6246" s="1">
        <f>IFERROR(__xludf.DUMMYFUNCTION("""COMPUTED_VALUE"""),1090.1)</f>
        <v>1090.1</v>
      </c>
      <c r="D6246" s="1">
        <f>IFERROR(__xludf.DUMMYFUNCTION("""COMPUTED_VALUE"""),1080.39)</f>
        <v>1080.39</v>
      </c>
      <c r="E6246" s="1">
        <f>IFERROR(__xludf.DUMMYFUNCTION("""COMPUTED_VALUE"""),1090.1)</f>
        <v>1090.1</v>
      </c>
      <c r="F6246" s="1">
        <f>IFERROR(__xludf.DUMMYFUNCTION("""COMPUTED_VALUE"""),3.70420992E8)</f>
        <v>370420992</v>
      </c>
    </row>
    <row r="6247">
      <c r="A6247" s="2">
        <f>IFERROR(__xludf.DUMMYFUNCTION("""COMPUTED_VALUE"""),40424.666666666664)</f>
        <v>40424.66667</v>
      </c>
      <c r="B6247" s="1">
        <f>IFERROR(__xludf.DUMMYFUNCTION("""COMPUTED_VALUE"""),1093.61)</f>
        <v>1093.61</v>
      </c>
      <c r="C6247" s="1">
        <f>IFERROR(__xludf.DUMMYFUNCTION("""COMPUTED_VALUE"""),1105.1)</f>
        <v>1105.1</v>
      </c>
      <c r="D6247" s="1">
        <f>IFERROR(__xludf.DUMMYFUNCTION("""COMPUTED_VALUE"""),1093.61)</f>
        <v>1093.61</v>
      </c>
      <c r="E6247" s="1">
        <f>IFERROR(__xludf.DUMMYFUNCTION("""COMPUTED_VALUE"""),1104.51)</f>
        <v>1104.51</v>
      </c>
      <c r="F6247" s="1">
        <f>IFERROR(__xludf.DUMMYFUNCTION("""COMPUTED_VALUE"""),3.53449984E8)</f>
        <v>353449984</v>
      </c>
    </row>
    <row r="6248">
      <c r="A6248" s="2">
        <f>IFERROR(__xludf.DUMMYFUNCTION("""COMPUTED_VALUE"""),40428.666666666664)</f>
        <v>40428.66667</v>
      </c>
      <c r="B6248" s="1">
        <f>IFERROR(__xludf.DUMMYFUNCTION("""COMPUTED_VALUE"""),1102.6)</f>
        <v>1102.6</v>
      </c>
      <c r="C6248" s="1">
        <f>IFERROR(__xludf.DUMMYFUNCTION("""COMPUTED_VALUE"""),1102.6)</f>
        <v>1102.6</v>
      </c>
      <c r="D6248" s="1">
        <f>IFERROR(__xludf.DUMMYFUNCTION("""COMPUTED_VALUE"""),1091.15)</f>
        <v>1091.15</v>
      </c>
      <c r="E6248" s="1">
        <f>IFERROR(__xludf.DUMMYFUNCTION("""COMPUTED_VALUE"""),1091.84)</f>
        <v>1091.84</v>
      </c>
      <c r="F6248" s="1">
        <f>IFERROR(__xludf.DUMMYFUNCTION("""COMPUTED_VALUE"""),3.10737984E8)</f>
        <v>310737984</v>
      </c>
    </row>
    <row r="6249">
      <c r="A6249" s="2">
        <f>IFERROR(__xludf.DUMMYFUNCTION("""COMPUTED_VALUE"""),40429.666666666664)</f>
        <v>40429.66667</v>
      </c>
      <c r="B6249" s="1">
        <f>IFERROR(__xludf.DUMMYFUNCTION("""COMPUTED_VALUE"""),1092.36)</f>
        <v>1092.36</v>
      </c>
      <c r="C6249" s="1">
        <f>IFERROR(__xludf.DUMMYFUNCTION("""COMPUTED_VALUE"""),1103.26)</f>
        <v>1103.26</v>
      </c>
      <c r="D6249" s="1">
        <f>IFERROR(__xludf.DUMMYFUNCTION("""COMPUTED_VALUE"""),1092.36)</f>
        <v>1092.36</v>
      </c>
      <c r="E6249" s="1">
        <f>IFERROR(__xludf.DUMMYFUNCTION("""COMPUTED_VALUE"""),1098.87)</f>
        <v>1098.87</v>
      </c>
      <c r="F6249" s="1">
        <f>IFERROR(__xludf.DUMMYFUNCTION("""COMPUTED_VALUE"""),3.22464E8)</f>
        <v>322464000</v>
      </c>
    </row>
    <row r="6250">
      <c r="A6250" s="2">
        <f>IFERROR(__xludf.DUMMYFUNCTION("""COMPUTED_VALUE"""),40430.666666666664)</f>
        <v>40430.66667</v>
      </c>
      <c r="B6250" s="1">
        <f>IFERROR(__xludf.DUMMYFUNCTION("""COMPUTED_VALUE"""),1101.15)</f>
        <v>1101.15</v>
      </c>
      <c r="C6250" s="1">
        <f>IFERROR(__xludf.DUMMYFUNCTION("""COMPUTED_VALUE"""),1110.27)</f>
        <v>1110.27</v>
      </c>
      <c r="D6250" s="1">
        <f>IFERROR(__xludf.DUMMYFUNCTION("""COMPUTED_VALUE"""),1101.15)</f>
        <v>1101.15</v>
      </c>
      <c r="E6250" s="1">
        <f>IFERROR(__xludf.DUMMYFUNCTION("""COMPUTED_VALUE"""),1104.18)</f>
        <v>1104.18</v>
      </c>
      <c r="F6250" s="1">
        <f>IFERROR(__xludf.DUMMYFUNCTION("""COMPUTED_VALUE"""),3.38776992E8)</f>
        <v>338776992</v>
      </c>
    </row>
    <row r="6251">
      <c r="A6251" s="2">
        <f>IFERROR(__xludf.DUMMYFUNCTION("""COMPUTED_VALUE"""),40431.666666666664)</f>
        <v>40431.66667</v>
      </c>
      <c r="B6251" s="1">
        <f>IFERROR(__xludf.DUMMYFUNCTION("""COMPUTED_VALUE"""),1104.57)</f>
        <v>1104.57</v>
      </c>
      <c r="C6251" s="1">
        <f>IFERROR(__xludf.DUMMYFUNCTION("""COMPUTED_VALUE"""),1110.88)</f>
        <v>1110.88</v>
      </c>
      <c r="D6251" s="1">
        <f>IFERROR(__xludf.DUMMYFUNCTION("""COMPUTED_VALUE"""),1103.92)</f>
        <v>1103.92</v>
      </c>
      <c r="E6251" s="1">
        <f>IFERROR(__xludf.DUMMYFUNCTION("""COMPUTED_VALUE"""),1109.55)</f>
        <v>1109.55</v>
      </c>
      <c r="F6251" s="1">
        <f>IFERROR(__xludf.DUMMYFUNCTION("""COMPUTED_VALUE"""),3.06116E8)</f>
        <v>306116000</v>
      </c>
    </row>
    <row r="6252">
      <c r="A6252" s="2">
        <f>IFERROR(__xludf.DUMMYFUNCTION("""COMPUTED_VALUE"""),40434.666666666664)</f>
        <v>40434.66667</v>
      </c>
      <c r="B6252" s="1">
        <f>IFERROR(__xludf.DUMMYFUNCTION("""COMPUTED_VALUE"""),1113.38)</f>
        <v>1113.38</v>
      </c>
      <c r="C6252" s="1">
        <f>IFERROR(__xludf.DUMMYFUNCTION("""COMPUTED_VALUE"""),1123.87)</f>
        <v>1123.87</v>
      </c>
      <c r="D6252" s="1">
        <f>IFERROR(__xludf.DUMMYFUNCTION("""COMPUTED_VALUE"""),1113.38)</f>
        <v>1113.38</v>
      </c>
      <c r="E6252" s="1">
        <f>IFERROR(__xludf.DUMMYFUNCTION("""COMPUTED_VALUE"""),1121.9)</f>
        <v>1121.9</v>
      </c>
      <c r="F6252" s="1">
        <f>IFERROR(__xludf.DUMMYFUNCTION("""COMPUTED_VALUE"""),4.52104992E8)</f>
        <v>452104992</v>
      </c>
    </row>
    <row r="6253">
      <c r="A6253" s="2">
        <f>IFERROR(__xludf.DUMMYFUNCTION("""COMPUTED_VALUE"""),40435.666666666664)</f>
        <v>40435.66667</v>
      </c>
      <c r="B6253" s="1">
        <f>IFERROR(__xludf.DUMMYFUNCTION("""COMPUTED_VALUE"""),1121.16)</f>
        <v>1121.16</v>
      </c>
      <c r="C6253" s="1">
        <f>IFERROR(__xludf.DUMMYFUNCTION("""COMPUTED_VALUE"""),1127.36)</f>
        <v>1127.36</v>
      </c>
      <c r="D6253" s="1">
        <f>IFERROR(__xludf.DUMMYFUNCTION("""COMPUTED_VALUE"""),1115.58)</f>
        <v>1115.58</v>
      </c>
      <c r="E6253" s="1">
        <f>IFERROR(__xludf.DUMMYFUNCTION("""COMPUTED_VALUE"""),1121.1)</f>
        <v>1121.1</v>
      </c>
      <c r="F6253" s="1">
        <f>IFERROR(__xludf.DUMMYFUNCTION("""COMPUTED_VALUE"""),4.52104992E8)</f>
        <v>452104992</v>
      </c>
    </row>
    <row r="6254">
      <c r="A6254" s="2">
        <f>IFERROR(__xludf.DUMMYFUNCTION("""COMPUTED_VALUE"""),40436.666666666664)</f>
        <v>40436.66667</v>
      </c>
      <c r="B6254" s="1">
        <f>IFERROR(__xludf.DUMMYFUNCTION("""COMPUTED_VALUE"""),1119.43)</f>
        <v>1119.43</v>
      </c>
      <c r="C6254" s="1">
        <f>IFERROR(__xludf.DUMMYFUNCTION("""COMPUTED_VALUE"""),1126.46)</f>
        <v>1126.46</v>
      </c>
      <c r="D6254" s="1">
        <f>IFERROR(__xludf.DUMMYFUNCTION("""COMPUTED_VALUE"""),1114.63)</f>
        <v>1114.63</v>
      </c>
      <c r="E6254" s="1">
        <f>IFERROR(__xludf.DUMMYFUNCTION("""COMPUTED_VALUE"""),1125.07)</f>
        <v>1125.07</v>
      </c>
      <c r="F6254" s="1">
        <f>IFERROR(__xludf.DUMMYFUNCTION("""COMPUTED_VALUE"""),3.36984E8)</f>
        <v>336984000</v>
      </c>
    </row>
    <row r="6255">
      <c r="A6255" s="2">
        <f>IFERROR(__xludf.DUMMYFUNCTION("""COMPUTED_VALUE"""),40437.666666666664)</f>
        <v>40437.66667</v>
      </c>
      <c r="B6255" s="1">
        <f>IFERROR(__xludf.DUMMYFUNCTION("""COMPUTED_VALUE"""),1123.89)</f>
        <v>1123.89</v>
      </c>
      <c r="C6255" s="1">
        <f>IFERROR(__xludf.DUMMYFUNCTION("""COMPUTED_VALUE"""),1125.44)</f>
        <v>1125.44</v>
      </c>
      <c r="D6255" s="1">
        <f>IFERROR(__xludf.DUMMYFUNCTION("""COMPUTED_VALUE"""),1118.88)</f>
        <v>1118.88</v>
      </c>
      <c r="E6255" s="1">
        <f>IFERROR(__xludf.DUMMYFUNCTION("""COMPUTED_VALUE"""),1124.66)</f>
        <v>1124.66</v>
      </c>
      <c r="F6255" s="1">
        <f>IFERROR(__xludf.DUMMYFUNCTION("""COMPUTED_VALUE"""),3.36408E8)</f>
        <v>336408000</v>
      </c>
    </row>
    <row r="6256">
      <c r="A6256" s="2">
        <f>IFERROR(__xludf.DUMMYFUNCTION("""COMPUTED_VALUE"""),40438.666666666664)</f>
        <v>40438.66667</v>
      </c>
      <c r="B6256" s="1">
        <f>IFERROR(__xludf.DUMMYFUNCTION("""COMPUTED_VALUE"""),1126.39)</f>
        <v>1126.39</v>
      </c>
      <c r="C6256" s="1">
        <f>IFERROR(__xludf.DUMMYFUNCTION("""COMPUTED_VALUE"""),1131.47)</f>
        <v>1131.47</v>
      </c>
      <c r="D6256" s="1">
        <f>IFERROR(__xludf.DUMMYFUNCTION("""COMPUTED_VALUE"""),1122.43)</f>
        <v>1122.43</v>
      </c>
      <c r="E6256" s="1">
        <f>IFERROR(__xludf.DUMMYFUNCTION("""COMPUTED_VALUE"""),1125.59)</f>
        <v>1125.59</v>
      </c>
      <c r="F6256" s="1">
        <f>IFERROR(__xludf.DUMMYFUNCTION("""COMPUTED_VALUE"""),4.08614016E8)</f>
        <v>408614016</v>
      </c>
    </row>
    <row r="6257">
      <c r="A6257" s="2">
        <f>IFERROR(__xludf.DUMMYFUNCTION("""COMPUTED_VALUE"""),40441.666666666664)</f>
        <v>40441.66667</v>
      </c>
      <c r="B6257" s="1">
        <f>IFERROR(__xludf.DUMMYFUNCTION("""COMPUTED_VALUE"""),1126.57)</f>
        <v>1126.57</v>
      </c>
      <c r="C6257" s="1">
        <f>IFERROR(__xludf.DUMMYFUNCTION("""COMPUTED_VALUE"""),1144.86)</f>
        <v>1144.86</v>
      </c>
      <c r="D6257" s="1">
        <f>IFERROR(__xludf.DUMMYFUNCTION("""COMPUTED_VALUE"""),1126.57)</f>
        <v>1126.57</v>
      </c>
      <c r="E6257" s="1">
        <f>IFERROR(__xludf.DUMMYFUNCTION("""COMPUTED_VALUE"""),1142.71)</f>
        <v>1142.71</v>
      </c>
      <c r="F6257" s="1">
        <f>IFERROR(__xludf.DUMMYFUNCTION("""COMPUTED_VALUE"""),3.36408E8)</f>
        <v>336408000</v>
      </c>
    </row>
    <row r="6258">
      <c r="A6258" s="2">
        <f>IFERROR(__xludf.DUMMYFUNCTION("""COMPUTED_VALUE"""),40442.666666666664)</f>
        <v>40442.66667</v>
      </c>
      <c r="B6258" s="1">
        <f>IFERROR(__xludf.DUMMYFUNCTION("""COMPUTED_VALUE"""),1142.82)</f>
        <v>1142.82</v>
      </c>
      <c r="C6258" s="1">
        <f>IFERROR(__xludf.DUMMYFUNCTION("""COMPUTED_VALUE"""),1148.59)</f>
        <v>1148.59</v>
      </c>
      <c r="D6258" s="1">
        <f>IFERROR(__xludf.DUMMYFUNCTION("""COMPUTED_VALUE"""),1136.22)</f>
        <v>1136.22</v>
      </c>
      <c r="E6258" s="1">
        <f>IFERROR(__xludf.DUMMYFUNCTION("""COMPUTED_VALUE"""),1139.78)</f>
        <v>1139.78</v>
      </c>
      <c r="F6258" s="1">
        <f>IFERROR(__xludf.DUMMYFUNCTION("""COMPUTED_VALUE"""),4.17566016E8)</f>
        <v>417566016</v>
      </c>
    </row>
    <row r="6259">
      <c r="A6259" s="2">
        <f>IFERROR(__xludf.DUMMYFUNCTION("""COMPUTED_VALUE"""),40443.666666666664)</f>
        <v>40443.66667</v>
      </c>
      <c r="B6259" s="1">
        <f>IFERROR(__xludf.DUMMYFUNCTION("""COMPUTED_VALUE"""),1139.49)</f>
        <v>1139.49</v>
      </c>
      <c r="C6259" s="1">
        <f>IFERROR(__xludf.DUMMYFUNCTION("""COMPUTED_VALUE"""),1144.38)</f>
        <v>1144.38</v>
      </c>
      <c r="D6259" s="1">
        <f>IFERROR(__xludf.DUMMYFUNCTION("""COMPUTED_VALUE"""),1131.58)</f>
        <v>1131.58</v>
      </c>
      <c r="E6259" s="1">
        <f>IFERROR(__xludf.DUMMYFUNCTION("""COMPUTED_VALUE"""),1134.28)</f>
        <v>1134.28</v>
      </c>
      <c r="F6259" s="1">
        <f>IFERROR(__xludf.DUMMYFUNCTION("""COMPUTED_VALUE"""),3.91107008E8)</f>
        <v>391107008</v>
      </c>
    </row>
    <row r="6260">
      <c r="A6260" s="2">
        <f>IFERROR(__xludf.DUMMYFUNCTION("""COMPUTED_VALUE"""),40444.666666666664)</f>
        <v>40444.66667</v>
      </c>
      <c r="B6260" s="1">
        <f>IFERROR(__xludf.DUMMYFUNCTION("""COMPUTED_VALUE"""),1131.1)</f>
        <v>1131.1</v>
      </c>
      <c r="C6260" s="1">
        <f>IFERROR(__xludf.DUMMYFUNCTION("""COMPUTED_VALUE"""),1136.77)</f>
        <v>1136.77</v>
      </c>
      <c r="D6260" s="1">
        <f>IFERROR(__xludf.DUMMYFUNCTION("""COMPUTED_VALUE"""),1122.79)</f>
        <v>1122.79</v>
      </c>
      <c r="E6260" s="1">
        <f>IFERROR(__xludf.DUMMYFUNCTION("""COMPUTED_VALUE"""),1124.83)</f>
        <v>1124.83</v>
      </c>
      <c r="F6260" s="1">
        <f>IFERROR(__xludf.DUMMYFUNCTION("""COMPUTED_VALUE"""),3.84784992E8)</f>
        <v>384784992</v>
      </c>
    </row>
    <row r="6261">
      <c r="A6261" s="2">
        <f>IFERROR(__xludf.DUMMYFUNCTION("""COMPUTED_VALUE"""),40445.666666666664)</f>
        <v>40445.66667</v>
      </c>
      <c r="B6261" s="1">
        <f>IFERROR(__xludf.DUMMYFUNCTION("""COMPUTED_VALUE"""),1131.69)</f>
        <v>1131.69</v>
      </c>
      <c r="C6261" s="1">
        <f>IFERROR(__xludf.DUMMYFUNCTION("""COMPUTED_VALUE"""),1148.9)</f>
        <v>1148.9</v>
      </c>
      <c r="D6261" s="1">
        <f>IFERROR(__xludf.DUMMYFUNCTION("""COMPUTED_VALUE"""),1131.69)</f>
        <v>1131.69</v>
      </c>
      <c r="E6261" s="1">
        <f>IFERROR(__xludf.DUMMYFUNCTION("""COMPUTED_VALUE"""),1148.67)</f>
        <v>1148.67</v>
      </c>
      <c r="F6261" s="1">
        <f>IFERROR(__xludf.DUMMYFUNCTION("""COMPUTED_VALUE"""),4.12395008E8)</f>
        <v>412395008</v>
      </c>
    </row>
    <row r="6262">
      <c r="A6262" s="2">
        <f>IFERROR(__xludf.DUMMYFUNCTION("""COMPUTED_VALUE"""),40448.666666666664)</f>
        <v>40448.66667</v>
      </c>
      <c r="B6262" s="1">
        <f>IFERROR(__xludf.DUMMYFUNCTION("""COMPUTED_VALUE"""),1148.64)</f>
        <v>1148.64</v>
      </c>
      <c r="C6262" s="1">
        <f>IFERROR(__xludf.DUMMYFUNCTION("""COMPUTED_VALUE"""),1149.92)</f>
        <v>1149.92</v>
      </c>
      <c r="D6262" s="1">
        <f>IFERROR(__xludf.DUMMYFUNCTION("""COMPUTED_VALUE"""),1142.0)</f>
        <v>1142</v>
      </c>
      <c r="E6262" s="1">
        <f>IFERROR(__xludf.DUMMYFUNCTION("""COMPUTED_VALUE"""),1142.16)</f>
        <v>1142.16</v>
      </c>
      <c r="F6262" s="1">
        <f>IFERROR(__xludf.DUMMYFUNCTION("""COMPUTED_VALUE"""),3.58785984E8)</f>
        <v>358785984</v>
      </c>
    </row>
    <row r="6263">
      <c r="A6263" s="2">
        <f>IFERROR(__xludf.DUMMYFUNCTION("""COMPUTED_VALUE"""),40449.666666666664)</f>
        <v>40449.66667</v>
      </c>
      <c r="B6263" s="1">
        <f>IFERROR(__xludf.DUMMYFUNCTION("""COMPUTED_VALUE"""),1142.31)</f>
        <v>1142.31</v>
      </c>
      <c r="C6263" s="1">
        <f>IFERROR(__xludf.DUMMYFUNCTION("""COMPUTED_VALUE"""),1150.0)</f>
        <v>1150</v>
      </c>
      <c r="D6263" s="1">
        <f>IFERROR(__xludf.DUMMYFUNCTION("""COMPUTED_VALUE"""),1132.09)</f>
        <v>1132.09</v>
      </c>
      <c r="E6263" s="1">
        <f>IFERROR(__xludf.DUMMYFUNCTION("""COMPUTED_VALUE"""),1147.7)</f>
        <v>1147.7</v>
      </c>
      <c r="F6263" s="1">
        <f>IFERROR(__xludf.DUMMYFUNCTION("""COMPUTED_VALUE"""),4.02584E8)</f>
        <v>402584000</v>
      </c>
    </row>
    <row r="6264">
      <c r="A6264" s="2">
        <f>IFERROR(__xludf.DUMMYFUNCTION("""COMPUTED_VALUE"""),40450.666666666664)</f>
        <v>40450.66667</v>
      </c>
      <c r="B6264" s="1">
        <f>IFERROR(__xludf.DUMMYFUNCTION("""COMPUTED_VALUE"""),1146.75)</f>
        <v>1146.75</v>
      </c>
      <c r="C6264" s="1">
        <f>IFERROR(__xludf.DUMMYFUNCTION("""COMPUTED_VALUE"""),1148.63)</f>
        <v>1148.63</v>
      </c>
      <c r="D6264" s="1">
        <f>IFERROR(__xludf.DUMMYFUNCTION("""COMPUTED_VALUE"""),1140.26)</f>
        <v>1140.26</v>
      </c>
      <c r="E6264" s="1">
        <f>IFERROR(__xludf.DUMMYFUNCTION("""COMPUTED_VALUE"""),1144.73)</f>
        <v>1144.73</v>
      </c>
      <c r="F6264" s="1">
        <f>IFERROR(__xludf.DUMMYFUNCTION("""COMPUTED_VALUE"""),3.99028E8)</f>
        <v>399028000</v>
      </c>
    </row>
    <row r="6265">
      <c r="A6265" s="2">
        <f>IFERROR(__xludf.DUMMYFUNCTION("""COMPUTED_VALUE"""),40451.666666666664)</f>
        <v>40451.66667</v>
      </c>
      <c r="B6265" s="1">
        <f>IFERROR(__xludf.DUMMYFUNCTION("""COMPUTED_VALUE"""),1145.97)</f>
        <v>1145.97</v>
      </c>
      <c r="C6265" s="1">
        <f>IFERROR(__xludf.DUMMYFUNCTION("""COMPUTED_VALUE"""),1157.16)</f>
        <v>1157.16</v>
      </c>
      <c r="D6265" s="1">
        <f>IFERROR(__xludf.DUMMYFUNCTION("""COMPUTED_VALUE"""),1136.08)</f>
        <v>1136.08</v>
      </c>
      <c r="E6265" s="1">
        <f>IFERROR(__xludf.DUMMYFUNCTION("""COMPUTED_VALUE"""),1141.2)</f>
        <v>1141.2</v>
      </c>
      <c r="F6265" s="1">
        <f>IFERROR(__xludf.DUMMYFUNCTION("""COMPUTED_VALUE"""),4.28416E8)</f>
        <v>428416000</v>
      </c>
    </row>
    <row r="6266">
      <c r="A6266" s="2">
        <f>IFERROR(__xludf.DUMMYFUNCTION("""COMPUTED_VALUE"""),40452.666666666664)</f>
        <v>40452.66667</v>
      </c>
      <c r="B6266" s="1">
        <f>IFERROR(__xludf.DUMMYFUNCTION("""COMPUTED_VALUE"""),1143.49)</f>
        <v>1143.49</v>
      </c>
      <c r="C6266" s="1">
        <f>IFERROR(__xludf.DUMMYFUNCTION("""COMPUTED_VALUE"""),1150.3)</f>
        <v>1150.3</v>
      </c>
      <c r="D6266" s="1">
        <f>IFERROR(__xludf.DUMMYFUNCTION("""COMPUTED_VALUE"""),1139.42)</f>
        <v>1139.42</v>
      </c>
      <c r="E6266" s="1">
        <f>IFERROR(__xludf.DUMMYFUNCTION("""COMPUTED_VALUE"""),1146.24)</f>
        <v>1146.24</v>
      </c>
      <c r="F6266" s="1">
        <f>IFERROR(__xludf.DUMMYFUNCTION("""COMPUTED_VALUE"""),4.29891008E8)</f>
        <v>429891008</v>
      </c>
    </row>
    <row r="6267">
      <c r="A6267" s="2">
        <f>IFERROR(__xludf.DUMMYFUNCTION("""COMPUTED_VALUE"""),40455.666666666664)</f>
        <v>40455.66667</v>
      </c>
      <c r="B6267" s="1">
        <f>IFERROR(__xludf.DUMMYFUNCTION("""COMPUTED_VALUE"""),1144.96)</f>
        <v>1144.96</v>
      </c>
      <c r="C6267" s="1">
        <f>IFERROR(__xludf.DUMMYFUNCTION("""COMPUTED_VALUE"""),1148.16)</f>
        <v>1148.16</v>
      </c>
      <c r="D6267" s="1">
        <f>IFERROR(__xludf.DUMMYFUNCTION("""COMPUTED_VALUE"""),1131.87)</f>
        <v>1131.87</v>
      </c>
      <c r="E6267" s="1">
        <f>IFERROR(__xludf.DUMMYFUNCTION("""COMPUTED_VALUE"""),1137.03)</f>
        <v>1137.03</v>
      </c>
      <c r="F6267" s="1">
        <f>IFERROR(__xludf.DUMMYFUNCTION("""COMPUTED_VALUE"""),3.60411008E8)</f>
        <v>360411008</v>
      </c>
    </row>
    <row r="6268">
      <c r="A6268" s="2">
        <f>IFERROR(__xludf.DUMMYFUNCTION("""COMPUTED_VALUE"""),40456.666666666664)</f>
        <v>40456.66667</v>
      </c>
      <c r="B6268" s="1">
        <f>IFERROR(__xludf.DUMMYFUNCTION("""COMPUTED_VALUE"""),1140.68)</f>
        <v>1140.68</v>
      </c>
      <c r="C6268" s="1">
        <f>IFERROR(__xludf.DUMMYFUNCTION("""COMPUTED_VALUE"""),1162.76)</f>
        <v>1162.76</v>
      </c>
      <c r="D6268" s="1">
        <f>IFERROR(__xludf.DUMMYFUNCTION("""COMPUTED_VALUE"""),1140.68)</f>
        <v>1140.68</v>
      </c>
      <c r="E6268" s="1">
        <f>IFERROR(__xludf.DUMMYFUNCTION("""COMPUTED_VALUE"""),1160.75)</f>
        <v>1160.75</v>
      </c>
      <c r="F6268" s="1">
        <f>IFERROR(__xludf.DUMMYFUNCTION("""COMPUTED_VALUE"""),4.06884E8)</f>
        <v>406884000</v>
      </c>
    </row>
    <row r="6269">
      <c r="A6269" s="2">
        <f>IFERROR(__xludf.DUMMYFUNCTION("""COMPUTED_VALUE"""),40457.666666666664)</f>
        <v>40457.66667</v>
      </c>
      <c r="B6269" s="1">
        <f>IFERROR(__xludf.DUMMYFUNCTION("""COMPUTED_VALUE"""),1159.81)</f>
        <v>1159.81</v>
      </c>
      <c r="C6269" s="1">
        <f>IFERROR(__xludf.DUMMYFUNCTION("""COMPUTED_VALUE"""),1162.33)</f>
        <v>1162.33</v>
      </c>
      <c r="D6269" s="1">
        <f>IFERROR(__xludf.DUMMYFUNCTION("""COMPUTED_VALUE"""),1154.85)</f>
        <v>1154.85</v>
      </c>
      <c r="E6269" s="1">
        <f>IFERROR(__xludf.DUMMYFUNCTION("""COMPUTED_VALUE"""),1159.97)</f>
        <v>1159.97</v>
      </c>
      <c r="F6269" s="1">
        <f>IFERROR(__xludf.DUMMYFUNCTION("""COMPUTED_VALUE"""),0.0)</f>
        <v>0</v>
      </c>
    </row>
    <row r="6270">
      <c r="A6270" s="2">
        <f>IFERROR(__xludf.DUMMYFUNCTION("""COMPUTED_VALUE"""),40458.666666666664)</f>
        <v>40458.66667</v>
      </c>
      <c r="B6270" s="1">
        <f>IFERROR(__xludf.DUMMYFUNCTION("""COMPUTED_VALUE"""),1161.57)</f>
        <v>1161.57</v>
      </c>
      <c r="C6270" s="1">
        <f>IFERROR(__xludf.DUMMYFUNCTION("""COMPUTED_VALUE"""),1163.87)</f>
        <v>1163.87</v>
      </c>
      <c r="D6270" s="1">
        <f>IFERROR(__xludf.DUMMYFUNCTION("""COMPUTED_VALUE"""),1151.41)</f>
        <v>1151.41</v>
      </c>
      <c r="E6270" s="1">
        <f>IFERROR(__xludf.DUMMYFUNCTION("""COMPUTED_VALUE"""),1158.06)</f>
        <v>1158.06</v>
      </c>
      <c r="F6270" s="1">
        <f>IFERROR(__xludf.DUMMYFUNCTION("""COMPUTED_VALUE"""),3.91055008E8)</f>
        <v>391055008</v>
      </c>
    </row>
    <row r="6271">
      <c r="A6271" s="2">
        <f>IFERROR(__xludf.DUMMYFUNCTION("""COMPUTED_VALUE"""),40459.666666666664)</f>
        <v>40459.66667</v>
      </c>
      <c r="B6271" s="1">
        <f>IFERROR(__xludf.DUMMYFUNCTION("""COMPUTED_VALUE"""),1158.36)</f>
        <v>1158.36</v>
      </c>
      <c r="C6271" s="1">
        <f>IFERROR(__xludf.DUMMYFUNCTION("""COMPUTED_VALUE"""),1167.73)</f>
        <v>1167.73</v>
      </c>
      <c r="D6271" s="1">
        <f>IFERROR(__xludf.DUMMYFUNCTION("""COMPUTED_VALUE"""),1155.58)</f>
        <v>1155.58</v>
      </c>
      <c r="E6271" s="1">
        <f>IFERROR(__xludf.DUMMYFUNCTION("""COMPUTED_VALUE"""),1165.15)</f>
        <v>1165.15</v>
      </c>
      <c r="F6271" s="1">
        <f>IFERROR(__xludf.DUMMYFUNCTION("""COMPUTED_VALUE"""),3.87142016E8)</f>
        <v>387142016</v>
      </c>
    </row>
    <row r="6272">
      <c r="A6272" s="2">
        <f>IFERROR(__xludf.DUMMYFUNCTION("""COMPUTED_VALUE"""),40462.666666666664)</f>
        <v>40462.66667</v>
      </c>
      <c r="B6272" s="1">
        <f>IFERROR(__xludf.DUMMYFUNCTION("""COMPUTED_VALUE"""),1165.32)</f>
        <v>1165.32</v>
      </c>
      <c r="C6272" s="1">
        <f>IFERROR(__xludf.DUMMYFUNCTION("""COMPUTED_VALUE"""),1168.68)</f>
        <v>1168.68</v>
      </c>
      <c r="D6272" s="1">
        <f>IFERROR(__xludf.DUMMYFUNCTION("""COMPUTED_VALUE"""),1162.02)</f>
        <v>1162.02</v>
      </c>
      <c r="E6272" s="1">
        <f>IFERROR(__xludf.DUMMYFUNCTION("""COMPUTED_VALUE"""),1165.32)</f>
        <v>1165.32</v>
      </c>
      <c r="F6272" s="1">
        <f>IFERROR(__xludf.DUMMYFUNCTION("""COMPUTED_VALUE"""),2.5059E8)</f>
        <v>250590000</v>
      </c>
    </row>
    <row r="6273">
      <c r="A6273" s="2">
        <f>IFERROR(__xludf.DUMMYFUNCTION("""COMPUTED_VALUE"""),40463.666666666664)</f>
        <v>40463.66667</v>
      </c>
      <c r="B6273" s="1">
        <f>IFERROR(__xludf.DUMMYFUNCTION("""COMPUTED_VALUE"""),1164.28)</f>
        <v>1164.28</v>
      </c>
      <c r="C6273" s="1">
        <f>IFERROR(__xludf.DUMMYFUNCTION("""COMPUTED_VALUE"""),1172.58)</f>
        <v>1172.58</v>
      </c>
      <c r="D6273" s="1">
        <f>IFERROR(__xludf.DUMMYFUNCTION("""COMPUTED_VALUE"""),1155.71)</f>
        <v>1155.71</v>
      </c>
      <c r="E6273" s="1">
        <f>IFERROR(__xludf.DUMMYFUNCTION("""COMPUTED_VALUE"""),1169.77)</f>
        <v>1169.77</v>
      </c>
      <c r="F6273" s="1">
        <f>IFERROR(__xludf.DUMMYFUNCTION("""COMPUTED_VALUE"""),4.07616992E8)</f>
        <v>407616992</v>
      </c>
    </row>
    <row r="6274">
      <c r="A6274" s="2">
        <f>IFERROR(__xludf.DUMMYFUNCTION("""COMPUTED_VALUE"""),40464.666666666664)</f>
        <v>40464.66667</v>
      </c>
      <c r="B6274" s="1">
        <f>IFERROR(__xludf.DUMMYFUNCTION("""COMPUTED_VALUE"""),1171.32)</f>
        <v>1171.32</v>
      </c>
      <c r="C6274" s="1">
        <f>IFERROR(__xludf.DUMMYFUNCTION("""COMPUTED_VALUE"""),1184.38)</f>
        <v>1184.38</v>
      </c>
      <c r="D6274" s="1">
        <f>IFERROR(__xludf.DUMMYFUNCTION("""COMPUTED_VALUE"""),1171.32)</f>
        <v>1171.32</v>
      </c>
      <c r="E6274" s="1">
        <f>IFERROR(__xludf.DUMMYFUNCTION("""COMPUTED_VALUE"""),1178.1)</f>
        <v>1178.1</v>
      </c>
      <c r="F6274" s="1">
        <f>IFERROR(__xludf.DUMMYFUNCTION("""COMPUTED_VALUE"""),4.96940992E8)</f>
        <v>496940992</v>
      </c>
    </row>
    <row r="6275">
      <c r="A6275" s="2">
        <f>IFERROR(__xludf.DUMMYFUNCTION("""COMPUTED_VALUE"""),40465.666666666664)</f>
        <v>40465.66667</v>
      </c>
      <c r="B6275" s="1">
        <f>IFERROR(__xludf.DUMMYFUNCTION("""COMPUTED_VALUE"""),1177.82)</f>
        <v>1177.82</v>
      </c>
      <c r="C6275" s="1">
        <f>IFERROR(__xludf.DUMMYFUNCTION("""COMPUTED_VALUE"""),1178.89)</f>
        <v>1178.89</v>
      </c>
      <c r="D6275" s="1">
        <f>IFERROR(__xludf.DUMMYFUNCTION("""COMPUTED_VALUE"""),1166.71)</f>
        <v>1166.71</v>
      </c>
      <c r="E6275" s="1">
        <f>IFERROR(__xludf.DUMMYFUNCTION("""COMPUTED_VALUE"""),1173.81)</f>
        <v>1173.81</v>
      </c>
      <c r="F6275" s="1">
        <f>IFERROR(__xludf.DUMMYFUNCTION("""COMPUTED_VALUE"""),4.96940992E8)</f>
        <v>496940992</v>
      </c>
    </row>
    <row r="6276">
      <c r="A6276" s="2">
        <f>IFERROR(__xludf.DUMMYFUNCTION("""COMPUTED_VALUE"""),40466.666666666664)</f>
        <v>40466.66667</v>
      </c>
      <c r="B6276" s="1">
        <f>IFERROR(__xludf.DUMMYFUNCTION("""COMPUTED_VALUE"""),1177.47)</f>
        <v>1177.47</v>
      </c>
      <c r="C6276" s="1">
        <f>IFERROR(__xludf.DUMMYFUNCTION("""COMPUTED_VALUE"""),1181.2)</f>
        <v>1181.2</v>
      </c>
      <c r="D6276" s="1">
        <f>IFERROR(__xludf.DUMMYFUNCTION("""COMPUTED_VALUE"""),1167.12)</f>
        <v>1167.12</v>
      </c>
      <c r="E6276" s="1">
        <f>IFERROR(__xludf.DUMMYFUNCTION("""COMPUTED_VALUE"""),1176.19)</f>
        <v>1176.19</v>
      </c>
      <c r="F6276" s="1">
        <f>IFERROR(__xludf.DUMMYFUNCTION("""COMPUTED_VALUE"""),5.72491008E8)</f>
        <v>572491008</v>
      </c>
    </row>
    <row r="6277">
      <c r="A6277" s="2">
        <f>IFERROR(__xludf.DUMMYFUNCTION("""COMPUTED_VALUE"""),40469.666666666664)</f>
        <v>40469.66667</v>
      </c>
      <c r="B6277" s="1">
        <f>IFERROR(__xludf.DUMMYFUNCTION("""COMPUTED_VALUE"""),1176.83)</f>
        <v>1176.83</v>
      </c>
      <c r="C6277" s="1">
        <f>IFERROR(__xludf.DUMMYFUNCTION("""COMPUTED_VALUE"""),1185.53)</f>
        <v>1185.53</v>
      </c>
      <c r="D6277" s="1">
        <f>IFERROR(__xludf.DUMMYFUNCTION("""COMPUTED_VALUE"""),1174.55)</f>
        <v>1174.55</v>
      </c>
      <c r="E6277" s="1">
        <f>IFERROR(__xludf.DUMMYFUNCTION("""COMPUTED_VALUE"""),1184.71)</f>
        <v>1184.71</v>
      </c>
      <c r="F6277" s="1">
        <f>IFERROR(__xludf.DUMMYFUNCTION("""COMPUTED_VALUE"""),4.45004992E8)</f>
        <v>445004992</v>
      </c>
    </row>
    <row r="6278">
      <c r="A6278" s="2">
        <f>IFERROR(__xludf.DUMMYFUNCTION("""COMPUTED_VALUE"""),40470.666666666664)</f>
        <v>40470.66667</v>
      </c>
      <c r="B6278" s="1">
        <f>IFERROR(__xludf.DUMMYFUNCTION("""COMPUTED_VALUE"""),1178.64)</f>
        <v>1178.64</v>
      </c>
      <c r="C6278" s="1">
        <f>IFERROR(__xludf.DUMMYFUNCTION("""COMPUTED_VALUE"""),1178.64)</f>
        <v>1178.64</v>
      </c>
      <c r="D6278" s="1">
        <f>IFERROR(__xludf.DUMMYFUNCTION("""COMPUTED_VALUE"""),1159.71)</f>
        <v>1159.71</v>
      </c>
      <c r="E6278" s="1">
        <f>IFERROR(__xludf.DUMMYFUNCTION("""COMPUTED_VALUE"""),1165.9)</f>
        <v>1165.9</v>
      </c>
      <c r="F6278" s="1">
        <f>IFERROR(__xludf.DUMMYFUNCTION("""COMPUTED_VALUE"""),5.60012032E8)</f>
        <v>560012032</v>
      </c>
    </row>
    <row r="6279">
      <c r="A6279" s="2">
        <f>IFERROR(__xludf.DUMMYFUNCTION("""COMPUTED_VALUE"""),40471.666666666664)</f>
        <v>40471.66667</v>
      </c>
      <c r="B6279" s="1">
        <f>IFERROR(__xludf.DUMMYFUNCTION("""COMPUTED_VALUE"""),1166.74)</f>
        <v>1166.74</v>
      </c>
      <c r="C6279" s="1">
        <f>IFERROR(__xludf.DUMMYFUNCTION("""COMPUTED_VALUE"""),1182.94)</f>
        <v>1182.94</v>
      </c>
      <c r="D6279" s="1">
        <f>IFERROR(__xludf.DUMMYFUNCTION("""COMPUTED_VALUE"""),1166.74)</f>
        <v>1166.74</v>
      </c>
      <c r="E6279" s="1">
        <f>IFERROR(__xludf.DUMMYFUNCTION("""COMPUTED_VALUE"""),1178.17)</f>
        <v>1178.17</v>
      </c>
      <c r="F6279" s="1">
        <f>IFERROR(__xludf.DUMMYFUNCTION("""COMPUTED_VALUE"""),5.02788E8)</f>
        <v>502788000</v>
      </c>
    </row>
    <row r="6280">
      <c r="A6280" s="2">
        <f>IFERROR(__xludf.DUMMYFUNCTION("""COMPUTED_VALUE"""),40472.666666666664)</f>
        <v>40472.66667</v>
      </c>
      <c r="B6280" s="1">
        <f>IFERROR(__xludf.DUMMYFUNCTION("""COMPUTED_VALUE"""),1179.82)</f>
        <v>1179.82</v>
      </c>
      <c r="C6280" s="1">
        <f>IFERROR(__xludf.DUMMYFUNCTION("""COMPUTED_VALUE"""),1189.43)</f>
        <v>1189.43</v>
      </c>
      <c r="D6280" s="1">
        <f>IFERROR(__xludf.DUMMYFUNCTION("""COMPUTED_VALUE"""),1171.17)</f>
        <v>1171.17</v>
      </c>
      <c r="E6280" s="1">
        <f>IFERROR(__xludf.DUMMYFUNCTION("""COMPUTED_VALUE"""),1180.26)</f>
        <v>1180.26</v>
      </c>
      <c r="F6280" s="1">
        <f>IFERROR(__xludf.DUMMYFUNCTION("""COMPUTED_VALUE"""),4.62547008E8)</f>
        <v>462547008</v>
      </c>
    </row>
    <row r="6281">
      <c r="A6281" s="2">
        <f>IFERROR(__xludf.DUMMYFUNCTION("""COMPUTED_VALUE"""),40473.666666666664)</f>
        <v>40473.66667</v>
      </c>
      <c r="B6281" s="1">
        <f>IFERROR(__xludf.DUMMYFUNCTION("""COMPUTED_VALUE"""),1180.52)</f>
        <v>1180.52</v>
      </c>
      <c r="C6281" s="1">
        <f>IFERROR(__xludf.DUMMYFUNCTION("""COMPUTED_VALUE"""),1183.93)</f>
        <v>1183.93</v>
      </c>
      <c r="D6281" s="1">
        <f>IFERROR(__xludf.DUMMYFUNCTION("""COMPUTED_VALUE"""),1178.99)</f>
        <v>1178.99</v>
      </c>
      <c r="E6281" s="1">
        <f>IFERROR(__xludf.DUMMYFUNCTION("""COMPUTED_VALUE"""),1183.08)</f>
        <v>1183.08</v>
      </c>
      <c r="F6281" s="1">
        <f>IFERROR(__xludf.DUMMYFUNCTION("""COMPUTED_VALUE"""),3.17788992E8)</f>
        <v>317788992</v>
      </c>
    </row>
    <row r="6282">
      <c r="A6282" s="2">
        <f>IFERROR(__xludf.DUMMYFUNCTION("""COMPUTED_VALUE"""),40476.666666666664)</f>
        <v>40476.66667</v>
      </c>
      <c r="B6282" s="1">
        <f>IFERROR(__xludf.DUMMYFUNCTION("""COMPUTED_VALUE"""),1184.74)</f>
        <v>1184.74</v>
      </c>
      <c r="C6282" s="1">
        <f>IFERROR(__xludf.DUMMYFUNCTION("""COMPUTED_VALUE"""),1196.14)</f>
        <v>1196.14</v>
      </c>
      <c r="D6282" s="1">
        <f>IFERROR(__xludf.DUMMYFUNCTION("""COMPUTED_VALUE"""),1184.74)</f>
        <v>1184.74</v>
      </c>
      <c r="E6282" s="1">
        <f>IFERROR(__xludf.DUMMYFUNCTION("""COMPUTED_VALUE"""),1185.62)</f>
        <v>1185.62</v>
      </c>
      <c r="F6282" s="1">
        <f>IFERROR(__xludf.DUMMYFUNCTION("""COMPUTED_VALUE"""),4.22137984E8)</f>
        <v>422137984</v>
      </c>
    </row>
    <row r="6283">
      <c r="A6283" s="2">
        <f>IFERROR(__xludf.DUMMYFUNCTION("""COMPUTED_VALUE"""),40477.666666666664)</f>
        <v>40477.66667</v>
      </c>
      <c r="B6283" s="1">
        <f>IFERROR(__xludf.DUMMYFUNCTION("""COMPUTED_VALUE"""),1184.88)</f>
        <v>1184.88</v>
      </c>
      <c r="C6283" s="1">
        <f>IFERROR(__xludf.DUMMYFUNCTION("""COMPUTED_VALUE"""),1187.11)</f>
        <v>1187.11</v>
      </c>
      <c r="D6283" s="1">
        <f>IFERROR(__xludf.DUMMYFUNCTION("""COMPUTED_VALUE"""),1177.72)</f>
        <v>1177.72</v>
      </c>
      <c r="E6283" s="1">
        <f>IFERROR(__xludf.DUMMYFUNCTION("""COMPUTED_VALUE"""),1185.64)</f>
        <v>1185.64</v>
      </c>
      <c r="F6283" s="1">
        <f>IFERROR(__xludf.DUMMYFUNCTION("""COMPUTED_VALUE"""),4.20368E8)</f>
        <v>420368000</v>
      </c>
    </row>
    <row r="6284">
      <c r="A6284" s="2">
        <f>IFERROR(__xludf.DUMMYFUNCTION("""COMPUTED_VALUE"""),40478.666666666664)</f>
        <v>40478.66667</v>
      </c>
      <c r="B6284" s="1">
        <f>IFERROR(__xludf.DUMMYFUNCTION("""COMPUTED_VALUE"""),1183.84)</f>
        <v>1183.84</v>
      </c>
      <c r="C6284" s="1">
        <f>IFERROR(__xludf.DUMMYFUNCTION("""COMPUTED_VALUE"""),1183.84)</f>
        <v>1183.84</v>
      </c>
      <c r="D6284" s="1">
        <f>IFERROR(__xludf.DUMMYFUNCTION("""COMPUTED_VALUE"""),1171.7)</f>
        <v>1171.7</v>
      </c>
      <c r="E6284" s="1">
        <f>IFERROR(__xludf.DUMMYFUNCTION("""COMPUTED_VALUE"""),1182.45)</f>
        <v>1182.45</v>
      </c>
      <c r="F6284" s="1">
        <f>IFERROR(__xludf.DUMMYFUNCTION("""COMPUTED_VALUE"""),4.33567008E8)</f>
        <v>433567008</v>
      </c>
    </row>
    <row r="6285">
      <c r="A6285" s="2">
        <f>IFERROR(__xludf.DUMMYFUNCTION("""COMPUTED_VALUE"""),40479.666666666664)</f>
        <v>40479.66667</v>
      </c>
      <c r="B6285" s="1">
        <f>IFERROR(__xludf.DUMMYFUNCTION("""COMPUTED_VALUE"""),1184.47)</f>
        <v>1184.47</v>
      </c>
      <c r="C6285" s="1">
        <f>IFERROR(__xludf.DUMMYFUNCTION("""COMPUTED_VALUE"""),1189.53)</f>
        <v>1189.53</v>
      </c>
      <c r="D6285" s="1">
        <f>IFERROR(__xludf.DUMMYFUNCTION("""COMPUTED_VALUE"""),1177.1)</f>
        <v>1177.1</v>
      </c>
      <c r="E6285" s="1">
        <f>IFERROR(__xludf.DUMMYFUNCTION("""COMPUTED_VALUE"""),1183.78)</f>
        <v>1183.78</v>
      </c>
      <c r="F6285" s="1">
        <f>IFERROR(__xludf.DUMMYFUNCTION("""COMPUTED_VALUE"""),4.28345984E8)</f>
        <v>428345984</v>
      </c>
    </row>
    <row r="6286">
      <c r="A6286" s="2">
        <f>IFERROR(__xludf.DUMMYFUNCTION("""COMPUTED_VALUE"""),40480.666666666664)</f>
        <v>40480.66667</v>
      </c>
      <c r="B6286" s="1">
        <f>IFERROR(__xludf.DUMMYFUNCTION("""COMPUTED_VALUE"""),1183.87)</f>
        <v>1183.87</v>
      </c>
      <c r="C6286" s="1">
        <f>IFERROR(__xludf.DUMMYFUNCTION("""COMPUTED_VALUE"""),1185.46)</f>
        <v>1185.46</v>
      </c>
      <c r="D6286" s="1">
        <f>IFERROR(__xludf.DUMMYFUNCTION("""COMPUTED_VALUE"""),1179.7)</f>
        <v>1179.7</v>
      </c>
      <c r="E6286" s="1">
        <f>IFERROR(__xludf.DUMMYFUNCTION("""COMPUTED_VALUE"""),1183.26)</f>
        <v>1183.26</v>
      </c>
      <c r="F6286" s="1">
        <f>IFERROR(__xludf.DUMMYFUNCTION("""COMPUTED_VALUE"""),3.53788E8)</f>
        <v>353788000</v>
      </c>
    </row>
    <row r="6287">
      <c r="A6287" s="2">
        <f>IFERROR(__xludf.DUMMYFUNCTION("""COMPUTED_VALUE"""),40483.666666666664)</f>
        <v>40483.66667</v>
      </c>
      <c r="B6287" s="1">
        <f>IFERROR(__xludf.DUMMYFUNCTION("""COMPUTED_VALUE"""),1185.71)</f>
        <v>1185.71</v>
      </c>
      <c r="C6287" s="1">
        <f>IFERROR(__xludf.DUMMYFUNCTION("""COMPUTED_VALUE"""),1195.81)</f>
        <v>1195.81</v>
      </c>
      <c r="D6287" s="1">
        <f>IFERROR(__xludf.DUMMYFUNCTION("""COMPUTED_VALUE"""),1177.65)</f>
        <v>1177.65</v>
      </c>
      <c r="E6287" s="1">
        <f>IFERROR(__xludf.DUMMYFUNCTION("""COMPUTED_VALUE"""),1184.38)</f>
        <v>1184.38</v>
      </c>
      <c r="F6287" s="1">
        <f>IFERROR(__xludf.DUMMYFUNCTION("""COMPUTED_VALUE"""),4.12918016E8)</f>
        <v>412918016</v>
      </c>
    </row>
    <row r="6288">
      <c r="A6288" s="2">
        <f>IFERROR(__xludf.DUMMYFUNCTION("""COMPUTED_VALUE"""),40484.666666666664)</f>
        <v>40484.66667</v>
      </c>
      <c r="B6288" s="1">
        <f>IFERROR(__xludf.DUMMYFUNCTION("""COMPUTED_VALUE"""),1187.86)</f>
        <v>1187.86</v>
      </c>
      <c r="C6288" s="1">
        <f>IFERROR(__xludf.DUMMYFUNCTION("""COMPUTED_VALUE"""),1195.88)</f>
        <v>1195.88</v>
      </c>
      <c r="D6288" s="1">
        <f>IFERROR(__xludf.DUMMYFUNCTION("""COMPUTED_VALUE"""),1187.86)</f>
        <v>1187.86</v>
      </c>
      <c r="E6288" s="1">
        <f>IFERROR(__xludf.DUMMYFUNCTION("""COMPUTED_VALUE"""),1193.57)</f>
        <v>1193.57</v>
      </c>
      <c r="F6288" s="1">
        <f>IFERROR(__xludf.DUMMYFUNCTION("""COMPUTED_VALUE"""),3.8662E8)</f>
        <v>386620000</v>
      </c>
    </row>
    <row r="6289">
      <c r="A6289" s="2">
        <f>IFERROR(__xludf.DUMMYFUNCTION("""COMPUTED_VALUE"""),40485.666666666664)</f>
        <v>40485.66667</v>
      </c>
      <c r="B6289" s="1">
        <f>IFERROR(__xludf.DUMMYFUNCTION("""COMPUTED_VALUE"""),1193.79)</f>
        <v>1193.79</v>
      </c>
      <c r="C6289" s="1">
        <f>IFERROR(__xludf.DUMMYFUNCTION("""COMPUTED_VALUE"""),1198.3)</f>
        <v>1198.3</v>
      </c>
      <c r="D6289" s="1">
        <f>IFERROR(__xludf.DUMMYFUNCTION("""COMPUTED_VALUE"""),1183.56)</f>
        <v>1183.56</v>
      </c>
      <c r="E6289" s="1">
        <f>IFERROR(__xludf.DUMMYFUNCTION("""COMPUTED_VALUE"""),1197.96)</f>
        <v>1197.96</v>
      </c>
      <c r="F6289" s="1">
        <f>IFERROR(__xludf.DUMMYFUNCTION("""COMPUTED_VALUE"""),4.66548E8)</f>
        <v>466548000</v>
      </c>
    </row>
    <row r="6290">
      <c r="A6290" s="2">
        <f>IFERROR(__xludf.DUMMYFUNCTION("""COMPUTED_VALUE"""),40486.666666666664)</f>
        <v>40486.66667</v>
      </c>
      <c r="B6290" s="1">
        <f>IFERROR(__xludf.DUMMYFUNCTION("""COMPUTED_VALUE"""),1198.34)</f>
        <v>1198.34</v>
      </c>
      <c r="C6290" s="1">
        <f>IFERROR(__xludf.DUMMYFUNCTION("""COMPUTED_VALUE"""),1221.25)</f>
        <v>1221.25</v>
      </c>
      <c r="D6290" s="1">
        <f>IFERROR(__xludf.DUMMYFUNCTION("""COMPUTED_VALUE"""),1198.34)</f>
        <v>1198.34</v>
      </c>
      <c r="E6290" s="1">
        <f>IFERROR(__xludf.DUMMYFUNCTION("""COMPUTED_VALUE"""),1221.06)</f>
        <v>1221.06</v>
      </c>
      <c r="F6290" s="1">
        <f>IFERROR(__xludf.DUMMYFUNCTION("""COMPUTED_VALUE"""),5.69547008E8)</f>
        <v>569547008</v>
      </c>
    </row>
    <row r="6291">
      <c r="A6291" s="2">
        <f>IFERROR(__xludf.DUMMYFUNCTION("""COMPUTED_VALUE"""),40487.666666666664)</f>
        <v>40487.66667</v>
      </c>
      <c r="B6291" s="1">
        <f>IFERROR(__xludf.DUMMYFUNCTION("""COMPUTED_VALUE"""),1221.2)</f>
        <v>1221.2</v>
      </c>
      <c r="C6291" s="1">
        <f>IFERROR(__xludf.DUMMYFUNCTION("""COMPUTED_VALUE"""),1227.08)</f>
        <v>1227.08</v>
      </c>
      <c r="D6291" s="1">
        <f>IFERROR(__xludf.DUMMYFUNCTION("""COMPUTED_VALUE"""),1220.29)</f>
        <v>1220.29</v>
      </c>
      <c r="E6291" s="1">
        <f>IFERROR(__xludf.DUMMYFUNCTION("""COMPUTED_VALUE"""),1225.85)</f>
        <v>1225.85</v>
      </c>
      <c r="F6291" s="1">
        <f>IFERROR(__xludf.DUMMYFUNCTION("""COMPUTED_VALUE"""),5.63745984E8)</f>
        <v>563745984</v>
      </c>
    </row>
    <row r="6292">
      <c r="A6292" s="2">
        <f>IFERROR(__xludf.DUMMYFUNCTION("""COMPUTED_VALUE"""),40490.666666666664)</f>
        <v>40490.66667</v>
      </c>
      <c r="B6292" s="1">
        <f>IFERROR(__xludf.DUMMYFUNCTION("""COMPUTED_VALUE"""),1223.24)</f>
        <v>1223.24</v>
      </c>
      <c r="C6292" s="1">
        <f>IFERROR(__xludf.DUMMYFUNCTION("""COMPUTED_VALUE"""),1224.57)</f>
        <v>1224.57</v>
      </c>
      <c r="D6292" s="1">
        <f>IFERROR(__xludf.DUMMYFUNCTION("""COMPUTED_VALUE"""),1217.55)</f>
        <v>1217.55</v>
      </c>
      <c r="E6292" s="1">
        <f>IFERROR(__xludf.DUMMYFUNCTION("""COMPUTED_VALUE"""),1223.25)</f>
        <v>1223.25</v>
      </c>
      <c r="F6292" s="1">
        <f>IFERROR(__xludf.DUMMYFUNCTION("""COMPUTED_VALUE"""),0.0)</f>
        <v>0</v>
      </c>
    </row>
    <row r="6293">
      <c r="A6293" s="2">
        <f>IFERROR(__xludf.DUMMYFUNCTION("""COMPUTED_VALUE"""),40491.666666666664)</f>
        <v>40491.66667</v>
      </c>
      <c r="B6293" s="1">
        <f>IFERROR(__xludf.DUMMYFUNCTION("""COMPUTED_VALUE"""),1223.59)</f>
        <v>1223.59</v>
      </c>
      <c r="C6293" s="1">
        <f>IFERROR(__xludf.DUMMYFUNCTION("""COMPUTED_VALUE"""),1226.84)</f>
        <v>1226.84</v>
      </c>
      <c r="D6293" s="1">
        <f>IFERROR(__xludf.DUMMYFUNCTION("""COMPUTED_VALUE"""),1208.94)</f>
        <v>1208.94</v>
      </c>
      <c r="E6293" s="1">
        <f>IFERROR(__xludf.DUMMYFUNCTION("""COMPUTED_VALUE"""),1213.4)</f>
        <v>1213.4</v>
      </c>
      <c r="F6293" s="1">
        <f>IFERROR(__xludf.DUMMYFUNCTION("""COMPUTED_VALUE"""),0.0)</f>
        <v>0</v>
      </c>
    </row>
    <row r="6294">
      <c r="A6294" s="2">
        <f>IFERROR(__xludf.DUMMYFUNCTION("""COMPUTED_VALUE"""),40492.666666666664)</f>
        <v>40492.66667</v>
      </c>
      <c r="B6294" s="1">
        <f>IFERROR(__xludf.DUMMYFUNCTION("""COMPUTED_VALUE"""),1213.14)</f>
        <v>1213.14</v>
      </c>
      <c r="C6294" s="1">
        <f>IFERROR(__xludf.DUMMYFUNCTION("""COMPUTED_VALUE"""),1218.75)</f>
        <v>1218.75</v>
      </c>
      <c r="D6294" s="1">
        <f>IFERROR(__xludf.DUMMYFUNCTION("""COMPUTED_VALUE"""),1204.33)</f>
        <v>1204.33</v>
      </c>
      <c r="E6294" s="1">
        <f>IFERROR(__xludf.DUMMYFUNCTION("""COMPUTED_VALUE"""),1218.71)</f>
        <v>1218.71</v>
      </c>
      <c r="F6294" s="1">
        <f>IFERROR(__xludf.DUMMYFUNCTION("""COMPUTED_VALUE"""),0.0)</f>
        <v>0</v>
      </c>
    </row>
    <row r="6295">
      <c r="A6295" s="2">
        <f>IFERROR(__xludf.DUMMYFUNCTION("""COMPUTED_VALUE"""),40493.666666666664)</f>
        <v>40493.66667</v>
      </c>
      <c r="B6295" s="1">
        <f>IFERROR(__xludf.DUMMYFUNCTION("""COMPUTED_VALUE"""),1213.04)</f>
        <v>1213.04</v>
      </c>
      <c r="C6295" s="1">
        <f>IFERROR(__xludf.DUMMYFUNCTION("""COMPUTED_VALUE"""),1215.45)</f>
        <v>1215.45</v>
      </c>
      <c r="D6295" s="1">
        <f>IFERROR(__xludf.DUMMYFUNCTION("""COMPUTED_VALUE"""),1204.49)</f>
        <v>1204.49</v>
      </c>
      <c r="E6295" s="1">
        <f>IFERROR(__xludf.DUMMYFUNCTION("""COMPUTED_VALUE"""),1213.54)</f>
        <v>1213.54</v>
      </c>
      <c r="F6295" s="1">
        <f>IFERROR(__xludf.DUMMYFUNCTION("""COMPUTED_VALUE"""),0.0)</f>
        <v>0</v>
      </c>
    </row>
    <row r="6296">
      <c r="A6296" s="2">
        <f>IFERROR(__xludf.DUMMYFUNCTION("""COMPUTED_VALUE"""),40494.666666666664)</f>
        <v>40494.66667</v>
      </c>
      <c r="B6296" s="1">
        <f>IFERROR(__xludf.DUMMYFUNCTION("""COMPUTED_VALUE"""),1209.07)</f>
        <v>1209.07</v>
      </c>
      <c r="C6296" s="1">
        <f>IFERROR(__xludf.DUMMYFUNCTION("""COMPUTED_VALUE"""),1210.5)</f>
        <v>1210.5</v>
      </c>
      <c r="D6296" s="1">
        <f>IFERROR(__xludf.DUMMYFUNCTION("""COMPUTED_VALUE"""),1194.08)</f>
        <v>1194.08</v>
      </c>
      <c r="E6296" s="1">
        <f>IFERROR(__xludf.DUMMYFUNCTION("""COMPUTED_VALUE"""),1199.21)</f>
        <v>1199.21</v>
      </c>
      <c r="F6296" s="1">
        <f>IFERROR(__xludf.DUMMYFUNCTION("""COMPUTED_VALUE"""),0.0)</f>
        <v>0</v>
      </c>
    </row>
    <row r="6297">
      <c r="A6297" s="2">
        <f>IFERROR(__xludf.DUMMYFUNCTION("""COMPUTED_VALUE"""),40497.666666666664)</f>
        <v>40497.66667</v>
      </c>
      <c r="B6297" s="1">
        <f>IFERROR(__xludf.DUMMYFUNCTION("""COMPUTED_VALUE"""),1200.44)</f>
        <v>1200.44</v>
      </c>
      <c r="C6297" s="1">
        <f>IFERROR(__xludf.DUMMYFUNCTION("""COMPUTED_VALUE"""),1207.43)</f>
        <v>1207.43</v>
      </c>
      <c r="D6297" s="1">
        <f>IFERROR(__xludf.DUMMYFUNCTION("""COMPUTED_VALUE"""),1197.15)</f>
        <v>1197.15</v>
      </c>
      <c r="E6297" s="1">
        <f>IFERROR(__xludf.DUMMYFUNCTION("""COMPUTED_VALUE"""),1197.75)</f>
        <v>1197.75</v>
      </c>
      <c r="F6297" s="1">
        <f>IFERROR(__xludf.DUMMYFUNCTION("""COMPUTED_VALUE"""),0.0)</f>
        <v>0</v>
      </c>
    </row>
    <row r="6298">
      <c r="A6298" s="2">
        <f>IFERROR(__xludf.DUMMYFUNCTION("""COMPUTED_VALUE"""),40498.666666666664)</f>
        <v>40498.66667</v>
      </c>
      <c r="B6298" s="1">
        <f>IFERROR(__xludf.DUMMYFUNCTION("""COMPUTED_VALUE"""),1194.79)</f>
        <v>1194.79</v>
      </c>
      <c r="C6298" s="1">
        <f>IFERROR(__xludf.DUMMYFUNCTION("""COMPUTED_VALUE"""),1194.79)</f>
        <v>1194.79</v>
      </c>
      <c r="D6298" s="1">
        <f>IFERROR(__xludf.DUMMYFUNCTION("""COMPUTED_VALUE"""),1173.0)</f>
        <v>1173</v>
      </c>
      <c r="E6298" s="1">
        <f>IFERROR(__xludf.DUMMYFUNCTION("""COMPUTED_VALUE"""),1178.34)</f>
        <v>1178.34</v>
      </c>
      <c r="F6298" s="1">
        <f>IFERROR(__xludf.DUMMYFUNCTION("""COMPUTED_VALUE"""),0.0)</f>
        <v>0</v>
      </c>
    </row>
    <row r="6299">
      <c r="A6299" s="2">
        <f>IFERROR(__xludf.DUMMYFUNCTION("""COMPUTED_VALUE"""),40499.666666666664)</f>
        <v>40499.66667</v>
      </c>
      <c r="B6299" s="1">
        <f>IFERROR(__xludf.DUMMYFUNCTION("""COMPUTED_VALUE"""),1178.33)</f>
        <v>1178.33</v>
      </c>
      <c r="C6299" s="1">
        <f>IFERROR(__xludf.DUMMYFUNCTION("""COMPUTED_VALUE"""),1183.56)</f>
        <v>1183.56</v>
      </c>
      <c r="D6299" s="1">
        <f>IFERROR(__xludf.DUMMYFUNCTION("""COMPUTED_VALUE"""),1175.82)</f>
        <v>1175.82</v>
      </c>
      <c r="E6299" s="1">
        <f>IFERROR(__xludf.DUMMYFUNCTION("""COMPUTED_VALUE"""),1178.59)</f>
        <v>1178.59</v>
      </c>
      <c r="F6299" s="1">
        <f>IFERROR(__xludf.DUMMYFUNCTION("""COMPUTED_VALUE"""),0.0)</f>
        <v>0</v>
      </c>
    </row>
    <row r="6300">
      <c r="A6300" s="2">
        <f>IFERROR(__xludf.DUMMYFUNCTION("""COMPUTED_VALUE"""),40500.666666666664)</f>
        <v>40500.66667</v>
      </c>
      <c r="B6300" s="1">
        <f>IFERROR(__xludf.DUMMYFUNCTION("""COMPUTED_VALUE"""),1183.75)</f>
        <v>1183.75</v>
      </c>
      <c r="C6300" s="1">
        <f>IFERROR(__xludf.DUMMYFUNCTION("""COMPUTED_VALUE"""),1200.29)</f>
        <v>1200.29</v>
      </c>
      <c r="D6300" s="1">
        <f>IFERROR(__xludf.DUMMYFUNCTION("""COMPUTED_VALUE"""),1183.75)</f>
        <v>1183.75</v>
      </c>
      <c r="E6300" s="1">
        <f>IFERROR(__xludf.DUMMYFUNCTION("""COMPUTED_VALUE"""),1196.69)</f>
        <v>1196.69</v>
      </c>
      <c r="F6300" s="1">
        <f>IFERROR(__xludf.DUMMYFUNCTION("""COMPUTED_VALUE"""),0.0)</f>
        <v>0</v>
      </c>
    </row>
    <row r="6301">
      <c r="A6301" s="2">
        <f>IFERROR(__xludf.DUMMYFUNCTION("""COMPUTED_VALUE"""),40501.666666666664)</f>
        <v>40501.66667</v>
      </c>
      <c r="B6301" s="1">
        <f>IFERROR(__xludf.DUMMYFUNCTION("""COMPUTED_VALUE"""),1196.12)</f>
        <v>1196.12</v>
      </c>
      <c r="C6301" s="1">
        <f>IFERROR(__xludf.DUMMYFUNCTION("""COMPUTED_VALUE"""),1199.97)</f>
        <v>1199.97</v>
      </c>
      <c r="D6301" s="1">
        <f>IFERROR(__xludf.DUMMYFUNCTION("""COMPUTED_VALUE"""),1189.44)</f>
        <v>1189.44</v>
      </c>
      <c r="E6301" s="1">
        <f>IFERROR(__xludf.DUMMYFUNCTION("""COMPUTED_VALUE"""),1199.73)</f>
        <v>1199.73</v>
      </c>
      <c r="F6301" s="1">
        <f>IFERROR(__xludf.DUMMYFUNCTION("""COMPUTED_VALUE"""),0.0)</f>
        <v>0</v>
      </c>
    </row>
    <row r="6302">
      <c r="A6302" s="2">
        <f>IFERROR(__xludf.DUMMYFUNCTION("""COMPUTED_VALUE"""),40504.666666666664)</f>
        <v>40504.66667</v>
      </c>
      <c r="B6302" s="1">
        <f>IFERROR(__xludf.DUMMYFUNCTION("""COMPUTED_VALUE"""),1198.07)</f>
        <v>1198.07</v>
      </c>
      <c r="C6302" s="1">
        <f>IFERROR(__xludf.DUMMYFUNCTION("""COMPUTED_VALUE"""),1198.94)</f>
        <v>1198.94</v>
      </c>
      <c r="D6302" s="1">
        <f>IFERROR(__xludf.DUMMYFUNCTION("""COMPUTED_VALUE"""),1184.58)</f>
        <v>1184.58</v>
      </c>
      <c r="E6302" s="1">
        <f>IFERROR(__xludf.DUMMYFUNCTION("""COMPUTED_VALUE"""),1197.84)</f>
        <v>1197.84</v>
      </c>
      <c r="F6302" s="1">
        <f>IFERROR(__xludf.DUMMYFUNCTION("""COMPUTED_VALUE"""),0.0)</f>
        <v>0</v>
      </c>
    </row>
    <row r="6303">
      <c r="A6303" s="2">
        <f>IFERROR(__xludf.DUMMYFUNCTION("""COMPUTED_VALUE"""),40505.666666666664)</f>
        <v>40505.66667</v>
      </c>
      <c r="B6303" s="1">
        <f>IFERROR(__xludf.DUMMYFUNCTION("""COMPUTED_VALUE"""),1192.51)</f>
        <v>1192.51</v>
      </c>
      <c r="C6303" s="1">
        <f>IFERROR(__xludf.DUMMYFUNCTION("""COMPUTED_VALUE"""),1192.51)</f>
        <v>1192.51</v>
      </c>
      <c r="D6303" s="1">
        <f>IFERROR(__xludf.DUMMYFUNCTION("""COMPUTED_VALUE"""),1176.91)</f>
        <v>1176.91</v>
      </c>
      <c r="E6303" s="1">
        <f>IFERROR(__xludf.DUMMYFUNCTION("""COMPUTED_VALUE"""),1180.73)</f>
        <v>1180.73</v>
      </c>
      <c r="F6303" s="1">
        <f>IFERROR(__xludf.DUMMYFUNCTION("""COMPUTED_VALUE"""),0.0)</f>
        <v>0</v>
      </c>
    </row>
    <row r="6304">
      <c r="A6304" s="2">
        <f>IFERROR(__xludf.DUMMYFUNCTION("""COMPUTED_VALUE"""),40506.666666666664)</f>
        <v>40506.66667</v>
      </c>
      <c r="B6304" s="1">
        <f>IFERROR(__xludf.DUMMYFUNCTION("""COMPUTED_VALUE"""),1183.7)</f>
        <v>1183.7</v>
      </c>
      <c r="C6304" s="1">
        <f>IFERROR(__xludf.DUMMYFUNCTION("""COMPUTED_VALUE"""),1198.62)</f>
        <v>1198.62</v>
      </c>
      <c r="D6304" s="1">
        <f>IFERROR(__xludf.DUMMYFUNCTION("""COMPUTED_VALUE"""),1183.7)</f>
        <v>1183.7</v>
      </c>
      <c r="E6304" s="1">
        <f>IFERROR(__xludf.DUMMYFUNCTION("""COMPUTED_VALUE"""),1198.35)</f>
        <v>1198.35</v>
      </c>
      <c r="F6304" s="1">
        <f>IFERROR(__xludf.DUMMYFUNCTION("""COMPUTED_VALUE"""),0.0)</f>
        <v>0</v>
      </c>
    </row>
    <row r="6305">
      <c r="A6305" s="2">
        <f>IFERROR(__xludf.DUMMYFUNCTION("""COMPUTED_VALUE"""),40508.666666666664)</f>
        <v>40508.66667</v>
      </c>
      <c r="B6305" s="1">
        <f>IFERROR(__xludf.DUMMYFUNCTION("""COMPUTED_VALUE"""),1194.16)</f>
        <v>1194.16</v>
      </c>
      <c r="C6305" s="1">
        <f>IFERROR(__xludf.DUMMYFUNCTION("""COMPUTED_VALUE"""),1194.16)</f>
        <v>1194.16</v>
      </c>
      <c r="D6305" s="1">
        <f>IFERROR(__xludf.DUMMYFUNCTION("""COMPUTED_VALUE"""),1186.93)</f>
        <v>1186.93</v>
      </c>
      <c r="E6305" s="1">
        <f>IFERROR(__xludf.DUMMYFUNCTION("""COMPUTED_VALUE"""),1189.4)</f>
        <v>1189.4</v>
      </c>
      <c r="F6305" s="1">
        <f>IFERROR(__xludf.DUMMYFUNCTION("""COMPUTED_VALUE"""),0.0)</f>
        <v>0</v>
      </c>
    </row>
    <row r="6306">
      <c r="A6306" s="2">
        <f>IFERROR(__xludf.DUMMYFUNCTION("""COMPUTED_VALUE"""),40511.666666666664)</f>
        <v>40511.66667</v>
      </c>
      <c r="B6306" s="1">
        <f>IFERROR(__xludf.DUMMYFUNCTION("""COMPUTED_VALUE"""),1189.08)</f>
        <v>1189.08</v>
      </c>
      <c r="C6306" s="1">
        <f>IFERROR(__xludf.DUMMYFUNCTION("""COMPUTED_VALUE"""),1190.34)</f>
        <v>1190.34</v>
      </c>
      <c r="D6306" s="1">
        <f>IFERROR(__xludf.DUMMYFUNCTION("""COMPUTED_VALUE"""),1173.64)</f>
        <v>1173.64</v>
      </c>
      <c r="E6306" s="1">
        <f>IFERROR(__xludf.DUMMYFUNCTION("""COMPUTED_VALUE"""),1187.76)</f>
        <v>1187.76</v>
      </c>
      <c r="F6306" s="1">
        <f>IFERROR(__xludf.DUMMYFUNCTION("""COMPUTED_VALUE"""),0.0)</f>
        <v>0</v>
      </c>
    </row>
    <row r="6307">
      <c r="A6307" s="2">
        <f>IFERROR(__xludf.DUMMYFUNCTION("""COMPUTED_VALUE"""),40512.666666666664)</f>
        <v>40512.66667</v>
      </c>
      <c r="B6307" s="1">
        <f>IFERROR(__xludf.DUMMYFUNCTION("""COMPUTED_VALUE"""),1182.96)</f>
        <v>1182.96</v>
      </c>
      <c r="C6307" s="1">
        <f>IFERROR(__xludf.DUMMYFUNCTION("""COMPUTED_VALUE"""),1187.4)</f>
        <v>1187.4</v>
      </c>
      <c r="D6307" s="1">
        <f>IFERROR(__xludf.DUMMYFUNCTION("""COMPUTED_VALUE"""),1174.14)</f>
        <v>1174.14</v>
      </c>
      <c r="E6307" s="1">
        <f>IFERROR(__xludf.DUMMYFUNCTION("""COMPUTED_VALUE"""),1180.55)</f>
        <v>1180.55</v>
      </c>
      <c r="F6307" s="1">
        <f>IFERROR(__xludf.DUMMYFUNCTION("""COMPUTED_VALUE"""),0.0)</f>
        <v>0</v>
      </c>
    </row>
    <row r="6308">
      <c r="A6308" s="2">
        <f>IFERROR(__xludf.DUMMYFUNCTION("""COMPUTED_VALUE"""),40513.666666666664)</f>
        <v>40513.66667</v>
      </c>
      <c r="B6308" s="1">
        <f>IFERROR(__xludf.DUMMYFUNCTION("""COMPUTED_VALUE"""),1186.6)</f>
        <v>1186.6</v>
      </c>
      <c r="C6308" s="1">
        <f>IFERROR(__xludf.DUMMYFUNCTION("""COMPUTED_VALUE"""),1207.61)</f>
        <v>1207.61</v>
      </c>
      <c r="D6308" s="1">
        <f>IFERROR(__xludf.DUMMYFUNCTION("""COMPUTED_VALUE"""),1186.6)</f>
        <v>1186.6</v>
      </c>
      <c r="E6308" s="1">
        <f>IFERROR(__xludf.DUMMYFUNCTION("""COMPUTED_VALUE"""),1206.07)</f>
        <v>1206.07</v>
      </c>
      <c r="F6308" s="1">
        <f>IFERROR(__xludf.DUMMYFUNCTION("""COMPUTED_VALUE"""),0.0)</f>
        <v>0</v>
      </c>
    </row>
    <row r="6309">
      <c r="A6309" s="2">
        <f>IFERROR(__xludf.DUMMYFUNCTION("""COMPUTED_VALUE"""),40514.666666666664)</f>
        <v>40514.66667</v>
      </c>
      <c r="B6309" s="1">
        <f>IFERROR(__xludf.DUMMYFUNCTION("""COMPUTED_VALUE"""),1206.81)</f>
        <v>1206.81</v>
      </c>
      <c r="C6309" s="1">
        <f>IFERROR(__xludf.DUMMYFUNCTION("""COMPUTED_VALUE"""),1221.89)</f>
        <v>1221.89</v>
      </c>
      <c r="D6309" s="1">
        <f>IFERROR(__xludf.DUMMYFUNCTION("""COMPUTED_VALUE"""),1206.81)</f>
        <v>1206.81</v>
      </c>
      <c r="E6309" s="1">
        <f>IFERROR(__xludf.DUMMYFUNCTION("""COMPUTED_VALUE"""),1221.53)</f>
        <v>1221.53</v>
      </c>
      <c r="F6309" s="1">
        <f>IFERROR(__xludf.DUMMYFUNCTION("""COMPUTED_VALUE"""),0.0)</f>
        <v>0</v>
      </c>
    </row>
    <row r="6310">
      <c r="A6310" s="2">
        <f>IFERROR(__xludf.DUMMYFUNCTION("""COMPUTED_VALUE"""),40515.666666666664)</f>
        <v>40515.66667</v>
      </c>
      <c r="B6310" s="1">
        <f>IFERROR(__xludf.DUMMYFUNCTION("""COMPUTED_VALUE"""),1219.93)</f>
        <v>1219.93</v>
      </c>
      <c r="C6310" s="1">
        <f>IFERROR(__xludf.DUMMYFUNCTION("""COMPUTED_VALUE"""),1225.57)</f>
        <v>1225.57</v>
      </c>
      <c r="D6310" s="1">
        <f>IFERROR(__xludf.DUMMYFUNCTION("""COMPUTED_VALUE"""),1216.82)</f>
        <v>1216.82</v>
      </c>
      <c r="E6310" s="1">
        <f>IFERROR(__xludf.DUMMYFUNCTION("""COMPUTED_VALUE"""),1224.71)</f>
        <v>1224.71</v>
      </c>
      <c r="F6310" s="1">
        <f>IFERROR(__xludf.DUMMYFUNCTION("""COMPUTED_VALUE"""),0.0)</f>
        <v>0</v>
      </c>
    </row>
    <row r="6311">
      <c r="A6311" s="2">
        <f>IFERROR(__xludf.DUMMYFUNCTION("""COMPUTED_VALUE"""),40518.666666666664)</f>
        <v>40518.66667</v>
      </c>
      <c r="B6311" s="1">
        <f>IFERROR(__xludf.DUMMYFUNCTION("""COMPUTED_VALUE"""),1223.87)</f>
        <v>1223.87</v>
      </c>
      <c r="C6311" s="1">
        <f>IFERROR(__xludf.DUMMYFUNCTION("""COMPUTED_VALUE"""),1225.8)</f>
        <v>1225.8</v>
      </c>
      <c r="D6311" s="1">
        <f>IFERROR(__xludf.DUMMYFUNCTION("""COMPUTED_VALUE"""),1220.67)</f>
        <v>1220.67</v>
      </c>
      <c r="E6311" s="1">
        <f>IFERROR(__xludf.DUMMYFUNCTION("""COMPUTED_VALUE"""),1223.12)</f>
        <v>1223.12</v>
      </c>
      <c r="F6311" s="1">
        <f>IFERROR(__xludf.DUMMYFUNCTION("""COMPUTED_VALUE"""),0.0)</f>
        <v>0</v>
      </c>
    </row>
    <row r="6312">
      <c r="A6312" s="2">
        <f>IFERROR(__xludf.DUMMYFUNCTION("""COMPUTED_VALUE"""),40519.666666666664)</f>
        <v>40519.66667</v>
      </c>
      <c r="B6312" s="1">
        <f>IFERROR(__xludf.DUMMYFUNCTION("""COMPUTED_VALUE"""),1227.25)</f>
        <v>1227.25</v>
      </c>
      <c r="C6312" s="1">
        <f>IFERROR(__xludf.DUMMYFUNCTION("""COMPUTED_VALUE"""),1235.05)</f>
        <v>1235.05</v>
      </c>
      <c r="D6312" s="1">
        <f>IFERROR(__xludf.DUMMYFUNCTION("""COMPUTED_VALUE"""),1223.25)</f>
        <v>1223.25</v>
      </c>
      <c r="E6312" s="1">
        <f>IFERROR(__xludf.DUMMYFUNCTION("""COMPUTED_VALUE"""),1223.75)</f>
        <v>1223.75</v>
      </c>
      <c r="F6312" s="1">
        <f>IFERROR(__xludf.DUMMYFUNCTION("""COMPUTED_VALUE"""),0.0)</f>
        <v>0</v>
      </c>
    </row>
    <row r="6313">
      <c r="A6313" s="2">
        <f>IFERROR(__xludf.DUMMYFUNCTION("""COMPUTED_VALUE"""),40520.666666666664)</f>
        <v>40520.66667</v>
      </c>
      <c r="B6313" s="1">
        <f>IFERROR(__xludf.DUMMYFUNCTION("""COMPUTED_VALUE"""),1225.02)</f>
        <v>1225.02</v>
      </c>
      <c r="C6313" s="1">
        <f>IFERROR(__xludf.DUMMYFUNCTION("""COMPUTED_VALUE"""),1228.93)</f>
        <v>1228.93</v>
      </c>
      <c r="D6313" s="1">
        <f>IFERROR(__xludf.DUMMYFUNCTION("""COMPUTED_VALUE"""),1219.5)</f>
        <v>1219.5</v>
      </c>
      <c r="E6313" s="1">
        <f>IFERROR(__xludf.DUMMYFUNCTION("""COMPUTED_VALUE"""),1228.28)</f>
        <v>1228.28</v>
      </c>
      <c r="F6313" s="1">
        <f>IFERROR(__xludf.DUMMYFUNCTION("""COMPUTED_VALUE"""),0.0)</f>
        <v>0</v>
      </c>
    </row>
    <row r="6314">
      <c r="A6314" s="2">
        <f>IFERROR(__xludf.DUMMYFUNCTION("""COMPUTED_VALUE"""),40521.666666666664)</f>
        <v>40521.66667</v>
      </c>
      <c r="B6314" s="1">
        <f>IFERROR(__xludf.DUMMYFUNCTION("""COMPUTED_VALUE"""),1230.14)</f>
        <v>1230.14</v>
      </c>
      <c r="C6314" s="1">
        <f>IFERROR(__xludf.DUMMYFUNCTION("""COMPUTED_VALUE"""),1234.71)</f>
        <v>1234.71</v>
      </c>
      <c r="D6314" s="1">
        <f>IFERROR(__xludf.DUMMYFUNCTION("""COMPUTED_VALUE"""),1226.85)</f>
        <v>1226.85</v>
      </c>
      <c r="E6314" s="1">
        <f>IFERROR(__xludf.DUMMYFUNCTION("""COMPUTED_VALUE"""),1233.0)</f>
        <v>1233</v>
      </c>
      <c r="F6314" s="1">
        <f>IFERROR(__xludf.DUMMYFUNCTION("""COMPUTED_VALUE"""),0.0)</f>
        <v>0</v>
      </c>
    </row>
    <row r="6315">
      <c r="A6315" s="2">
        <f>IFERROR(__xludf.DUMMYFUNCTION("""COMPUTED_VALUE"""),40522.666666666664)</f>
        <v>40522.66667</v>
      </c>
      <c r="B6315" s="1">
        <f>IFERROR(__xludf.DUMMYFUNCTION("""COMPUTED_VALUE"""),1233.85)</f>
        <v>1233.85</v>
      </c>
      <c r="C6315" s="1">
        <f>IFERROR(__xludf.DUMMYFUNCTION("""COMPUTED_VALUE"""),1240.4)</f>
        <v>1240.4</v>
      </c>
      <c r="D6315" s="1">
        <f>IFERROR(__xludf.DUMMYFUNCTION("""COMPUTED_VALUE"""),1232.58)</f>
        <v>1232.58</v>
      </c>
      <c r="E6315" s="1">
        <f>IFERROR(__xludf.DUMMYFUNCTION("""COMPUTED_VALUE"""),1240.4)</f>
        <v>1240.4</v>
      </c>
      <c r="F6315" s="1">
        <f>IFERROR(__xludf.DUMMYFUNCTION("""COMPUTED_VALUE"""),0.0)</f>
        <v>0</v>
      </c>
    </row>
    <row r="6316">
      <c r="A6316" s="2">
        <f>IFERROR(__xludf.DUMMYFUNCTION("""COMPUTED_VALUE"""),40525.666666666664)</f>
        <v>40525.66667</v>
      </c>
      <c r="B6316" s="1">
        <f>IFERROR(__xludf.DUMMYFUNCTION("""COMPUTED_VALUE"""),1242.52)</f>
        <v>1242.52</v>
      </c>
      <c r="C6316" s="1">
        <f>IFERROR(__xludf.DUMMYFUNCTION("""COMPUTED_VALUE"""),1246.73)</f>
        <v>1246.73</v>
      </c>
      <c r="D6316" s="1">
        <f>IFERROR(__xludf.DUMMYFUNCTION("""COMPUTED_VALUE"""),1240.34)</f>
        <v>1240.34</v>
      </c>
      <c r="E6316" s="1">
        <f>IFERROR(__xludf.DUMMYFUNCTION("""COMPUTED_VALUE"""),1240.46)</f>
        <v>1240.46</v>
      </c>
      <c r="F6316" s="1">
        <f>IFERROR(__xludf.DUMMYFUNCTION("""COMPUTED_VALUE"""),0.0)</f>
        <v>0</v>
      </c>
    </row>
    <row r="6317">
      <c r="A6317" s="2">
        <f>IFERROR(__xludf.DUMMYFUNCTION("""COMPUTED_VALUE"""),40526.666666666664)</f>
        <v>40526.66667</v>
      </c>
      <c r="B6317" s="1">
        <f>IFERROR(__xludf.DUMMYFUNCTION("""COMPUTED_VALUE"""),1241.84)</f>
        <v>1241.84</v>
      </c>
      <c r="C6317" s="1">
        <f>IFERROR(__xludf.DUMMYFUNCTION("""COMPUTED_VALUE"""),1246.59)</f>
        <v>1246.59</v>
      </c>
      <c r="D6317" s="1">
        <f>IFERROR(__xludf.DUMMYFUNCTION("""COMPUTED_VALUE"""),1238.17)</f>
        <v>1238.17</v>
      </c>
      <c r="E6317" s="1">
        <f>IFERROR(__xludf.DUMMYFUNCTION("""COMPUTED_VALUE"""),1241.59)</f>
        <v>1241.59</v>
      </c>
      <c r="F6317" s="1">
        <f>IFERROR(__xludf.DUMMYFUNCTION("""COMPUTED_VALUE"""),0.0)</f>
        <v>0</v>
      </c>
    </row>
    <row r="6318">
      <c r="A6318" s="2">
        <f>IFERROR(__xludf.DUMMYFUNCTION("""COMPUTED_VALUE"""),40527.666666666664)</f>
        <v>40527.66667</v>
      </c>
      <c r="B6318" s="1">
        <f>IFERROR(__xludf.DUMMYFUNCTION("""COMPUTED_VALUE"""),1241.58)</f>
        <v>1241.58</v>
      </c>
      <c r="C6318" s="1">
        <f>IFERROR(__xludf.DUMMYFUNCTION("""COMPUTED_VALUE"""),1244.25)</f>
        <v>1244.25</v>
      </c>
      <c r="D6318" s="1">
        <f>IFERROR(__xludf.DUMMYFUNCTION("""COMPUTED_VALUE"""),1234.01)</f>
        <v>1234.01</v>
      </c>
      <c r="E6318" s="1">
        <f>IFERROR(__xludf.DUMMYFUNCTION("""COMPUTED_VALUE"""),1235.23)</f>
        <v>1235.23</v>
      </c>
      <c r="F6318" s="1">
        <f>IFERROR(__xludf.DUMMYFUNCTION("""COMPUTED_VALUE"""),0.0)</f>
        <v>0</v>
      </c>
    </row>
    <row r="6319">
      <c r="A6319" s="2">
        <f>IFERROR(__xludf.DUMMYFUNCTION("""COMPUTED_VALUE"""),40528.666666666664)</f>
        <v>40528.66667</v>
      </c>
      <c r="B6319" s="1">
        <f>IFERROR(__xludf.DUMMYFUNCTION("""COMPUTED_VALUE"""),1236.34)</f>
        <v>1236.34</v>
      </c>
      <c r="C6319" s="1">
        <f>IFERROR(__xludf.DUMMYFUNCTION("""COMPUTED_VALUE"""),1243.75)</f>
        <v>1243.75</v>
      </c>
      <c r="D6319" s="1">
        <f>IFERROR(__xludf.DUMMYFUNCTION("""COMPUTED_VALUE"""),1232.85)</f>
        <v>1232.85</v>
      </c>
      <c r="E6319" s="1">
        <f>IFERROR(__xludf.DUMMYFUNCTION("""COMPUTED_VALUE"""),1242.87)</f>
        <v>1242.87</v>
      </c>
      <c r="F6319" s="1">
        <f>IFERROR(__xludf.DUMMYFUNCTION("""COMPUTED_VALUE"""),0.0)</f>
        <v>0</v>
      </c>
    </row>
    <row r="6320">
      <c r="A6320" s="2">
        <f>IFERROR(__xludf.DUMMYFUNCTION("""COMPUTED_VALUE"""),40529.666666666664)</f>
        <v>40529.66667</v>
      </c>
      <c r="B6320" s="1">
        <f>IFERROR(__xludf.DUMMYFUNCTION("""COMPUTED_VALUE"""),1243.63)</f>
        <v>1243.63</v>
      </c>
      <c r="C6320" s="1">
        <f>IFERROR(__xludf.DUMMYFUNCTION("""COMPUTED_VALUE"""),1245.81)</f>
        <v>1245.81</v>
      </c>
      <c r="D6320" s="1">
        <f>IFERROR(__xludf.DUMMYFUNCTION("""COMPUTED_VALUE"""),1239.87)</f>
        <v>1239.87</v>
      </c>
      <c r="E6320" s="1">
        <f>IFERROR(__xludf.DUMMYFUNCTION("""COMPUTED_VALUE"""),1243.91)</f>
        <v>1243.91</v>
      </c>
      <c r="F6320" s="1">
        <f>IFERROR(__xludf.DUMMYFUNCTION("""COMPUTED_VALUE"""),0.0)</f>
        <v>0</v>
      </c>
    </row>
    <row r="6321">
      <c r="A6321" s="2">
        <f>IFERROR(__xludf.DUMMYFUNCTION("""COMPUTED_VALUE"""),40532.666666666664)</f>
        <v>40532.66667</v>
      </c>
      <c r="B6321" s="1">
        <f>IFERROR(__xludf.DUMMYFUNCTION("""COMPUTED_VALUE"""),1245.76)</f>
        <v>1245.76</v>
      </c>
      <c r="C6321" s="1">
        <f>IFERROR(__xludf.DUMMYFUNCTION("""COMPUTED_VALUE"""),1250.2)</f>
        <v>1250.2</v>
      </c>
      <c r="D6321" s="1">
        <f>IFERROR(__xludf.DUMMYFUNCTION("""COMPUTED_VALUE"""),1241.51)</f>
        <v>1241.51</v>
      </c>
      <c r="E6321" s="1">
        <f>IFERROR(__xludf.DUMMYFUNCTION("""COMPUTED_VALUE"""),1247.08)</f>
        <v>1247.08</v>
      </c>
      <c r="F6321" s="1">
        <f>IFERROR(__xludf.DUMMYFUNCTION("""COMPUTED_VALUE"""),0.0)</f>
        <v>0</v>
      </c>
    </row>
    <row r="6322">
      <c r="A6322" s="2">
        <f>IFERROR(__xludf.DUMMYFUNCTION("""COMPUTED_VALUE"""),40533.666666666664)</f>
        <v>40533.66667</v>
      </c>
      <c r="B6322" s="1">
        <f>IFERROR(__xludf.DUMMYFUNCTION("""COMPUTED_VALUE"""),1249.43)</f>
        <v>1249.43</v>
      </c>
      <c r="C6322" s="1">
        <f>IFERROR(__xludf.DUMMYFUNCTION("""COMPUTED_VALUE"""),1255.82)</f>
        <v>1255.82</v>
      </c>
      <c r="D6322" s="1">
        <f>IFERROR(__xludf.DUMMYFUNCTION("""COMPUTED_VALUE"""),1249.43)</f>
        <v>1249.43</v>
      </c>
      <c r="E6322" s="1">
        <f>IFERROR(__xludf.DUMMYFUNCTION("""COMPUTED_VALUE"""),1254.6)</f>
        <v>1254.6</v>
      </c>
      <c r="F6322" s="1">
        <f>IFERROR(__xludf.DUMMYFUNCTION("""COMPUTED_VALUE"""),0.0)</f>
        <v>0</v>
      </c>
    </row>
    <row r="6323">
      <c r="A6323" s="2">
        <f>IFERROR(__xludf.DUMMYFUNCTION("""COMPUTED_VALUE"""),40534.666666666664)</f>
        <v>40534.66667</v>
      </c>
      <c r="B6323" s="1">
        <f>IFERROR(__xludf.DUMMYFUNCTION("""COMPUTED_VALUE"""),1254.94)</f>
        <v>1254.94</v>
      </c>
      <c r="C6323" s="1">
        <f>IFERROR(__xludf.DUMMYFUNCTION("""COMPUTED_VALUE"""),1259.39)</f>
        <v>1259.39</v>
      </c>
      <c r="D6323" s="1">
        <f>IFERROR(__xludf.DUMMYFUNCTION("""COMPUTED_VALUE"""),1254.94)</f>
        <v>1254.94</v>
      </c>
      <c r="E6323" s="1">
        <f>IFERROR(__xludf.DUMMYFUNCTION("""COMPUTED_VALUE"""),1258.84)</f>
        <v>1258.84</v>
      </c>
      <c r="F6323" s="1">
        <f>IFERROR(__xludf.DUMMYFUNCTION("""COMPUTED_VALUE"""),0.0)</f>
        <v>0</v>
      </c>
    </row>
    <row r="6324">
      <c r="A6324" s="2">
        <f>IFERROR(__xludf.DUMMYFUNCTION("""COMPUTED_VALUE"""),40535.666666666664)</f>
        <v>40535.66667</v>
      </c>
      <c r="B6324" s="1">
        <f>IFERROR(__xludf.DUMMYFUNCTION("""COMPUTED_VALUE"""),1257.53)</f>
        <v>1257.53</v>
      </c>
      <c r="C6324" s="1">
        <f>IFERROR(__xludf.DUMMYFUNCTION("""COMPUTED_VALUE"""),1258.59)</f>
        <v>1258.59</v>
      </c>
      <c r="D6324" s="1">
        <f>IFERROR(__xludf.DUMMYFUNCTION("""COMPUTED_VALUE"""),1254.05)</f>
        <v>1254.05</v>
      </c>
      <c r="E6324" s="1">
        <f>IFERROR(__xludf.DUMMYFUNCTION("""COMPUTED_VALUE"""),1256.77)</f>
        <v>1256.77</v>
      </c>
      <c r="F6324" s="1">
        <f>IFERROR(__xludf.DUMMYFUNCTION("""COMPUTED_VALUE"""),0.0)</f>
        <v>0</v>
      </c>
    </row>
    <row r="6325">
      <c r="A6325" s="2">
        <f>IFERROR(__xludf.DUMMYFUNCTION("""COMPUTED_VALUE"""),40539.666666666664)</f>
        <v>40539.66667</v>
      </c>
      <c r="B6325" s="1">
        <f>IFERROR(__xludf.DUMMYFUNCTION("""COMPUTED_VALUE"""),1254.66)</f>
        <v>1254.66</v>
      </c>
      <c r="C6325" s="1">
        <f>IFERROR(__xludf.DUMMYFUNCTION("""COMPUTED_VALUE"""),1258.43)</f>
        <v>1258.43</v>
      </c>
      <c r="D6325" s="1">
        <f>IFERROR(__xludf.DUMMYFUNCTION("""COMPUTED_VALUE"""),1251.48)</f>
        <v>1251.48</v>
      </c>
      <c r="E6325" s="1">
        <f>IFERROR(__xludf.DUMMYFUNCTION("""COMPUTED_VALUE"""),1257.54)</f>
        <v>1257.54</v>
      </c>
      <c r="F6325" s="1">
        <f>IFERROR(__xludf.DUMMYFUNCTION("""COMPUTED_VALUE"""),0.0)</f>
        <v>0</v>
      </c>
    </row>
    <row r="6326">
      <c r="A6326" s="2">
        <f>IFERROR(__xludf.DUMMYFUNCTION("""COMPUTED_VALUE"""),40540.666666666664)</f>
        <v>40540.66667</v>
      </c>
      <c r="B6326" s="1">
        <f>IFERROR(__xludf.DUMMYFUNCTION("""COMPUTED_VALUE"""),1259.1)</f>
        <v>1259.1</v>
      </c>
      <c r="C6326" s="1">
        <f>IFERROR(__xludf.DUMMYFUNCTION("""COMPUTED_VALUE"""),1259.9)</f>
        <v>1259.9</v>
      </c>
      <c r="D6326" s="1">
        <f>IFERROR(__xludf.DUMMYFUNCTION("""COMPUTED_VALUE"""),1256.22)</f>
        <v>1256.22</v>
      </c>
      <c r="E6326" s="1">
        <f>IFERROR(__xludf.DUMMYFUNCTION("""COMPUTED_VALUE"""),1258.51)</f>
        <v>1258.51</v>
      </c>
      <c r="F6326" s="1">
        <f>IFERROR(__xludf.DUMMYFUNCTION("""COMPUTED_VALUE"""),0.0)</f>
        <v>0</v>
      </c>
    </row>
    <row r="6327">
      <c r="A6327" s="2">
        <f>IFERROR(__xludf.DUMMYFUNCTION("""COMPUTED_VALUE"""),40541.666666666664)</f>
        <v>40541.66667</v>
      </c>
      <c r="B6327" s="1">
        <f>IFERROR(__xludf.DUMMYFUNCTION("""COMPUTED_VALUE"""),1258.78)</f>
        <v>1258.78</v>
      </c>
      <c r="C6327" s="1">
        <f>IFERROR(__xludf.DUMMYFUNCTION("""COMPUTED_VALUE"""),1262.6)</f>
        <v>1262.6</v>
      </c>
      <c r="D6327" s="1">
        <f>IFERROR(__xludf.DUMMYFUNCTION("""COMPUTED_VALUE"""),1258.78)</f>
        <v>1258.78</v>
      </c>
      <c r="E6327" s="1">
        <f>IFERROR(__xludf.DUMMYFUNCTION("""COMPUTED_VALUE"""),1259.78)</f>
        <v>1259.78</v>
      </c>
      <c r="F6327" s="1">
        <f>IFERROR(__xludf.DUMMYFUNCTION("""COMPUTED_VALUE"""),0.0)</f>
        <v>0</v>
      </c>
    </row>
    <row r="6328">
      <c r="A6328" s="2">
        <f>IFERROR(__xludf.DUMMYFUNCTION("""COMPUTED_VALUE"""),40542.666666666664)</f>
        <v>40542.66667</v>
      </c>
      <c r="B6328" s="1">
        <f>IFERROR(__xludf.DUMMYFUNCTION("""COMPUTED_VALUE"""),1259.44)</f>
        <v>1259.44</v>
      </c>
      <c r="C6328" s="1">
        <f>IFERROR(__xludf.DUMMYFUNCTION("""COMPUTED_VALUE"""),1261.09)</f>
        <v>1261.09</v>
      </c>
      <c r="D6328" s="1">
        <f>IFERROR(__xludf.DUMMYFUNCTION("""COMPUTED_VALUE"""),1256.32)</f>
        <v>1256.32</v>
      </c>
      <c r="E6328" s="1">
        <f>IFERROR(__xludf.DUMMYFUNCTION("""COMPUTED_VALUE"""),1257.88)</f>
        <v>1257.88</v>
      </c>
      <c r="F6328" s="1">
        <f>IFERROR(__xludf.DUMMYFUNCTION("""COMPUTED_VALUE"""),0.0)</f>
        <v>0</v>
      </c>
    </row>
    <row r="6329">
      <c r="A6329" s="2">
        <f>IFERROR(__xludf.DUMMYFUNCTION("""COMPUTED_VALUE"""),40543.666666666664)</f>
        <v>40543.66667</v>
      </c>
      <c r="B6329" s="1">
        <f>IFERROR(__xludf.DUMMYFUNCTION("""COMPUTED_VALUE"""),1256.76)</f>
        <v>1256.76</v>
      </c>
      <c r="C6329" s="1">
        <f>IFERROR(__xludf.DUMMYFUNCTION("""COMPUTED_VALUE"""),1259.34)</f>
        <v>1259.34</v>
      </c>
      <c r="D6329" s="1">
        <f>IFERROR(__xludf.DUMMYFUNCTION("""COMPUTED_VALUE"""),1254.19)</f>
        <v>1254.19</v>
      </c>
      <c r="E6329" s="1">
        <f>IFERROR(__xludf.DUMMYFUNCTION("""COMPUTED_VALUE"""),1257.64)</f>
        <v>1257.64</v>
      </c>
      <c r="F6329" s="1">
        <f>IFERROR(__xludf.DUMMYFUNCTION("""COMPUTED_VALUE"""),0.0)</f>
        <v>0</v>
      </c>
    </row>
    <row r="6330">
      <c r="A6330" s="2">
        <f>IFERROR(__xludf.DUMMYFUNCTION("""COMPUTED_VALUE"""),40546.666666666664)</f>
        <v>40546.66667</v>
      </c>
      <c r="B6330" s="1">
        <f>IFERROR(__xludf.DUMMYFUNCTION("""COMPUTED_VALUE"""),1257.62)</f>
        <v>1257.62</v>
      </c>
      <c r="C6330" s="1">
        <f>IFERROR(__xludf.DUMMYFUNCTION("""COMPUTED_VALUE"""),1276.17)</f>
        <v>1276.17</v>
      </c>
      <c r="D6330" s="1">
        <f>IFERROR(__xludf.DUMMYFUNCTION("""COMPUTED_VALUE"""),1257.62)</f>
        <v>1257.62</v>
      </c>
      <c r="E6330" s="1">
        <f>IFERROR(__xludf.DUMMYFUNCTION("""COMPUTED_VALUE"""),1271.89)</f>
        <v>1271.89</v>
      </c>
      <c r="F6330" s="1">
        <f>IFERROR(__xludf.DUMMYFUNCTION("""COMPUTED_VALUE"""),0.0)</f>
        <v>0</v>
      </c>
    </row>
    <row r="6331">
      <c r="A6331" s="2">
        <f>IFERROR(__xludf.DUMMYFUNCTION("""COMPUTED_VALUE"""),40547.666666666664)</f>
        <v>40547.66667</v>
      </c>
      <c r="B6331" s="1">
        <f>IFERROR(__xludf.DUMMYFUNCTION("""COMPUTED_VALUE"""),1272.95)</f>
        <v>1272.95</v>
      </c>
      <c r="C6331" s="1">
        <f>IFERROR(__xludf.DUMMYFUNCTION("""COMPUTED_VALUE"""),1274.12)</f>
        <v>1274.12</v>
      </c>
      <c r="D6331" s="1">
        <f>IFERROR(__xludf.DUMMYFUNCTION("""COMPUTED_VALUE"""),1262.66)</f>
        <v>1262.66</v>
      </c>
      <c r="E6331" s="1">
        <f>IFERROR(__xludf.DUMMYFUNCTION("""COMPUTED_VALUE"""),1270.2)</f>
        <v>1270.2</v>
      </c>
      <c r="F6331" s="1">
        <f>IFERROR(__xludf.DUMMYFUNCTION("""COMPUTED_VALUE"""),0.0)</f>
        <v>0</v>
      </c>
    </row>
    <row r="6332">
      <c r="A6332" s="2">
        <f>IFERROR(__xludf.DUMMYFUNCTION("""COMPUTED_VALUE"""),40548.666666666664)</f>
        <v>40548.66667</v>
      </c>
      <c r="B6332" s="1">
        <f>IFERROR(__xludf.DUMMYFUNCTION("""COMPUTED_VALUE"""),1268.78)</f>
        <v>1268.78</v>
      </c>
      <c r="C6332" s="1">
        <f>IFERROR(__xludf.DUMMYFUNCTION("""COMPUTED_VALUE"""),1277.63)</f>
        <v>1277.63</v>
      </c>
      <c r="D6332" s="1">
        <f>IFERROR(__xludf.DUMMYFUNCTION("""COMPUTED_VALUE"""),1265.36)</f>
        <v>1265.36</v>
      </c>
      <c r="E6332" s="1">
        <f>IFERROR(__xludf.DUMMYFUNCTION("""COMPUTED_VALUE"""),1276.56)</f>
        <v>1276.56</v>
      </c>
      <c r="F6332" s="1">
        <f>IFERROR(__xludf.DUMMYFUNCTION("""COMPUTED_VALUE"""),0.0)</f>
        <v>0</v>
      </c>
    </row>
    <row r="6333">
      <c r="A6333" s="2">
        <f>IFERROR(__xludf.DUMMYFUNCTION("""COMPUTED_VALUE"""),40549.666666666664)</f>
        <v>40549.66667</v>
      </c>
      <c r="B6333" s="1">
        <f>IFERROR(__xludf.DUMMYFUNCTION("""COMPUTED_VALUE"""),1276.29)</f>
        <v>1276.29</v>
      </c>
      <c r="C6333" s="1">
        <f>IFERROR(__xludf.DUMMYFUNCTION("""COMPUTED_VALUE"""),1278.17)</f>
        <v>1278.17</v>
      </c>
      <c r="D6333" s="1">
        <f>IFERROR(__xludf.DUMMYFUNCTION("""COMPUTED_VALUE"""),1270.43)</f>
        <v>1270.43</v>
      </c>
      <c r="E6333" s="1">
        <f>IFERROR(__xludf.DUMMYFUNCTION("""COMPUTED_VALUE"""),1273.85)</f>
        <v>1273.85</v>
      </c>
      <c r="F6333" s="1">
        <f>IFERROR(__xludf.DUMMYFUNCTION("""COMPUTED_VALUE"""),0.0)</f>
        <v>0</v>
      </c>
    </row>
    <row r="6334">
      <c r="A6334" s="2">
        <f>IFERROR(__xludf.DUMMYFUNCTION("""COMPUTED_VALUE"""),40550.666666666664)</f>
        <v>40550.66667</v>
      </c>
      <c r="B6334" s="1">
        <f>IFERROR(__xludf.DUMMYFUNCTION("""COMPUTED_VALUE"""),1274.41)</f>
        <v>1274.41</v>
      </c>
      <c r="C6334" s="1">
        <f>IFERROR(__xludf.DUMMYFUNCTION("""COMPUTED_VALUE"""),1276.83)</f>
        <v>1276.83</v>
      </c>
      <c r="D6334" s="1">
        <f>IFERROR(__xludf.DUMMYFUNCTION("""COMPUTED_VALUE"""),1261.7)</f>
        <v>1261.7</v>
      </c>
      <c r="E6334" s="1">
        <f>IFERROR(__xludf.DUMMYFUNCTION("""COMPUTED_VALUE"""),1271.5)</f>
        <v>1271.5</v>
      </c>
      <c r="F6334" s="1">
        <f>IFERROR(__xludf.DUMMYFUNCTION("""COMPUTED_VALUE"""),0.0)</f>
        <v>0</v>
      </c>
    </row>
    <row r="6335">
      <c r="A6335" s="2">
        <f>IFERROR(__xludf.DUMMYFUNCTION("""COMPUTED_VALUE"""),40553.666666666664)</f>
        <v>40553.66667</v>
      </c>
      <c r="B6335" s="1">
        <f>IFERROR(__xludf.DUMMYFUNCTION("""COMPUTED_VALUE"""),1270.84)</f>
        <v>1270.84</v>
      </c>
      <c r="C6335" s="1">
        <f>IFERROR(__xludf.DUMMYFUNCTION("""COMPUTED_VALUE"""),1271.52)</f>
        <v>1271.52</v>
      </c>
      <c r="D6335" s="1">
        <f>IFERROR(__xludf.DUMMYFUNCTION("""COMPUTED_VALUE"""),1262.18)</f>
        <v>1262.18</v>
      </c>
      <c r="E6335" s="1">
        <f>IFERROR(__xludf.DUMMYFUNCTION("""COMPUTED_VALUE"""),1269.75)</f>
        <v>1269.75</v>
      </c>
      <c r="F6335" s="1">
        <f>IFERROR(__xludf.DUMMYFUNCTION("""COMPUTED_VALUE"""),0.0)</f>
        <v>0</v>
      </c>
    </row>
    <row r="6336">
      <c r="A6336" s="2">
        <f>IFERROR(__xludf.DUMMYFUNCTION("""COMPUTED_VALUE"""),40554.666666666664)</f>
        <v>40554.66667</v>
      </c>
      <c r="B6336" s="1">
        <f>IFERROR(__xludf.DUMMYFUNCTION("""COMPUTED_VALUE"""),1272.58)</f>
        <v>1272.58</v>
      </c>
      <c r="C6336" s="1">
        <f>IFERROR(__xludf.DUMMYFUNCTION("""COMPUTED_VALUE"""),1277.25)</f>
        <v>1277.25</v>
      </c>
      <c r="D6336" s="1">
        <f>IFERROR(__xludf.DUMMYFUNCTION("""COMPUTED_VALUE"""),1269.62)</f>
        <v>1269.62</v>
      </c>
      <c r="E6336" s="1">
        <f>IFERROR(__xludf.DUMMYFUNCTION("""COMPUTED_VALUE"""),1274.48)</f>
        <v>1274.48</v>
      </c>
      <c r="F6336" s="1">
        <f>IFERROR(__xludf.DUMMYFUNCTION("""COMPUTED_VALUE"""),0.0)</f>
        <v>0</v>
      </c>
    </row>
    <row r="6337">
      <c r="A6337" s="2">
        <f>IFERROR(__xludf.DUMMYFUNCTION("""COMPUTED_VALUE"""),40555.666666666664)</f>
        <v>40555.66667</v>
      </c>
      <c r="B6337" s="1">
        <f>IFERROR(__xludf.DUMMYFUNCTION("""COMPUTED_VALUE"""),1275.65)</f>
        <v>1275.65</v>
      </c>
      <c r="C6337" s="1">
        <f>IFERROR(__xludf.DUMMYFUNCTION("""COMPUTED_VALUE"""),1286.87)</f>
        <v>1286.87</v>
      </c>
      <c r="D6337" s="1">
        <f>IFERROR(__xludf.DUMMYFUNCTION("""COMPUTED_VALUE"""),1275.65)</f>
        <v>1275.65</v>
      </c>
      <c r="E6337" s="1">
        <f>IFERROR(__xludf.DUMMYFUNCTION("""COMPUTED_VALUE"""),1285.96)</f>
        <v>1285.96</v>
      </c>
      <c r="F6337" s="1">
        <f>IFERROR(__xludf.DUMMYFUNCTION("""COMPUTED_VALUE"""),0.0)</f>
        <v>0</v>
      </c>
    </row>
    <row r="6338">
      <c r="A6338" s="2">
        <f>IFERROR(__xludf.DUMMYFUNCTION("""COMPUTED_VALUE"""),40556.666666666664)</f>
        <v>40556.66667</v>
      </c>
      <c r="B6338" s="1">
        <f>IFERROR(__xludf.DUMMYFUNCTION("""COMPUTED_VALUE"""),1285.78)</f>
        <v>1285.78</v>
      </c>
      <c r="C6338" s="1">
        <f>IFERROR(__xludf.DUMMYFUNCTION("""COMPUTED_VALUE"""),1286.7)</f>
        <v>1286.7</v>
      </c>
      <c r="D6338" s="1">
        <f>IFERROR(__xludf.DUMMYFUNCTION("""COMPUTED_VALUE"""),1280.47)</f>
        <v>1280.47</v>
      </c>
      <c r="E6338" s="1">
        <f>IFERROR(__xludf.DUMMYFUNCTION("""COMPUTED_VALUE"""),1283.76)</f>
        <v>1283.76</v>
      </c>
      <c r="F6338" s="1">
        <f>IFERROR(__xludf.DUMMYFUNCTION("""COMPUTED_VALUE"""),0.0)</f>
        <v>0</v>
      </c>
    </row>
    <row r="6339">
      <c r="A6339" s="2">
        <f>IFERROR(__xludf.DUMMYFUNCTION("""COMPUTED_VALUE"""),40557.666666666664)</f>
        <v>40557.66667</v>
      </c>
      <c r="B6339" s="1">
        <f>IFERROR(__xludf.DUMMYFUNCTION("""COMPUTED_VALUE"""),1282.9)</f>
        <v>1282.9</v>
      </c>
      <c r="C6339" s="1">
        <f>IFERROR(__xludf.DUMMYFUNCTION("""COMPUTED_VALUE"""),1293.24)</f>
        <v>1293.24</v>
      </c>
      <c r="D6339" s="1">
        <f>IFERROR(__xludf.DUMMYFUNCTION("""COMPUTED_VALUE"""),1281.24)</f>
        <v>1281.24</v>
      </c>
      <c r="E6339" s="1">
        <f>IFERROR(__xludf.DUMMYFUNCTION("""COMPUTED_VALUE"""),1293.24)</f>
        <v>1293.24</v>
      </c>
      <c r="F6339" s="1">
        <f>IFERROR(__xludf.DUMMYFUNCTION("""COMPUTED_VALUE"""),0.0)</f>
        <v>0</v>
      </c>
    </row>
    <row r="6340">
      <c r="A6340" s="2">
        <f>IFERROR(__xludf.DUMMYFUNCTION("""COMPUTED_VALUE"""),40561.666666666664)</f>
        <v>40561.66667</v>
      </c>
      <c r="B6340" s="1">
        <f>IFERROR(__xludf.DUMMYFUNCTION("""COMPUTED_VALUE"""),1293.22)</f>
        <v>1293.22</v>
      </c>
      <c r="C6340" s="1">
        <f>IFERROR(__xludf.DUMMYFUNCTION("""COMPUTED_VALUE"""),1296.06)</f>
        <v>1296.06</v>
      </c>
      <c r="D6340" s="1">
        <f>IFERROR(__xludf.DUMMYFUNCTION("""COMPUTED_VALUE"""),1290.16)</f>
        <v>1290.16</v>
      </c>
      <c r="E6340" s="1">
        <f>IFERROR(__xludf.DUMMYFUNCTION("""COMPUTED_VALUE"""),1295.02)</f>
        <v>1295.02</v>
      </c>
      <c r="F6340" s="1">
        <f>IFERROR(__xludf.DUMMYFUNCTION("""COMPUTED_VALUE"""),0.0)</f>
        <v>0</v>
      </c>
    </row>
    <row r="6341">
      <c r="A6341" s="2">
        <f>IFERROR(__xludf.DUMMYFUNCTION("""COMPUTED_VALUE"""),40562.666666666664)</f>
        <v>40562.66667</v>
      </c>
      <c r="B6341" s="1">
        <f>IFERROR(__xludf.DUMMYFUNCTION("""COMPUTED_VALUE"""),1294.52)</f>
        <v>1294.52</v>
      </c>
      <c r="C6341" s="1">
        <f>IFERROR(__xludf.DUMMYFUNCTION("""COMPUTED_VALUE"""),1294.6)</f>
        <v>1294.6</v>
      </c>
      <c r="D6341" s="1">
        <f>IFERROR(__xludf.DUMMYFUNCTION("""COMPUTED_VALUE"""),1278.92)</f>
        <v>1278.92</v>
      </c>
      <c r="E6341" s="1">
        <f>IFERROR(__xludf.DUMMYFUNCTION("""COMPUTED_VALUE"""),1281.92)</f>
        <v>1281.92</v>
      </c>
      <c r="F6341" s="1">
        <f>IFERROR(__xludf.DUMMYFUNCTION("""COMPUTED_VALUE"""),0.0)</f>
        <v>0</v>
      </c>
    </row>
    <row r="6342">
      <c r="A6342" s="2">
        <f>IFERROR(__xludf.DUMMYFUNCTION("""COMPUTED_VALUE"""),40563.666666666664)</f>
        <v>40563.66667</v>
      </c>
      <c r="B6342" s="1">
        <f>IFERROR(__xludf.DUMMYFUNCTION("""COMPUTED_VALUE"""),1280.85)</f>
        <v>1280.85</v>
      </c>
      <c r="C6342" s="1">
        <f>IFERROR(__xludf.DUMMYFUNCTION("""COMPUTED_VALUE"""),1283.35)</f>
        <v>1283.35</v>
      </c>
      <c r="D6342" s="1">
        <f>IFERROR(__xludf.DUMMYFUNCTION("""COMPUTED_VALUE"""),1271.26)</f>
        <v>1271.26</v>
      </c>
      <c r="E6342" s="1">
        <f>IFERROR(__xludf.DUMMYFUNCTION("""COMPUTED_VALUE"""),1280.26)</f>
        <v>1280.26</v>
      </c>
      <c r="F6342" s="1">
        <f>IFERROR(__xludf.DUMMYFUNCTION("""COMPUTED_VALUE"""),0.0)</f>
        <v>0</v>
      </c>
    </row>
    <row r="6343">
      <c r="A6343" s="2">
        <f>IFERROR(__xludf.DUMMYFUNCTION("""COMPUTED_VALUE"""),40564.666666666664)</f>
        <v>40564.66667</v>
      </c>
      <c r="B6343" s="1">
        <f>IFERROR(__xludf.DUMMYFUNCTION("""COMPUTED_VALUE"""),1283.63)</f>
        <v>1283.63</v>
      </c>
      <c r="C6343" s="1">
        <f>IFERROR(__xludf.DUMMYFUNCTION("""COMPUTED_VALUE"""),1291.21)</f>
        <v>1291.21</v>
      </c>
      <c r="D6343" s="1">
        <f>IFERROR(__xludf.DUMMYFUNCTION("""COMPUTED_VALUE"""),1282.07)</f>
        <v>1282.07</v>
      </c>
      <c r="E6343" s="1">
        <f>IFERROR(__xludf.DUMMYFUNCTION("""COMPUTED_VALUE"""),1283.35)</f>
        <v>1283.35</v>
      </c>
      <c r="F6343" s="1">
        <f>IFERROR(__xludf.DUMMYFUNCTION("""COMPUTED_VALUE"""),0.0)</f>
        <v>0</v>
      </c>
    </row>
    <row r="6344">
      <c r="A6344" s="2">
        <f>IFERROR(__xludf.DUMMYFUNCTION("""COMPUTED_VALUE"""),40567.666666666664)</f>
        <v>40567.66667</v>
      </c>
      <c r="B6344" s="1">
        <f>IFERROR(__xludf.DUMMYFUNCTION("""COMPUTED_VALUE"""),1283.29)</f>
        <v>1283.29</v>
      </c>
      <c r="C6344" s="1">
        <f>IFERROR(__xludf.DUMMYFUNCTION("""COMPUTED_VALUE"""),1291.93)</f>
        <v>1291.93</v>
      </c>
      <c r="D6344" s="1">
        <f>IFERROR(__xludf.DUMMYFUNCTION("""COMPUTED_VALUE"""),1282.47)</f>
        <v>1282.47</v>
      </c>
      <c r="E6344" s="1">
        <f>IFERROR(__xludf.DUMMYFUNCTION("""COMPUTED_VALUE"""),1290.84)</f>
        <v>1290.84</v>
      </c>
      <c r="F6344" s="1">
        <f>IFERROR(__xludf.DUMMYFUNCTION("""COMPUTED_VALUE"""),0.0)</f>
        <v>0</v>
      </c>
    </row>
    <row r="6345">
      <c r="A6345" s="2">
        <f>IFERROR(__xludf.DUMMYFUNCTION("""COMPUTED_VALUE"""),40568.666666666664)</f>
        <v>40568.66667</v>
      </c>
      <c r="B6345" s="1">
        <f>IFERROR(__xludf.DUMMYFUNCTION("""COMPUTED_VALUE"""),1288.17)</f>
        <v>1288.17</v>
      </c>
      <c r="C6345" s="1">
        <f>IFERROR(__xludf.DUMMYFUNCTION("""COMPUTED_VALUE"""),1291.26)</f>
        <v>1291.26</v>
      </c>
      <c r="D6345" s="1">
        <f>IFERROR(__xludf.DUMMYFUNCTION("""COMPUTED_VALUE"""),1281.07)</f>
        <v>1281.07</v>
      </c>
      <c r="E6345" s="1">
        <f>IFERROR(__xludf.DUMMYFUNCTION("""COMPUTED_VALUE"""),1291.18)</f>
        <v>1291.18</v>
      </c>
      <c r="F6345" s="1">
        <f>IFERROR(__xludf.DUMMYFUNCTION("""COMPUTED_VALUE"""),0.0)</f>
        <v>0</v>
      </c>
    </row>
    <row r="6346">
      <c r="A6346" s="2">
        <f>IFERROR(__xludf.DUMMYFUNCTION("""COMPUTED_VALUE"""),40569.666666666664)</f>
        <v>40569.66667</v>
      </c>
      <c r="B6346" s="1">
        <f>IFERROR(__xludf.DUMMYFUNCTION("""COMPUTED_VALUE"""),1291.97)</f>
        <v>1291.97</v>
      </c>
      <c r="C6346" s="1">
        <f>IFERROR(__xludf.DUMMYFUNCTION("""COMPUTED_VALUE"""),1299.74)</f>
        <v>1299.74</v>
      </c>
      <c r="D6346" s="1">
        <f>IFERROR(__xludf.DUMMYFUNCTION("""COMPUTED_VALUE"""),1291.97)</f>
        <v>1291.97</v>
      </c>
      <c r="E6346" s="1">
        <f>IFERROR(__xludf.DUMMYFUNCTION("""COMPUTED_VALUE"""),1296.63)</f>
        <v>1296.63</v>
      </c>
      <c r="F6346" s="1">
        <f>IFERROR(__xludf.DUMMYFUNCTION("""COMPUTED_VALUE"""),0.0)</f>
        <v>0</v>
      </c>
    </row>
    <row r="6347">
      <c r="A6347" s="2">
        <f>IFERROR(__xludf.DUMMYFUNCTION("""COMPUTED_VALUE"""),40570.666666666664)</f>
        <v>40570.66667</v>
      </c>
      <c r="B6347" s="1">
        <f>IFERROR(__xludf.DUMMYFUNCTION("""COMPUTED_VALUE"""),1297.51)</f>
        <v>1297.51</v>
      </c>
      <c r="C6347" s="1">
        <f>IFERROR(__xludf.DUMMYFUNCTION("""COMPUTED_VALUE"""),1301.29)</f>
        <v>1301.29</v>
      </c>
      <c r="D6347" s="1">
        <f>IFERROR(__xludf.DUMMYFUNCTION("""COMPUTED_VALUE"""),1294.41)</f>
        <v>1294.41</v>
      </c>
      <c r="E6347" s="1">
        <f>IFERROR(__xludf.DUMMYFUNCTION("""COMPUTED_VALUE"""),1299.54)</f>
        <v>1299.54</v>
      </c>
      <c r="F6347" s="1">
        <f>IFERROR(__xludf.DUMMYFUNCTION("""COMPUTED_VALUE"""),0.0)</f>
        <v>0</v>
      </c>
    </row>
    <row r="6348">
      <c r="A6348" s="2">
        <f>IFERROR(__xludf.DUMMYFUNCTION("""COMPUTED_VALUE"""),40571.666666666664)</f>
        <v>40571.66667</v>
      </c>
      <c r="B6348" s="1">
        <f>IFERROR(__xludf.DUMMYFUNCTION("""COMPUTED_VALUE"""),1299.63)</f>
        <v>1299.63</v>
      </c>
      <c r="C6348" s="1">
        <f>IFERROR(__xludf.DUMMYFUNCTION("""COMPUTED_VALUE"""),1302.67)</f>
        <v>1302.67</v>
      </c>
      <c r="D6348" s="1">
        <f>IFERROR(__xludf.DUMMYFUNCTION("""COMPUTED_VALUE"""),1275.1)</f>
        <v>1275.1</v>
      </c>
      <c r="E6348" s="1">
        <f>IFERROR(__xludf.DUMMYFUNCTION("""COMPUTED_VALUE"""),1276.34)</f>
        <v>1276.34</v>
      </c>
      <c r="F6348" s="1">
        <f>IFERROR(__xludf.DUMMYFUNCTION("""COMPUTED_VALUE"""),0.0)</f>
        <v>0</v>
      </c>
    </row>
    <row r="6349">
      <c r="A6349" s="2">
        <f>IFERROR(__xludf.DUMMYFUNCTION("""COMPUTED_VALUE"""),40574.666666666664)</f>
        <v>40574.66667</v>
      </c>
      <c r="B6349" s="1">
        <f>IFERROR(__xludf.DUMMYFUNCTION("""COMPUTED_VALUE"""),1276.5)</f>
        <v>1276.5</v>
      </c>
      <c r="C6349" s="1">
        <f>IFERROR(__xludf.DUMMYFUNCTION("""COMPUTED_VALUE"""),1287.17)</f>
        <v>1287.17</v>
      </c>
      <c r="D6349" s="1">
        <f>IFERROR(__xludf.DUMMYFUNCTION("""COMPUTED_VALUE"""),1276.5)</f>
        <v>1276.5</v>
      </c>
      <c r="E6349" s="1">
        <f>IFERROR(__xludf.DUMMYFUNCTION("""COMPUTED_VALUE"""),1286.12)</f>
        <v>1286.12</v>
      </c>
      <c r="F6349" s="1">
        <f>IFERROR(__xludf.DUMMYFUNCTION("""COMPUTED_VALUE"""),0.0)</f>
        <v>0</v>
      </c>
    </row>
    <row r="6350">
      <c r="A6350" s="2">
        <f>IFERROR(__xludf.DUMMYFUNCTION("""COMPUTED_VALUE"""),40575.666666666664)</f>
        <v>40575.66667</v>
      </c>
      <c r="B6350" s="1">
        <f>IFERROR(__xludf.DUMMYFUNCTION("""COMPUTED_VALUE"""),1289.14)</f>
        <v>1289.14</v>
      </c>
      <c r="C6350" s="1">
        <f>IFERROR(__xludf.DUMMYFUNCTION("""COMPUTED_VALUE"""),1308.86)</f>
        <v>1308.86</v>
      </c>
      <c r="D6350" s="1">
        <f>IFERROR(__xludf.DUMMYFUNCTION("""COMPUTED_VALUE"""),1289.14)</f>
        <v>1289.14</v>
      </c>
      <c r="E6350" s="1">
        <f>IFERROR(__xludf.DUMMYFUNCTION("""COMPUTED_VALUE"""),1307.59)</f>
        <v>1307.59</v>
      </c>
      <c r="F6350" s="1">
        <f>IFERROR(__xludf.DUMMYFUNCTION("""COMPUTED_VALUE"""),0.0)</f>
        <v>0</v>
      </c>
    </row>
    <row r="6351">
      <c r="A6351" s="2">
        <f>IFERROR(__xludf.DUMMYFUNCTION("""COMPUTED_VALUE"""),40576.666666666664)</f>
        <v>40576.66667</v>
      </c>
      <c r="B6351" s="1">
        <f>IFERROR(__xludf.DUMMYFUNCTION("""COMPUTED_VALUE"""),1305.91)</f>
        <v>1305.91</v>
      </c>
      <c r="C6351" s="1">
        <f>IFERROR(__xludf.DUMMYFUNCTION("""COMPUTED_VALUE"""),1307.61)</f>
        <v>1307.61</v>
      </c>
      <c r="D6351" s="1">
        <f>IFERROR(__xludf.DUMMYFUNCTION("""COMPUTED_VALUE"""),1302.62)</f>
        <v>1302.62</v>
      </c>
      <c r="E6351" s="1">
        <f>IFERROR(__xludf.DUMMYFUNCTION("""COMPUTED_VALUE"""),1304.03)</f>
        <v>1304.03</v>
      </c>
      <c r="F6351" s="1">
        <f>IFERROR(__xludf.DUMMYFUNCTION("""COMPUTED_VALUE"""),0.0)</f>
        <v>0</v>
      </c>
    </row>
    <row r="6352">
      <c r="A6352" s="2">
        <f>IFERROR(__xludf.DUMMYFUNCTION("""COMPUTED_VALUE"""),40577.666666666664)</f>
        <v>40577.66667</v>
      </c>
      <c r="B6352" s="1">
        <f>IFERROR(__xludf.DUMMYFUNCTION("""COMPUTED_VALUE"""),1302.77)</f>
        <v>1302.77</v>
      </c>
      <c r="C6352" s="1">
        <f>IFERROR(__xludf.DUMMYFUNCTION("""COMPUTED_VALUE"""),1308.6)</f>
        <v>1308.6</v>
      </c>
      <c r="D6352" s="1">
        <f>IFERROR(__xludf.DUMMYFUNCTION("""COMPUTED_VALUE"""),1294.83)</f>
        <v>1294.83</v>
      </c>
      <c r="E6352" s="1">
        <f>IFERROR(__xludf.DUMMYFUNCTION("""COMPUTED_VALUE"""),1307.1)</f>
        <v>1307.1</v>
      </c>
      <c r="F6352" s="1">
        <f>IFERROR(__xludf.DUMMYFUNCTION("""COMPUTED_VALUE"""),0.0)</f>
        <v>0</v>
      </c>
    </row>
    <row r="6353">
      <c r="A6353" s="2">
        <f>IFERROR(__xludf.DUMMYFUNCTION("""COMPUTED_VALUE"""),40578.666666666664)</f>
        <v>40578.66667</v>
      </c>
      <c r="B6353" s="1">
        <f>IFERROR(__xludf.DUMMYFUNCTION("""COMPUTED_VALUE"""),1307.01)</f>
        <v>1307.01</v>
      </c>
      <c r="C6353" s="1">
        <f>IFERROR(__xludf.DUMMYFUNCTION("""COMPUTED_VALUE"""),1311.0)</f>
        <v>1311</v>
      </c>
      <c r="D6353" s="1">
        <f>IFERROR(__xludf.DUMMYFUNCTION("""COMPUTED_VALUE"""),1301.67)</f>
        <v>1301.67</v>
      </c>
      <c r="E6353" s="1">
        <f>IFERROR(__xludf.DUMMYFUNCTION("""COMPUTED_VALUE"""),1310.87)</f>
        <v>1310.87</v>
      </c>
      <c r="F6353" s="1">
        <f>IFERROR(__xludf.DUMMYFUNCTION("""COMPUTED_VALUE"""),0.0)</f>
        <v>0</v>
      </c>
    </row>
    <row r="6354">
      <c r="A6354" s="2">
        <f>IFERROR(__xludf.DUMMYFUNCTION("""COMPUTED_VALUE"""),40581.666666666664)</f>
        <v>40581.66667</v>
      </c>
      <c r="B6354" s="1">
        <f>IFERROR(__xludf.DUMMYFUNCTION("""COMPUTED_VALUE"""),1311.85)</f>
        <v>1311.85</v>
      </c>
      <c r="C6354" s="1">
        <f>IFERROR(__xludf.DUMMYFUNCTION("""COMPUTED_VALUE"""),1322.85)</f>
        <v>1322.85</v>
      </c>
      <c r="D6354" s="1">
        <f>IFERROR(__xludf.DUMMYFUNCTION("""COMPUTED_VALUE"""),1311.85)</f>
        <v>1311.85</v>
      </c>
      <c r="E6354" s="1">
        <f>IFERROR(__xludf.DUMMYFUNCTION("""COMPUTED_VALUE"""),1319.05)</f>
        <v>1319.05</v>
      </c>
      <c r="F6354" s="1">
        <f>IFERROR(__xludf.DUMMYFUNCTION("""COMPUTED_VALUE"""),0.0)</f>
        <v>0</v>
      </c>
    </row>
    <row r="6355">
      <c r="A6355" s="2">
        <f>IFERROR(__xludf.DUMMYFUNCTION("""COMPUTED_VALUE"""),40582.666666666664)</f>
        <v>40582.66667</v>
      </c>
      <c r="B6355" s="1">
        <f>IFERROR(__xludf.DUMMYFUNCTION("""COMPUTED_VALUE"""),1318.76)</f>
        <v>1318.76</v>
      </c>
      <c r="C6355" s="1">
        <f>IFERROR(__xludf.DUMMYFUNCTION("""COMPUTED_VALUE"""),1324.87)</f>
        <v>1324.87</v>
      </c>
      <c r="D6355" s="1">
        <f>IFERROR(__xludf.DUMMYFUNCTION("""COMPUTED_VALUE"""),1316.03)</f>
        <v>1316.03</v>
      </c>
      <c r="E6355" s="1">
        <f>IFERROR(__xludf.DUMMYFUNCTION("""COMPUTED_VALUE"""),1324.57)</f>
        <v>1324.57</v>
      </c>
      <c r="F6355" s="1">
        <f>IFERROR(__xludf.DUMMYFUNCTION("""COMPUTED_VALUE"""),0.0)</f>
        <v>0</v>
      </c>
    </row>
    <row r="6356">
      <c r="A6356" s="2">
        <f>IFERROR(__xludf.DUMMYFUNCTION("""COMPUTED_VALUE"""),40583.666666666664)</f>
        <v>40583.66667</v>
      </c>
      <c r="B6356" s="1">
        <f>IFERROR(__xludf.DUMMYFUNCTION("""COMPUTED_VALUE"""),1322.48)</f>
        <v>1322.48</v>
      </c>
      <c r="C6356" s="1">
        <f>IFERROR(__xludf.DUMMYFUNCTION("""COMPUTED_VALUE"""),1324.54)</f>
        <v>1324.54</v>
      </c>
      <c r="D6356" s="1">
        <f>IFERROR(__xludf.DUMMYFUNCTION("""COMPUTED_VALUE"""),1314.89)</f>
        <v>1314.89</v>
      </c>
      <c r="E6356" s="1">
        <f>IFERROR(__xludf.DUMMYFUNCTION("""COMPUTED_VALUE"""),1320.88)</f>
        <v>1320.88</v>
      </c>
      <c r="F6356" s="1">
        <f>IFERROR(__xludf.DUMMYFUNCTION("""COMPUTED_VALUE"""),0.0)</f>
        <v>0</v>
      </c>
    </row>
    <row r="6357">
      <c r="A6357" s="2">
        <f>IFERROR(__xludf.DUMMYFUNCTION("""COMPUTED_VALUE"""),40584.666666666664)</f>
        <v>40584.66667</v>
      </c>
      <c r="B6357" s="1">
        <f>IFERROR(__xludf.DUMMYFUNCTION("""COMPUTED_VALUE"""),1318.13)</f>
        <v>1318.13</v>
      </c>
      <c r="C6357" s="1">
        <f>IFERROR(__xludf.DUMMYFUNCTION("""COMPUTED_VALUE"""),1322.78)</f>
        <v>1322.78</v>
      </c>
      <c r="D6357" s="1">
        <f>IFERROR(__xludf.DUMMYFUNCTION("""COMPUTED_VALUE"""),1311.74)</f>
        <v>1311.74</v>
      </c>
      <c r="E6357" s="1">
        <f>IFERROR(__xludf.DUMMYFUNCTION("""COMPUTED_VALUE"""),1321.87)</f>
        <v>1321.87</v>
      </c>
      <c r="F6357" s="1">
        <f>IFERROR(__xludf.DUMMYFUNCTION("""COMPUTED_VALUE"""),0.0)</f>
        <v>0</v>
      </c>
    </row>
    <row r="6358">
      <c r="A6358" s="2">
        <f>IFERROR(__xludf.DUMMYFUNCTION("""COMPUTED_VALUE"""),40585.666666666664)</f>
        <v>40585.66667</v>
      </c>
      <c r="B6358" s="1">
        <f>IFERROR(__xludf.DUMMYFUNCTION("""COMPUTED_VALUE"""),1318.66)</f>
        <v>1318.66</v>
      </c>
      <c r="C6358" s="1">
        <f>IFERROR(__xludf.DUMMYFUNCTION("""COMPUTED_VALUE"""),1330.79)</f>
        <v>1330.79</v>
      </c>
      <c r="D6358" s="1">
        <f>IFERROR(__xludf.DUMMYFUNCTION("""COMPUTED_VALUE"""),1316.08)</f>
        <v>1316.08</v>
      </c>
      <c r="E6358" s="1">
        <f>IFERROR(__xludf.DUMMYFUNCTION("""COMPUTED_VALUE"""),1329.15)</f>
        <v>1329.15</v>
      </c>
      <c r="F6358" s="1">
        <f>IFERROR(__xludf.DUMMYFUNCTION("""COMPUTED_VALUE"""),0.0)</f>
        <v>0</v>
      </c>
    </row>
    <row r="6359">
      <c r="A6359" s="2">
        <f>IFERROR(__xludf.DUMMYFUNCTION("""COMPUTED_VALUE"""),40588.666666666664)</f>
        <v>40588.66667</v>
      </c>
      <c r="B6359" s="1">
        <f>IFERROR(__xludf.DUMMYFUNCTION("""COMPUTED_VALUE"""),1328.73)</f>
        <v>1328.73</v>
      </c>
      <c r="C6359" s="1">
        <f>IFERROR(__xludf.DUMMYFUNCTION("""COMPUTED_VALUE"""),1332.96)</f>
        <v>1332.96</v>
      </c>
      <c r="D6359" s="1">
        <f>IFERROR(__xludf.DUMMYFUNCTION("""COMPUTED_VALUE"""),1326.9)</f>
        <v>1326.9</v>
      </c>
      <c r="E6359" s="1">
        <f>IFERROR(__xludf.DUMMYFUNCTION("""COMPUTED_VALUE"""),1332.32)</f>
        <v>1332.32</v>
      </c>
      <c r="F6359" s="1">
        <f>IFERROR(__xludf.DUMMYFUNCTION("""COMPUTED_VALUE"""),0.0)</f>
        <v>0</v>
      </c>
    </row>
    <row r="6360">
      <c r="A6360" s="2">
        <f>IFERROR(__xludf.DUMMYFUNCTION("""COMPUTED_VALUE"""),40589.666666666664)</f>
        <v>40589.66667</v>
      </c>
      <c r="B6360" s="1">
        <f>IFERROR(__xludf.DUMMYFUNCTION("""COMPUTED_VALUE"""),1330.43)</f>
        <v>1330.43</v>
      </c>
      <c r="C6360" s="1">
        <f>IFERROR(__xludf.DUMMYFUNCTION("""COMPUTED_VALUE"""),1330.43)</f>
        <v>1330.43</v>
      </c>
      <c r="D6360" s="1">
        <f>IFERROR(__xludf.DUMMYFUNCTION("""COMPUTED_VALUE"""),1324.61)</f>
        <v>1324.61</v>
      </c>
      <c r="E6360" s="1">
        <f>IFERROR(__xludf.DUMMYFUNCTION("""COMPUTED_VALUE"""),1328.01)</f>
        <v>1328.01</v>
      </c>
      <c r="F6360" s="1">
        <f>IFERROR(__xludf.DUMMYFUNCTION("""COMPUTED_VALUE"""),0.0)</f>
        <v>0</v>
      </c>
    </row>
    <row r="6361">
      <c r="A6361" s="2">
        <f>IFERROR(__xludf.DUMMYFUNCTION("""COMPUTED_VALUE"""),40590.666666666664)</f>
        <v>40590.66667</v>
      </c>
      <c r="B6361" s="1">
        <f>IFERROR(__xludf.DUMMYFUNCTION("""COMPUTED_VALUE"""),1329.51)</f>
        <v>1329.51</v>
      </c>
      <c r="C6361" s="1">
        <f>IFERROR(__xludf.DUMMYFUNCTION("""COMPUTED_VALUE"""),1337.61)</f>
        <v>1337.61</v>
      </c>
      <c r="D6361" s="1">
        <f>IFERROR(__xludf.DUMMYFUNCTION("""COMPUTED_VALUE"""),1329.51)</f>
        <v>1329.51</v>
      </c>
      <c r="E6361" s="1">
        <f>IFERROR(__xludf.DUMMYFUNCTION("""COMPUTED_VALUE"""),1336.32)</f>
        <v>1336.32</v>
      </c>
      <c r="F6361" s="1">
        <f>IFERROR(__xludf.DUMMYFUNCTION("""COMPUTED_VALUE"""),0.0)</f>
        <v>0</v>
      </c>
    </row>
    <row r="6362">
      <c r="A6362" s="2">
        <f>IFERROR(__xludf.DUMMYFUNCTION("""COMPUTED_VALUE"""),40591.666666666664)</f>
        <v>40591.66667</v>
      </c>
      <c r="B6362" s="1">
        <f>IFERROR(__xludf.DUMMYFUNCTION("""COMPUTED_VALUE"""),1334.37)</f>
        <v>1334.37</v>
      </c>
      <c r="C6362" s="1">
        <f>IFERROR(__xludf.DUMMYFUNCTION("""COMPUTED_VALUE"""),1341.5)</f>
        <v>1341.5</v>
      </c>
      <c r="D6362" s="1">
        <f>IFERROR(__xludf.DUMMYFUNCTION("""COMPUTED_VALUE"""),1331.0)</f>
        <v>1331</v>
      </c>
      <c r="E6362" s="1">
        <f>IFERROR(__xludf.DUMMYFUNCTION("""COMPUTED_VALUE"""),1340.43)</f>
        <v>1340.43</v>
      </c>
      <c r="F6362" s="1">
        <f>IFERROR(__xludf.DUMMYFUNCTION("""COMPUTED_VALUE"""),0.0)</f>
        <v>0</v>
      </c>
    </row>
    <row r="6363">
      <c r="A6363" s="2">
        <f>IFERROR(__xludf.DUMMYFUNCTION("""COMPUTED_VALUE"""),40592.666666666664)</f>
        <v>40592.66667</v>
      </c>
      <c r="B6363" s="1">
        <f>IFERROR(__xludf.DUMMYFUNCTION("""COMPUTED_VALUE"""),1340.38)</f>
        <v>1340.38</v>
      </c>
      <c r="C6363" s="1">
        <f>IFERROR(__xludf.DUMMYFUNCTION("""COMPUTED_VALUE"""),1344.07)</f>
        <v>1344.07</v>
      </c>
      <c r="D6363" s="1">
        <f>IFERROR(__xludf.DUMMYFUNCTION("""COMPUTED_VALUE"""),1338.12)</f>
        <v>1338.12</v>
      </c>
      <c r="E6363" s="1">
        <f>IFERROR(__xludf.DUMMYFUNCTION("""COMPUTED_VALUE"""),1343.01)</f>
        <v>1343.01</v>
      </c>
      <c r="F6363" s="1">
        <f>IFERROR(__xludf.DUMMYFUNCTION("""COMPUTED_VALUE"""),0.0)</f>
        <v>0</v>
      </c>
    </row>
    <row r="6364">
      <c r="A6364" s="2">
        <f>IFERROR(__xludf.DUMMYFUNCTION("""COMPUTED_VALUE"""),40596.666666666664)</f>
        <v>40596.66667</v>
      </c>
      <c r="B6364" s="1">
        <f>IFERROR(__xludf.DUMMYFUNCTION("""COMPUTED_VALUE"""),1338.91)</f>
        <v>1338.91</v>
      </c>
      <c r="C6364" s="1">
        <f>IFERROR(__xludf.DUMMYFUNCTION("""COMPUTED_VALUE"""),1338.91)</f>
        <v>1338.91</v>
      </c>
      <c r="D6364" s="1">
        <f>IFERROR(__xludf.DUMMYFUNCTION("""COMPUTED_VALUE"""),1312.33)</f>
        <v>1312.33</v>
      </c>
      <c r="E6364" s="1">
        <f>IFERROR(__xludf.DUMMYFUNCTION("""COMPUTED_VALUE"""),1315.44)</f>
        <v>1315.44</v>
      </c>
      <c r="F6364" s="1">
        <f>IFERROR(__xludf.DUMMYFUNCTION("""COMPUTED_VALUE"""),0.0)</f>
        <v>0</v>
      </c>
    </row>
    <row r="6365">
      <c r="A6365" s="2">
        <f>IFERROR(__xludf.DUMMYFUNCTION("""COMPUTED_VALUE"""),40597.666666666664)</f>
        <v>40597.66667</v>
      </c>
      <c r="B6365" s="1">
        <f>IFERROR(__xludf.DUMMYFUNCTION("""COMPUTED_VALUE"""),1315.44)</f>
        <v>1315.44</v>
      </c>
      <c r="C6365" s="1">
        <f>IFERROR(__xludf.DUMMYFUNCTION("""COMPUTED_VALUE"""),1317.91)</f>
        <v>1317.91</v>
      </c>
      <c r="D6365" s="1">
        <f>IFERROR(__xludf.DUMMYFUNCTION("""COMPUTED_VALUE"""),1299.55)</f>
        <v>1299.55</v>
      </c>
      <c r="E6365" s="1">
        <f>IFERROR(__xludf.DUMMYFUNCTION("""COMPUTED_VALUE"""),1307.4)</f>
        <v>1307.4</v>
      </c>
      <c r="F6365" s="1">
        <f>IFERROR(__xludf.DUMMYFUNCTION("""COMPUTED_VALUE"""),0.0)</f>
        <v>0</v>
      </c>
    </row>
    <row r="6366">
      <c r="A6366" s="2">
        <f>IFERROR(__xludf.DUMMYFUNCTION("""COMPUTED_VALUE"""),40598.666666666664)</f>
        <v>40598.66667</v>
      </c>
      <c r="B6366" s="1">
        <f>IFERROR(__xludf.DUMMYFUNCTION("""COMPUTED_VALUE"""),1307.09)</f>
        <v>1307.09</v>
      </c>
      <c r="C6366" s="1">
        <f>IFERROR(__xludf.DUMMYFUNCTION("""COMPUTED_VALUE"""),1310.91)</f>
        <v>1310.91</v>
      </c>
      <c r="D6366" s="1">
        <f>IFERROR(__xludf.DUMMYFUNCTION("""COMPUTED_VALUE"""),1294.26)</f>
        <v>1294.26</v>
      </c>
      <c r="E6366" s="1">
        <f>IFERROR(__xludf.DUMMYFUNCTION("""COMPUTED_VALUE"""),1306.1)</f>
        <v>1306.1</v>
      </c>
      <c r="F6366" s="1">
        <f>IFERROR(__xludf.DUMMYFUNCTION("""COMPUTED_VALUE"""),0.0)</f>
        <v>0</v>
      </c>
    </row>
    <row r="6367">
      <c r="A6367" s="2">
        <f>IFERROR(__xludf.DUMMYFUNCTION("""COMPUTED_VALUE"""),40599.666666666664)</f>
        <v>40599.66667</v>
      </c>
      <c r="B6367" s="1">
        <f>IFERROR(__xludf.DUMMYFUNCTION("""COMPUTED_VALUE"""),1307.34)</f>
        <v>1307.34</v>
      </c>
      <c r="C6367" s="1">
        <f>IFERROR(__xludf.DUMMYFUNCTION("""COMPUTED_VALUE"""),1320.61)</f>
        <v>1320.61</v>
      </c>
      <c r="D6367" s="1">
        <f>IFERROR(__xludf.DUMMYFUNCTION("""COMPUTED_VALUE"""),1307.34)</f>
        <v>1307.34</v>
      </c>
      <c r="E6367" s="1">
        <f>IFERROR(__xludf.DUMMYFUNCTION("""COMPUTED_VALUE"""),1319.88)</f>
        <v>1319.88</v>
      </c>
      <c r="F6367" s="1">
        <f>IFERROR(__xludf.DUMMYFUNCTION("""COMPUTED_VALUE"""),0.0)</f>
        <v>0</v>
      </c>
    </row>
    <row r="6368">
      <c r="A6368" s="2">
        <f>IFERROR(__xludf.DUMMYFUNCTION("""COMPUTED_VALUE"""),40602.666666666664)</f>
        <v>40602.66667</v>
      </c>
      <c r="B6368" s="1">
        <f>IFERROR(__xludf.DUMMYFUNCTION("""COMPUTED_VALUE"""),1321.61)</f>
        <v>1321.61</v>
      </c>
      <c r="C6368" s="1">
        <f>IFERROR(__xludf.DUMMYFUNCTION("""COMPUTED_VALUE"""),1329.38)</f>
        <v>1329.38</v>
      </c>
      <c r="D6368" s="1">
        <f>IFERROR(__xludf.DUMMYFUNCTION("""COMPUTED_VALUE"""),1320.55)</f>
        <v>1320.55</v>
      </c>
      <c r="E6368" s="1">
        <f>IFERROR(__xludf.DUMMYFUNCTION("""COMPUTED_VALUE"""),1327.22)</f>
        <v>1327.22</v>
      </c>
      <c r="F6368" s="1">
        <f>IFERROR(__xludf.DUMMYFUNCTION("""COMPUTED_VALUE"""),0.0)</f>
        <v>0</v>
      </c>
    </row>
    <row r="6369">
      <c r="A6369" s="2">
        <f>IFERROR(__xludf.DUMMYFUNCTION("""COMPUTED_VALUE"""),40603.666666666664)</f>
        <v>40603.66667</v>
      </c>
      <c r="B6369" s="1">
        <f>IFERROR(__xludf.DUMMYFUNCTION("""COMPUTED_VALUE"""),1328.64)</f>
        <v>1328.64</v>
      </c>
      <c r="C6369" s="1">
        <f>IFERROR(__xludf.DUMMYFUNCTION("""COMPUTED_VALUE"""),1332.09)</f>
        <v>1332.09</v>
      </c>
      <c r="D6369" s="1">
        <f>IFERROR(__xludf.DUMMYFUNCTION("""COMPUTED_VALUE"""),1306.14)</f>
        <v>1306.14</v>
      </c>
      <c r="E6369" s="1">
        <f>IFERROR(__xludf.DUMMYFUNCTION("""COMPUTED_VALUE"""),1306.33)</f>
        <v>1306.33</v>
      </c>
      <c r="F6369" s="1">
        <f>IFERROR(__xludf.DUMMYFUNCTION("""COMPUTED_VALUE"""),0.0)</f>
        <v>0</v>
      </c>
    </row>
    <row r="6370">
      <c r="A6370" s="2">
        <f>IFERROR(__xludf.DUMMYFUNCTION("""COMPUTED_VALUE"""),40604.666666666664)</f>
        <v>40604.66667</v>
      </c>
      <c r="B6370" s="1">
        <f>IFERROR(__xludf.DUMMYFUNCTION("""COMPUTED_VALUE"""),1305.47)</f>
        <v>1305.47</v>
      </c>
      <c r="C6370" s="1">
        <f>IFERROR(__xludf.DUMMYFUNCTION("""COMPUTED_VALUE"""),1314.19)</f>
        <v>1314.19</v>
      </c>
      <c r="D6370" s="1">
        <f>IFERROR(__xludf.DUMMYFUNCTION("""COMPUTED_VALUE"""),1302.58)</f>
        <v>1302.58</v>
      </c>
      <c r="E6370" s="1">
        <f>IFERROR(__xludf.DUMMYFUNCTION("""COMPUTED_VALUE"""),1308.44)</f>
        <v>1308.44</v>
      </c>
      <c r="F6370" s="1">
        <f>IFERROR(__xludf.DUMMYFUNCTION("""COMPUTED_VALUE"""),0.0)</f>
        <v>0</v>
      </c>
    </row>
    <row r="6371">
      <c r="A6371" s="2">
        <f>IFERROR(__xludf.DUMMYFUNCTION("""COMPUTED_VALUE"""),40605.666666666664)</f>
        <v>40605.66667</v>
      </c>
      <c r="B6371" s="1">
        <f>IFERROR(__xludf.DUMMYFUNCTION("""COMPUTED_VALUE"""),1312.37)</f>
        <v>1312.37</v>
      </c>
      <c r="C6371" s="1">
        <f>IFERROR(__xludf.DUMMYFUNCTION("""COMPUTED_VALUE"""),1332.28)</f>
        <v>1332.28</v>
      </c>
      <c r="D6371" s="1">
        <f>IFERROR(__xludf.DUMMYFUNCTION("""COMPUTED_VALUE"""),1312.37)</f>
        <v>1312.37</v>
      </c>
      <c r="E6371" s="1">
        <f>IFERROR(__xludf.DUMMYFUNCTION("""COMPUTED_VALUE"""),1330.97)</f>
        <v>1330.97</v>
      </c>
      <c r="F6371" s="1">
        <f>IFERROR(__xludf.DUMMYFUNCTION("""COMPUTED_VALUE"""),0.0)</f>
        <v>0</v>
      </c>
    </row>
    <row r="6372">
      <c r="A6372" s="2">
        <f>IFERROR(__xludf.DUMMYFUNCTION("""COMPUTED_VALUE"""),40606.666666666664)</f>
        <v>40606.66667</v>
      </c>
      <c r="B6372" s="1">
        <f>IFERROR(__xludf.DUMMYFUNCTION("""COMPUTED_VALUE"""),1330.73)</f>
        <v>1330.73</v>
      </c>
      <c r="C6372" s="1">
        <f>IFERROR(__xludf.DUMMYFUNCTION("""COMPUTED_VALUE"""),1331.08)</f>
        <v>1331.08</v>
      </c>
      <c r="D6372" s="1">
        <f>IFERROR(__xludf.DUMMYFUNCTION("""COMPUTED_VALUE"""),1312.59)</f>
        <v>1312.59</v>
      </c>
      <c r="E6372" s="1">
        <f>IFERROR(__xludf.DUMMYFUNCTION("""COMPUTED_VALUE"""),1321.15)</f>
        <v>1321.15</v>
      </c>
      <c r="F6372" s="1">
        <f>IFERROR(__xludf.DUMMYFUNCTION("""COMPUTED_VALUE"""),0.0)</f>
        <v>0</v>
      </c>
    </row>
    <row r="6373">
      <c r="A6373" s="2">
        <f>IFERROR(__xludf.DUMMYFUNCTION("""COMPUTED_VALUE"""),40609.666666666664)</f>
        <v>40609.66667</v>
      </c>
      <c r="B6373" s="1">
        <f>IFERROR(__xludf.DUMMYFUNCTION("""COMPUTED_VALUE"""),1322.72)</f>
        <v>1322.72</v>
      </c>
      <c r="C6373" s="1">
        <f>IFERROR(__xludf.DUMMYFUNCTION("""COMPUTED_VALUE"""),1327.68)</f>
        <v>1327.68</v>
      </c>
      <c r="D6373" s="1">
        <f>IFERROR(__xludf.DUMMYFUNCTION("""COMPUTED_VALUE"""),1303.99)</f>
        <v>1303.99</v>
      </c>
      <c r="E6373" s="1">
        <f>IFERROR(__xludf.DUMMYFUNCTION("""COMPUTED_VALUE"""),1310.13)</f>
        <v>1310.13</v>
      </c>
      <c r="F6373" s="1">
        <f>IFERROR(__xludf.DUMMYFUNCTION("""COMPUTED_VALUE"""),0.0)</f>
        <v>0</v>
      </c>
    </row>
    <row r="6374">
      <c r="A6374" s="2">
        <f>IFERROR(__xludf.DUMMYFUNCTION("""COMPUTED_VALUE"""),40610.666666666664)</f>
        <v>40610.66667</v>
      </c>
      <c r="B6374" s="1">
        <f>IFERROR(__xludf.DUMMYFUNCTION("""COMPUTED_VALUE"""),1311.05)</f>
        <v>1311.05</v>
      </c>
      <c r="C6374" s="1">
        <f>IFERROR(__xludf.DUMMYFUNCTION("""COMPUTED_VALUE"""),1325.74)</f>
        <v>1325.74</v>
      </c>
      <c r="D6374" s="1">
        <f>IFERROR(__xludf.DUMMYFUNCTION("""COMPUTED_VALUE"""),1306.86)</f>
        <v>1306.86</v>
      </c>
      <c r="E6374" s="1">
        <f>IFERROR(__xludf.DUMMYFUNCTION("""COMPUTED_VALUE"""),1321.82)</f>
        <v>1321.82</v>
      </c>
      <c r="F6374" s="1">
        <f>IFERROR(__xludf.DUMMYFUNCTION("""COMPUTED_VALUE"""),0.0)</f>
        <v>0</v>
      </c>
    </row>
    <row r="6375">
      <c r="A6375" s="2">
        <f>IFERROR(__xludf.DUMMYFUNCTION("""COMPUTED_VALUE"""),40611.666666666664)</f>
        <v>40611.66667</v>
      </c>
      <c r="B6375" s="1">
        <f>IFERROR(__xludf.DUMMYFUNCTION("""COMPUTED_VALUE"""),1319.92)</f>
        <v>1319.92</v>
      </c>
      <c r="C6375" s="1">
        <f>IFERROR(__xludf.DUMMYFUNCTION("""COMPUTED_VALUE"""),1323.21)</f>
        <v>1323.21</v>
      </c>
      <c r="D6375" s="1">
        <f>IFERROR(__xludf.DUMMYFUNCTION("""COMPUTED_VALUE"""),1312.27)</f>
        <v>1312.27</v>
      </c>
      <c r="E6375" s="1">
        <f>IFERROR(__xludf.DUMMYFUNCTION("""COMPUTED_VALUE"""),1320.02)</f>
        <v>1320.02</v>
      </c>
      <c r="F6375" s="1">
        <f>IFERROR(__xludf.DUMMYFUNCTION("""COMPUTED_VALUE"""),0.0)</f>
        <v>0</v>
      </c>
    </row>
    <row r="6376">
      <c r="A6376" s="2">
        <f>IFERROR(__xludf.DUMMYFUNCTION("""COMPUTED_VALUE"""),40612.666666666664)</f>
        <v>40612.66667</v>
      </c>
      <c r="B6376" s="1">
        <f>IFERROR(__xludf.DUMMYFUNCTION("""COMPUTED_VALUE"""),1315.72)</f>
        <v>1315.72</v>
      </c>
      <c r="C6376" s="1">
        <f>IFERROR(__xludf.DUMMYFUNCTION("""COMPUTED_VALUE"""),1315.72)</f>
        <v>1315.72</v>
      </c>
      <c r="D6376" s="1">
        <f>IFERROR(__xludf.DUMMYFUNCTION("""COMPUTED_VALUE"""),1294.21)</f>
        <v>1294.21</v>
      </c>
      <c r="E6376" s="1">
        <f>IFERROR(__xludf.DUMMYFUNCTION("""COMPUTED_VALUE"""),1295.11)</f>
        <v>1295.11</v>
      </c>
      <c r="F6376" s="1">
        <f>IFERROR(__xludf.DUMMYFUNCTION("""COMPUTED_VALUE"""),0.0)</f>
        <v>0</v>
      </c>
    </row>
    <row r="6377">
      <c r="A6377" s="2">
        <f>IFERROR(__xludf.DUMMYFUNCTION("""COMPUTED_VALUE"""),40613.666666666664)</f>
        <v>40613.66667</v>
      </c>
      <c r="B6377" s="1">
        <f>IFERROR(__xludf.DUMMYFUNCTION("""COMPUTED_VALUE"""),1293.43)</f>
        <v>1293.43</v>
      </c>
      <c r="C6377" s="1">
        <f>IFERROR(__xludf.DUMMYFUNCTION("""COMPUTED_VALUE"""),1308.35)</f>
        <v>1308.35</v>
      </c>
      <c r="D6377" s="1">
        <f>IFERROR(__xludf.DUMMYFUNCTION("""COMPUTED_VALUE"""),1291.99)</f>
        <v>1291.99</v>
      </c>
      <c r="E6377" s="1">
        <f>IFERROR(__xludf.DUMMYFUNCTION("""COMPUTED_VALUE"""),1304.28)</f>
        <v>1304.28</v>
      </c>
      <c r="F6377" s="1">
        <f>IFERROR(__xludf.DUMMYFUNCTION("""COMPUTED_VALUE"""),0.0)</f>
        <v>0</v>
      </c>
    </row>
    <row r="6378">
      <c r="A6378" s="2">
        <f>IFERROR(__xludf.DUMMYFUNCTION("""COMPUTED_VALUE"""),40616.666666666664)</f>
        <v>40616.66667</v>
      </c>
      <c r="B6378" s="1">
        <f>IFERROR(__xludf.DUMMYFUNCTION("""COMPUTED_VALUE"""),1301.19)</f>
        <v>1301.19</v>
      </c>
      <c r="C6378" s="1">
        <f>IFERROR(__xludf.DUMMYFUNCTION("""COMPUTED_VALUE"""),1301.19)</f>
        <v>1301.19</v>
      </c>
      <c r="D6378" s="1">
        <f>IFERROR(__xludf.DUMMYFUNCTION("""COMPUTED_VALUE"""),1286.37)</f>
        <v>1286.37</v>
      </c>
      <c r="E6378" s="1">
        <f>IFERROR(__xludf.DUMMYFUNCTION("""COMPUTED_VALUE"""),1296.39)</f>
        <v>1296.39</v>
      </c>
      <c r="F6378" s="1">
        <f>IFERROR(__xludf.DUMMYFUNCTION("""COMPUTED_VALUE"""),0.0)</f>
        <v>0</v>
      </c>
    </row>
    <row r="6379">
      <c r="A6379" s="2">
        <f>IFERROR(__xludf.DUMMYFUNCTION("""COMPUTED_VALUE"""),40617.666666666664)</f>
        <v>40617.66667</v>
      </c>
      <c r="B6379" s="1">
        <f>IFERROR(__xludf.DUMMYFUNCTION("""COMPUTED_VALUE"""),1288.46)</f>
        <v>1288.46</v>
      </c>
      <c r="C6379" s="1">
        <f>IFERROR(__xludf.DUMMYFUNCTION("""COMPUTED_VALUE"""),1288.46)</f>
        <v>1288.46</v>
      </c>
      <c r="D6379" s="1">
        <f>IFERROR(__xludf.DUMMYFUNCTION("""COMPUTED_VALUE"""),1261.12)</f>
        <v>1261.12</v>
      </c>
      <c r="E6379" s="1">
        <f>IFERROR(__xludf.DUMMYFUNCTION("""COMPUTED_VALUE"""),1281.87)</f>
        <v>1281.87</v>
      </c>
      <c r="F6379" s="1">
        <f>IFERROR(__xludf.DUMMYFUNCTION("""COMPUTED_VALUE"""),0.0)</f>
        <v>0</v>
      </c>
    </row>
    <row r="6380">
      <c r="A6380" s="2">
        <f>IFERROR(__xludf.DUMMYFUNCTION("""COMPUTED_VALUE"""),40618.666666666664)</f>
        <v>40618.66667</v>
      </c>
      <c r="B6380" s="1">
        <f>IFERROR(__xludf.DUMMYFUNCTION("""COMPUTED_VALUE"""),1279.46)</f>
        <v>1279.46</v>
      </c>
      <c r="C6380" s="1">
        <f>IFERROR(__xludf.DUMMYFUNCTION("""COMPUTED_VALUE"""),1280.91)</f>
        <v>1280.91</v>
      </c>
      <c r="D6380" s="1">
        <f>IFERROR(__xludf.DUMMYFUNCTION("""COMPUTED_VALUE"""),1249.05)</f>
        <v>1249.05</v>
      </c>
      <c r="E6380" s="1">
        <f>IFERROR(__xludf.DUMMYFUNCTION("""COMPUTED_VALUE"""),1256.88)</f>
        <v>1256.88</v>
      </c>
      <c r="F6380" s="1">
        <f>IFERROR(__xludf.DUMMYFUNCTION("""COMPUTED_VALUE"""),0.0)</f>
        <v>0</v>
      </c>
    </row>
    <row r="6381">
      <c r="A6381" s="2">
        <f>IFERROR(__xludf.DUMMYFUNCTION("""COMPUTED_VALUE"""),40619.666666666664)</f>
        <v>40619.66667</v>
      </c>
      <c r="B6381" s="1">
        <f>IFERROR(__xludf.DUMMYFUNCTION("""COMPUTED_VALUE"""),1261.61)</f>
        <v>1261.61</v>
      </c>
      <c r="C6381" s="1">
        <f>IFERROR(__xludf.DUMMYFUNCTION("""COMPUTED_VALUE"""),1278.88)</f>
        <v>1278.88</v>
      </c>
      <c r="D6381" s="1">
        <f>IFERROR(__xludf.DUMMYFUNCTION("""COMPUTED_VALUE"""),1261.61)</f>
        <v>1261.61</v>
      </c>
      <c r="E6381" s="1">
        <f>IFERROR(__xludf.DUMMYFUNCTION("""COMPUTED_VALUE"""),1273.72)</f>
        <v>1273.72</v>
      </c>
      <c r="F6381" s="1">
        <f>IFERROR(__xludf.DUMMYFUNCTION("""COMPUTED_VALUE"""),0.0)</f>
        <v>0</v>
      </c>
    </row>
    <row r="6382">
      <c r="A6382" s="2">
        <f>IFERROR(__xludf.DUMMYFUNCTION("""COMPUTED_VALUE"""),40620.666666666664)</f>
        <v>40620.66667</v>
      </c>
      <c r="B6382" s="1">
        <f>IFERROR(__xludf.DUMMYFUNCTION("""COMPUTED_VALUE"""),1276.71)</f>
        <v>1276.71</v>
      </c>
      <c r="C6382" s="1">
        <f>IFERROR(__xludf.DUMMYFUNCTION("""COMPUTED_VALUE"""),1288.88)</f>
        <v>1288.88</v>
      </c>
      <c r="D6382" s="1">
        <f>IFERROR(__xludf.DUMMYFUNCTION("""COMPUTED_VALUE"""),1276.18)</f>
        <v>1276.18</v>
      </c>
      <c r="E6382" s="1">
        <f>IFERROR(__xludf.DUMMYFUNCTION("""COMPUTED_VALUE"""),1279.2)</f>
        <v>1279.2</v>
      </c>
      <c r="F6382" s="1">
        <f>IFERROR(__xludf.DUMMYFUNCTION("""COMPUTED_VALUE"""),0.0)</f>
        <v>0</v>
      </c>
    </row>
    <row r="6383">
      <c r="A6383" s="2">
        <f>IFERROR(__xludf.DUMMYFUNCTION("""COMPUTED_VALUE"""),40623.666666666664)</f>
        <v>40623.66667</v>
      </c>
      <c r="B6383" s="1">
        <f>IFERROR(__xludf.DUMMYFUNCTION("""COMPUTED_VALUE"""),1281.65)</f>
        <v>1281.65</v>
      </c>
      <c r="C6383" s="1">
        <f>IFERROR(__xludf.DUMMYFUNCTION("""COMPUTED_VALUE"""),1300.58)</f>
        <v>1300.58</v>
      </c>
      <c r="D6383" s="1">
        <f>IFERROR(__xludf.DUMMYFUNCTION("""COMPUTED_VALUE"""),1281.65)</f>
        <v>1281.65</v>
      </c>
      <c r="E6383" s="1">
        <f>IFERROR(__xludf.DUMMYFUNCTION("""COMPUTED_VALUE"""),1298.38)</f>
        <v>1298.38</v>
      </c>
      <c r="F6383" s="1">
        <f>IFERROR(__xludf.DUMMYFUNCTION("""COMPUTED_VALUE"""),0.0)</f>
        <v>0</v>
      </c>
    </row>
    <row r="6384">
      <c r="A6384" s="2">
        <f>IFERROR(__xludf.DUMMYFUNCTION("""COMPUTED_VALUE"""),40624.666666666664)</f>
        <v>40624.66667</v>
      </c>
      <c r="B6384" s="1">
        <f>IFERROR(__xludf.DUMMYFUNCTION("""COMPUTED_VALUE"""),1298.29)</f>
        <v>1298.29</v>
      </c>
      <c r="C6384" s="1">
        <f>IFERROR(__xludf.DUMMYFUNCTION("""COMPUTED_VALUE"""),1299.35)</f>
        <v>1299.35</v>
      </c>
      <c r="D6384" s="1">
        <f>IFERROR(__xludf.DUMMYFUNCTION("""COMPUTED_VALUE"""),1292.7)</f>
        <v>1292.7</v>
      </c>
      <c r="E6384" s="1">
        <f>IFERROR(__xludf.DUMMYFUNCTION("""COMPUTED_VALUE"""),1293.77)</f>
        <v>1293.77</v>
      </c>
      <c r="F6384" s="1">
        <f>IFERROR(__xludf.DUMMYFUNCTION("""COMPUTED_VALUE"""),0.0)</f>
        <v>0</v>
      </c>
    </row>
    <row r="6385">
      <c r="A6385" s="2">
        <f>IFERROR(__xludf.DUMMYFUNCTION("""COMPUTED_VALUE"""),40625.666666666664)</f>
        <v>40625.66667</v>
      </c>
      <c r="B6385" s="1">
        <f>IFERROR(__xludf.DUMMYFUNCTION("""COMPUTED_VALUE"""),1292.19)</f>
        <v>1292.19</v>
      </c>
      <c r="C6385" s="1">
        <f>IFERROR(__xludf.DUMMYFUNCTION("""COMPUTED_VALUE"""),1300.51)</f>
        <v>1300.51</v>
      </c>
      <c r="D6385" s="1">
        <f>IFERROR(__xludf.DUMMYFUNCTION("""COMPUTED_VALUE"""),1284.05)</f>
        <v>1284.05</v>
      </c>
      <c r="E6385" s="1">
        <f>IFERROR(__xludf.DUMMYFUNCTION("""COMPUTED_VALUE"""),1297.54)</f>
        <v>1297.54</v>
      </c>
      <c r="F6385" s="1">
        <f>IFERROR(__xludf.DUMMYFUNCTION("""COMPUTED_VALUE"""),0.0)</f>
        <v>0</v>
      </c>
    </row>
    <row r="6386">
      <c r="A6386" s="2">
        <f>IFERROR(__xludf.DUMMYFUNCTION("""COMPUTED_VALUE"""),40626.666666666664)</f>
        <v>40626.66667</v>
      </c>
      <c r="B6386" s="1">
        <f>IFERROR(__xludf.DUMMYFUNCTION("""COMPUTED_VALUE"""),1300.61)</f>
        <v>1300.61</v>
      </c>
      <c r="C6386" s="1">
        <f>IFERROR(__xludf.DUMMYFUNCTION("""COMPUTED_VALUE"""),1311.34)</f>
        <v>1311.34</v>
      </c>
      <c r="D6386" s="1">
        <f>IFERROR(__xludf.DUMMYFUNCTION("""COMPUTED_VALUE"""),1297.74)</f>
        <v>1297.74</v>
      </c>
      <c r="E6386" s="1">
        <f>IFERROR(__xludf.DUMMYFUNCTION("""COMPUTED_VALUE"""),1309.66)</f>
        <v>1309.66</v>
      </c>
      <c r="F6386" s="1">
        <f>IFERROR(__xludf.DUMMYFUNCTION("""COMPUTED_VALUE"""),0.0)</f>
        <v>0</v>
      </c>
    </row>
    <row r="6387">
      <c r="A6387" s="2">
        <f>IFERROR(__xludf.DUMMYFUNCTION("""COMPUTED_VALUE"""),40627.666666666664)</f>
        <v>40627.66667</v>
      </c>
      <c r="B6387" s="1">
        <f>IFERROR(__xludf.DUMMYFUNCTION("""COMPUTED_VALUE"""),1311.8)</f>
        <v>1311.8</v>
      </c>
      <c r="C6387" s="1">
        <f>IFERROR(__xludf.DUMMYFUNCTION("""COMPUTED_VALUE"""),1319.18)</f>
        <v>1319.18</v>
      </c>
      <c r="D6387" s="1">
        <f>IFERROR(__xludf.DUMMYFUNCTION("""COMPUTED_VALUE"""),1310.15)</f>
        <v>1310.15</v>
      </c>
      <c r="E6387" s="1">
        <f>IFERROR(__xludf.DUMMYFUNCTION("""COMPUTED_VALUE"""),1313.8)</f>
        <v>1313.8</v>
      </c>
      <c r="F6387" s="1">
        <f>IFERROR(__xludf.DUMMYFUNCTION("""COMPUTED_VALUE"""),0.0)</f>
        <v>0</v>
      </c>
    </row>
    <row r="6388">
      <c r="A6388" s="2">
        <f>IFERROR(__xludf.DUMMYFUNCTION("""COMPUTED_VALUE"""),40630.666666666664)</f>
        <v>40630.66667</v>
      </c>
      <c r="B6388" s="1">
        <f>IFERROR(__xludf.DUMMYFUNCTION("""COMPUTED_VALUE"""),1311.8)</f>
        <v>1311.8</v>
      </c>
      <c r="C6388" s="1">
        <f>IFERROR(__xludf.DUMMYFUNCTION("""COMPUTED_VALUE"""),1319.74)</f>
        <v>1319.74</v>
      </c>
      <c r="D6388" s="1">
        <f>IFERROR(__xludf.DUMMYFUNCTION("""COMPUTED_VALUE"""),1310.15)</f>
        <v>1310.15</v>
      </c>
      <c r="E6388" s="1">
        <f>IFERROR(__xludf.DUMMYFUNCTION("""COMPUTED_VALUE"""),1310.19)</f>
        <v>1310.19</v>
      </c>
      <c r="F6388" s="1">
        <f>IFERROR(__xludf.DUMMYFUNCTION("""COMPUTED_VALUE"""),0.0)</f>
        <v>0</v>
      </c>
    </row>
    <row r="6389">
      <c r="A6389" s="2">
        <f>IFERROR(__xludf.DUMMYFUNCTION("""COMPUTED_VALUE"""),40631.666666666664)</f>
        <v>40631.66667</v>
      </c>
      <c r="B6389" s="1">
        <f>IFERROR(__xludf.DUMMYFUNCTION("""COMPUTED_VALUE"""),1309.37)</f>
        <v>1309.37</v>
      </c>
      <c r="C6389" s="1">
        <f>IFERROR(__xludf.DUMMYFUNCTION("""COMPUTED_VALUE"""),1319.45)</f>
        <v>1319.45</v>
      </c>
      <c r="D6389" s="1">
        <f>IFERROR(__xludf.DUMMYFUNCTION("""COMPUTED_VALUE"""),1305.26)</f>
        <v>1305.26</v>
      </c>
      <c r="E6389" s="1">
        <f>IFERROR(__xludf.DUMMYFUNCTION("""COMPUTED_VALUE"""),1319.44)</f>
        <v>1319.44</v>
      </c>
      <c r="F6389" s="1">
        <f>IFERROR(__xludf.DUMMYFUNCTION("""COMPUTED_VALUE"""),0.0)</f>
        <v>0</v>
      </c>
    </row>
    <row r="6390">
      <c r="A6390" s="2">
        <f>IFERROR(__xludf.DUMMYFUNCTION("""COMPUTED_VALUE"""),40632.666666666664)</f>
        <v>40632.66667</v>
      </c>
      <c r="B6390" s="1">
        <f>IFERROR(__xludf.DUMMYFUNCTION("""COMPUTED_VALUE"""),1321.89)</f>
        <v>1321.89</v>
      </c>
      <c r="C6390" s="1">
        <f>IFERROR(__xludf.DUMMYFUNCTION("""COMPUTED_VALUE"""),1331.74)</f>
        <v>1331.74</v>
      </c>
      <c r="D6390" s="1">
        <f>IFERROR(__xludf.DUMMYFUNCTION("""COMPUTED_VALUE"""),1321.89)</f>
        <v>1321.89</v>
      </c>
      <c r="E6390" s="1">
        <f>IFERROR(__xludf.DUMMYFUNCTION("""COMPUTED_VALUE"""),1328.26)</f>
        <v>1328.26</v>
      </c>
      <c r="F6390" s="1">
        <f>IFERROR(__xludf.DUMMYFUNCTION("""COMPUTED_VALUE"""),0.0)</f>
        <v>0</v>
      </c>
    </row>
    <row r="6391">
      <c r="A6391" s="2">
        <f>IFERROR(__xludf.DUMMYFUNCTION("""COMPUTED_VALUE"""),40633.666666666664)</f>
        <v>40633.66667</v>
      </c>
      <c r="B6391" s="1">
        <f>IFERROR(__xludf.DUMMYFUNCTION("""COMPUTED_VALUE"""),1327.44)</f>
        <v>1327.44</v>
      </c>
      <c r="C6391" s="1">
        <f>IFERROR(__xludf.DUMMYFUNCTION("""COMPUTED_VALUE"""),1329.77)</f>
        <v>1329.77</v>
      </c>
      <c r="D6391" s="1">
        <f>IFERROR(__xludf.DUMMYFUNCTION("""COMPUTED_VALUE"""),1325.03)</f>
        <v>1325.03</v>
      </c>
      <c r="E6391" s="1">
        <f>IFERROR(__xludf.DUMMYFUNCTION("""COMPUTED_VALUE"""),1325.83)</f>
        <v>1325.83</v>
      </c>
      <c r="F6391" s="1">
        <f>IFERROR(__xludf.DUMMYFUNCTION("""COMPUTED_VALUE"""),0.0)</f>
        <v>0</v>
      </c>
    </row>
    <row r="6392">
      <c r="A6392" s="2">
        <f>IFERROR(__xludf.DUMMYFUNCTION("""COMPUTED_VALUE"""),40634.666666666664)</f>
        <v>40634.66667</v>
      </c>
      <c r="B6392" s="1">
        <f>IFERROR(__xludf.DUMMYFUNCTION("""COMPUTED_VALUE"""),1329.48)</f>
        <v>1329.48</v>
      </c>
      <c r="C6392" s="1">
        <f>IFERROR(__xludf.DUMMYFUNCTION("""COMPUTED_VALUE"""),1337.85)</f>
        <v>1337.85</v>
      </c>
      <c r="D6392" s="1">
        <f>IFERROR(__xludf.DUMMYFUNCTION("""COMPUTED_VALUE"""),1328.89)</f>
        <v>1328.89</v>
      </c>
      <c r="E6392" s="1">
        <f>IFERROR(__xludf.DUMMYFUNCTION("""COMPUTED_VALUE"""),1332.41)</f>
        <v>1332.41</v>
      </c>
      <c r="F6392" s="1">
        <f>IFERROR(__xludf.DUMMYFUNCTION("""COMPUTED_VALUE"""),0.0)</f>
        <v>0</v>
      </c>
    </row>
    <row r="6393">
      <c r="A6393" s="2">
        <f>IFERROR(__xludf.DUMMYFUNCTION("""COMPUTED_VALUE"""),40637.666666666664)</f>
        <v>40637.66667</v>
      </c>
      <c r="B6393" s="1">
        <f>IFERROR(__xludf.DUMMYFUNCTION("""COMPUTED_VALUE"""),1333.56)</f>
        <v>1333.56</v>
      </c>
      <c r="C6393" s="1">
        <f>IFERROR(__xludf.DUMMYFUNCTION("""COMPUTED_VALUE"""),1336.74)</f>
        <v>1336.74</v>
      </c>
      <c r="D6393" s="1">
        <f>IFERROR(__xludf.DUMMYFUNCTION("""COMPUTED_VALUE"""),1329.1)</f>
        <v>1329.1</v>
      </c>
      <c r="E6393" s="1">
        <f>IFERROR(__xludf.DUMMYFUNCTION("""COMPUTED_VALUE"""),1332.87)</f>
        <v>1332.87</v>
      </c>
      <c r="F6393" s="1">
        <f>IFERROR(__xludf.DUMMYFUNCTION("""COMPUTED_VALUE"""),0.0)</f>
        <v>0</v>
      </c>
    </row>
    <row r="6394">
      <c r="A6394" s="2">
        <f>IFERROR(__xludf.DUMMYFUNCTION("""COMPUTED_VALUE"""),40638.666666666664)</f>
        <v>40638.66667</v>
      </c>
      <c r="B6394" s="1">
        <f>IFERROR(__xludf.DUMMYFUNCTION("""COMPUTED_VALUE"""),1332.03)</f>
        <v>1332.03</v>
      </c>
      <c r="C6394" s="1">
        <f>IFERROR(__xludf.DUMMYFUNCTION("""COMPUTED_VALUE"""),1338.21)</f>
        <v>1338.21</v>
      </c>
      <c r="D6394" s="1">
        <f>IFERROR(__xludf.DUMMYFUNCTION("""COMPUTED_VALUE"""),1330.03)</f>
        <v>1330.03</v>
      </c>
      <c r="E6394" s="1">
        <f>IFERROR(__xludf.DUMMYFUNCTION("""COMPUTED_VALUE"""),1332.63)</f>
        <v>1332.63</v>
      </c>
      <c r="F6394" s="1">
        <f>IFERROR(__xludf.DUMMYFUNCTION("""COMPUTED_VALUE"""),0.0)</f>
        <v>0</v>
      </c>
    </row>
    <row r="6395">
      <c r="A6395" s="2">
        <f>IFERROR(__xludf.DUMMYFUNCTION("""COMPUTED_VALUE"""),40639.666666666664)</f>
        <v>40639.66667</v>
      </c>
      <c r="B6395" s="1">
        <f>IFERROR(__xludf.DUMMYFUNCTION("""COMPUTED_VALUE"""),1335.94)</f>
        <v>1335.94</v>
      </c>
      <c r="C6395" s="1">
        <f>IFERROR(__xludf.DUMMYFUNCTION("""COMPUTED_VALUE"""),1339.38)</f>
        <v>1339.38</v>
      </c>
      <c r="D6395" s="1">
        <f>IFERROR(__xludf.DUMMYFUNCTION("""COMPUTED_VALUE"""),1331.09)</f>
        <v>1331.09</v>
      </c>
      <c r="E6395" s="1">
        <f>IFERROR(__xludf.DUMMYFUNCTION("""COMPUTED_VALUE"""),1335.54)</f>
        <v>1335.54</v>
      </c>
      <c r="F6395" s="1">
        <f>IFERROR(__xludf.DUMMYFUNCTION("""COMPUTED_VALUE"""),0.0)</f>
        <v>0</v>
      </c>
    </row>
    <row r="6396">
      <c r="A6396" s="2">
        <f>IFERROR(__xludf.DUMMYFUNCTION("""COMPUTED_VALUE"""),40640.666666666664)</f>
        <v>40640.66667</v>
      </c>
      <c r="B6396" s="1">
        <f>IFERROR(__xludf.DUMMYFUNCTION("""COMPUTED_VALUE"""),1334.82)</f>
        <v>1334.82</v>
      </c>
      <c r="C6396" s="1">
        <f>IFERROR(__xludf.DUMMYFUNCTION("""COMPUTED_VALUE"""),1338.8)</f>
        <v>1338.8</v>
      </c>
      <c r="D6396" s="1">
        <f>IFERROR(__xludf.DUMMYFUNCTION("""COMPUTED_VALUE"""),1326.56)</f>
        <v>1326.56</v>
      </c>
      <c r="E6396" s="1">
        <f>IFERROR(__xludf.DUMMYFUNCTION("""COMPUTED_VALUE"""),1333.51)</f>
        <v>1333.51</v>
      </c>
      <c r="F6396" s="1">
        <f>IFERROR(__xludf.DUMMYFUNCTION("""COMPUTED_VALUE"""),0.0)</f>
        <v>0</v>
      </c>
    </row>
    <row r="6397">
      <c r="A6397" s="2">
        <f>IFERROR(__xludf.DUMMYFUNCTION("""COMPUTED_VALUE"""),40641.666666666664)</f>
        <v>40641.66667</v>
      </c>
      <c r="B6397" s="1">
        <f>IFERROR(__xludf.DUMMYFUNCTION("""COMPUTED_VALUE"""),1336.16)</f>
        <v>1336.16</v>
      </c>
      <c r="C6397" s="1">
        <f>IFERROR(__xludf.DUMMYFUNCTION("""COMPUTED_VALUE"""),1339.46)</f>
        <v>1339.46</v>
      </c>
      <c r="D6397" s="1">
        <f>IFERROR(__xludf.DUMMYFUNCTION("""COMPUTED_VALUE"""),1322.94)</f>
        <v>1322.94</v>
      </c>
      <c r="E6397" s="1">
        <f>IFERROR(__xludf.DUMMYFUNCTION("""COMPUTED_VALUE"""),1328.17)</f>
        <v>1328.17</v>
      </c>
      <c r="F6397" s="1">
        <f>IFERROR(__xludf.DUMMYFUNCTION("""COMPUTED_VALUE"""),0.0)</f>
        <v>0</v>
      </c>
    </row>
    <row r="6398">
      <c r="A6398" s="2">
        <f>IFERROR(__xludf.DUMMYFUNCTION("""COMPUTED_VALUE"""),40644.666666666664)</f>
        <v>40644.66667</v>
      </c>
      <c r="B6398" s="1">
        <f>IFERROR(__xludf.DUMMYFUNCTION("""COMPUTED_VALUE"""),1329.01)</f>
        <v>1329.01</v>
      </c>
      <c r="C6398" s="1">
        <f>IFERROR(__xludf.DUMMYFUNCTION("""COMPUTED_VALUE"""),1333.77)</f>
        <v>1333.77</v>
      </c>
      <c r="D6398" s="1">
        <f>IFERROR(__xludf.DUMMYFUNCTION("""COMPUTED_VALUE"""),1321.06)</f>
        <v>1321.06</v>
      </c>
      <c r="E6398" s="1">
        <f>IFERROR(__xludf.DUMMYFUNCTION("""COMPUTED_VALUE"""),1324.46)</f>
        <v>1324.46</v>
      </c>
      <c r="F6398" s="1">
        <f>IFERROR(__xludf.DUMMYFUNCTION("""COMPUTED_VALUE"""),0.0)</f>
        <v>0</v>
      </c>
    </row>
    <row r="6399">
      <c r="A6399" s="2">
        <f>IFERROR(__xludf.DUMMYFUNCTION("""COMPUTED_VALUE"""),40645.666666666664)</f>
        <v>40645.66667</v>
      </c>
      <c r="B6399" s="1">
        <f>IFERROR(__xludf.DUMMYFUNCTION("""COMPUTED_VALUE"""),1321.96)</f>
        <v>1321.96</v>
      </c>
      <c r="C6399" s="1">
        <f>IFERROR(__xludf.DUMMYFUNCTION("""COMPUTED_VALUE"""),1321.96)</f>
        <v>1321.96</v>
      </c>
      <c r="D6399" s="1">
        <f>IFERROR(__xludf.DUMMYFUNCTION("""COMPUTED_VALUE"""),1309.51)</f>
        <v>1309.51</v>
      </c>
      <c r="E6399" s="1">
        <f>IFERROR(__xludf.DUMMYFUNCTION("""COMPUTED_VALUE"""),1314.16)</f>
        <v>1314.16</v>
      </c>
      <c r="F6399" s="1">
        <f>IFERROR(__xludf.DUMMYFUNCTION("""COMPUTED_VALUE"""),0.0)</f>
        <v>0</v>
      </c>
    </row>
    <row r="6400">
      <c r="A6400" s="2">
        <f>IFERROR(__xludf.DUMMYFUNCTION("""COMPUTED_VALUE"""),40646.666666666664)</f>
        <v>40646.66667</v>
      </c>
      <c r="B6400" s="1">
        <f>IFERROR(__xludf.DUMMYFUNCTION("""COMPUTED_VALUE"""),1314.03)</f>
        <v>1314.03</v>
      </c>
      <c r="C6400" s="1">
        <f>IFERROR(__xludf.DUMMYFUNCTION("""COMPUTED_VALUE"""),1321.35)</f>
        <v>1321.35</v>
      </c>
      <c r="D6400" s="1">
        <f>IFERROR(__xludf.DUMMYFUNCTION("""COMPUTED_VALUE"""),1309.19)</f>
        <v>1309.19</v>
      </c>
      <c r="E6400" s="1">
        <f>IFERROR(__xludf.DUMMYFUNCTION("""COMPUTED_VALUE"""),1314.41)</f>
        <v>1314.41</v>
      </c>
      <c r="F6400" s="1">
        <f>IFERROR(__xludf.DUMMYFUNCTION("""COMPUTED_VALUE"""),0.0)</f>
        <v>0</v>
      </c>
    </row>
    <row r="6401">
      <c r="A6401" s="2">
        <f>IFERROR(__xludf.DUMMYFUNCTION("""COMPUTED_VALUE"""),40647.666666666664)</f>
        <v>40647.66667</v>
      </c>
      <c r="B6401" s="1">
        <f>IFERROR(__xludf.DUMMYFUNCTION("""COMPUTED_VALUE"""),1311.13)</f>
        <v>1311.13</v>
      </c>
      <c r="C6401" s="1">
        <f>IFERROR(__xludf.DUMMYFUNCTION("""COMPUTED_VALUE"""),1316.79)</f>
        <v>1316.79</v>
      </c>
      <c r="D6401" s="1">
        <f>IFERROR(__xludf.DUMMYFUNCTION("""COMPUTED_VALUE"""),1302.42)</f>
        <v>1302.42</v>
      </c>
      <c r="E6401" s="1">
        <f>IFERROR(__xludf.DUMMYFUNCTION("""COMPUTED_VALUE"""),1314.52)</f>
        <v>1314.52</v>
      </c>
      <c r="F6401" s="1">
        <f>IFERROR(__xludf.DUMMYFUNCTION("""COMPUTED_VALUE"""),0.0)</f>
        <v>0</v>
      </c>
    </row>
    <row r="6402">
      <c r="A6402" s="2">
        <f>IFERROR(__xludf.DUMMYFUNCTION("""COMPUTED_VALUE"""),40648.666666666664)</f>
        <v>40648.66667</v>
      </c>
      <c r="B6402" s="1">
        <f>IFERROR(__xludf.DUMMYFUNCTION("""COMPUTED_VALUE"""),1314.54)</f>
        <v>1314.54</v>
      </c>
      <c r="C6402" s="1">
        <f>IFERROR(__xludf.DUMMYFUNCTION("""COMPUTED_VALUE"""),1322.88)</f>
        <v>1322.88</v>
      </c>
      <c r="D6402" s="1">
        <f>IFERROR(__xludf.DUMMYFUNCTION("""COMPUTED_VALUE"""),1313.68)</f>
        <v>1313.68</v>
      </c>
      <c r="E6402" s="1">
        <f>IFERROR(__xludf.DUMMYFUNCTION("""COMPUTED_VALUE"""),1319.68)</f>
        <v>1319.68</v>
      </c>
      <c r="F6402" s="1">
        <f>IFERROR(__xludf.DUMMYFUNCTION("""COMPUTED_VALUE"""),0.0)</f>
        <v>0</v>
      </c>
    </row>
    <row r="6403">
      <c r="A6403" s="2">
        <f>IFERROR(__xludf.DUMMYFUNCTION("""COMPUTED_VALUE"""),40651.666666666664)</f>
        <v>40651.66667</v>
      </c>
      <c r="B6403" s="1">
        <f>IFERROR(__xludf.DUMMYFUNCTION("""COMPUTED_VALUE"""),1313.35)</f>
        <v>1313.35</v>
      </c>
      <c r="C6403" s="1">
        <f>IFERROR(__xludf.DUMMYFUNCTION("""COMPUTED_VALUE"""),1313.35)</f>
        <v>1313.35</v>
      </c>
      <c r="D6403" s="1">
        <f>IFERROR(__xludf.DUMMYFUNCTION("""COMPUTED_VALUE"""),1294.7)</f>
        <v>1294.7</v>
      </c>
      <c r="E6403" s="1">
        <f>IFERROR(__xludf.DUMMYFUNCTION("""COMPUTED_VALUE"""),1305.14)</f>
        <v>1305.14</v>
      </c>
      <c r="F6403" s="1">
        <f>IFERROR(__xludf.DUMMYFUNCTION("""COMPUTED_VALUE"""),0.0)</f>
        <v>0</v>
      </c>
    </row>
    <row r="6404">
      <c r="A6404" s="2">
        <f>IFERROR(__xludf.DUMMYFUNCTION("""COMPUTED_VALUE"""),40652.666666666664)</f>
        <v>40652.66667</v>
      </c>
      <c r="B6404" s="1">
        <f>IFERROR(__xludf.DUMMYFUNCTION("""COMPUTED_VALUE"""),1305.99)</f>
        <v>1305.99</v>
      </c>
      <c r="C6404" s="1">
        <f>IFERROR(__xludf.DUMMYFUNCTION("""COMPUTED_VALUE"""),1312.7)</f>
        <v>1312.7</v>
      </c>
      <c r="D6404" s="1">
        <f>IFERROR(__xludf.DUMMYFUNCTION("""COMPUTED_VALUE"""),1303.97)</f>
        <v>1303.97</v>
      </c>
      <c r="E6404" s="1">
        <f>IFERROR(__xludf.DUMMYFUNCTION("""COMPUTED_VALUE"""),1312.62)</f>
        <v>1312.62</v>
      </c>
      <c r="F6404" s="1">
        <f>IFERROR(__xludf.DUMMYFUNCTION("""COMPUTED_VALUE"""),0.0)</f>
        <v>0</v>
      </c>
    </row>
    <row r="6405">
      <c r="A6405" s="2">
        <f>IFERROR(__xludf.DUMMYFUNCTION("""COMPUTED_VALUE"""),40653.666666666664)</f>
        <v>40653.66667</v>
      </c>
      <c r="B6405" s="1">
        <f>IFERROR(__xludf.DUMMYFUNCTION("""COMPUTED_VALUE"""),1319.12)</f>
        <v>1319.12</v>
      </c>
      <c r="C6405" s="1">
        <f>IFERROR(__xludf.DUMMYFUNCTION("""COMPUTED_VALUE"""),1332.66)</f>
        <v>1332.66</v>
      </c>
      <c r="D6405" s="1">
        <f>IFERROR(__xludf.DUMMYFUNCTION("""COMPUTED_VALUE"""),1319.12)</f>
        <v>1319.12</v>
      </c>
      <c r="E6405" s="1">
        <f>IFERROR(__xludf.DUMMYFUNCTION("""COMPUTED_VALUE"""),1330.36)</f>
        <v>1330.36</v>
      </c>
      <c r="F6405" s="1">
        <f>IFERROR(__xludf.DUMMYFUNCTION("""COMPUTED_VALUE"""),0.0)</f>
        <v>0</v>
      </c>
    </row>
    <row r="6406">
      <c r="A6406" s="2">
        <f>IFERROR(__xludf.DUMMYFUNCTION("""COMPUTED_VALUE"""),40654.666666666664)</f>
        <v>40654.66667</v>
      </c>
      <c r="B6406" s="1">
        <f>IFERROR(__xludf.DUMMYFUNCTION("""COMPUTED_VALUE"""),1333.23)</f>
        <v>1333.23</v>
      </c>
      <c r="C6406" s="1">
        <f>IFERROR(__xludf.DUMMYFUNCTION("""COMPUTED_VALUE"""),1337.49)</f>
        <v>1337.49</v>
      </c>
      <c r="D6406" s="1">
        <f>IFERROR(__xludf.DUMMYFUNCTION("""COMPUTED_VALUE"""),1332.83)</f>
        <v>1332.83</v>
      </c>
      <c r="E6406" s="1">
        <f>IFERROR(__xludf.DUMMYFUNCTION("""COMPUTED_VALUE"""),1337.38)</f>
        <v>1337.38</v>
      </c>
      <c r="F6406" s="1">
        <f>IFERROR(__xludf.DUMMYFUNCTION("""COMPUTED_VALUE"""),0.0)</f>
        <v>0</v>
      </c>
    </row>
    <row r="6407">
      <c r="A6407" s="2">
        <f>IFERROR(__xludf.DUMMYFUNCTION("""COMPUTED_VALUE"""),40658.666666666664)</f>
        <v>40658.66667</v>
      </c>
      <c r="B6407" s="1">
        <f>IFERROR(__xludf.DUMMYFUNCTION("""COMPUTED_VALUE"""),1337.14)</f>
        <v>1337.14</v>
      </c>
      <c r="C6407" s="1">
        <f>IFERROR(__xludf.DUMMYFUNCTION("""COMPUTED_VALUE"""),1337.55)</f>
        <v>1337.55</v>
      </c>
      <c r="D6407" s="1">
        <f>IFERROR(__xludf.DUMMYFUNCTION("""COMPUTED_VALUE"""),1331.47)</f>
        <v>1331.47</v>
      </c>
      <c r="E6407" s="1">
        <f>IFERROR(__xludf.DUMMYFUNCTION("""COMPUTED_VALUE"""),1335.25)</f>
        <v>1335.25</v>
      </c>
      <c r="F6407" s="1">
        <f>IFERROR(__xludf.DUMMYFUNCTION("""COMPUTED_VALUE"""),0.0)</f>
        <v>0</v>
      </c>
    </row>
    <row r="6408">
      <c r="A6408" s="2">
        <f>IFERROR(__xludf.DUMMYFUNCTION("""COMPUTED_VALUE"""),40659.666666666664)</f>
        <v>40659.66667</v>
      </c>
      <c r="B6408" s="1">
        <f>IFERROR(__xludf.DUMMYFUNCTION("""COMPUTED_VALUE"""),1336.75)</f>
        <v>1336.75</v>
      </c>
      <c r="C6408" s="1">
        <f>IFERROR(__xludf.DUMMYFUNCTION("""COMPUTED_VALUE"""),1349.55)</f>
        <v>1349.55</v>
      </c>
      <c r="D6408" s="1">
        <f>IFERROR(__xludf.DUMMYFUNCTION("""COMPUTED_VALUE"""),1336.75)</f>
        <v>1336.75</v>
      </c>
      <c r="E6408" s="1">
        <f>IFERROR(__xludf.DUMMYFUNCTION("""COMPUTED_VALUE"""),1347.24)</f>
        <v>1347.24</v>
      </c>
      <c r="F6408" s="1">
        <f>IFERROR(__xludf.DUMMYFUNCTION("""COMPUTED_VALUE"""),0.0)</f>
        <v>0</v>
      </c>
    </row>
    <row r="6409">
      <c r="A6409" s="2">
        <f>IFERROR(__xludf.DUMMYFUNCTION("""COMPUTED_VALUE"""),40660.666666666664)</f>
        <v>40660.66667</v>
      </c>
      <c r="B6409" s="1">
        <f>IFERROR(__xludf.DUMMYFUNCTION("""COMPUTED_VALUE"""),1348.43)</f>
        <v>1348.43</v>
      </c>
      <c r="C6409" s="1">
        <f>IFERROR(__xludf.DUMMYFUNCTION("""COMPUTED_VALUE"""),1357.49)</f>
        <v>1357.49</v>
      </c>
      <c r="D6409" s="1">
        <f>IFERROR(__xludf.DUMMYFUNCTION("""COMPUTED_VALUE"""),1344.25)</f>
        <v>1344.25</v>
      </c>
      <c r="E6409" s="1">
        <f>IFERROR(__xludf.DUMMYFUNCTION("""COMPUTED_VALUE"""),1355.66)</f>
        <v>1355.66</v>
      </c>
      <c r="F6409" s="1">
        <f>IFERROR(__xludf.DUMMYFUNCTION("""COMPUTED_VALUE"""),0.0)</f>
        <v>0</v>
      </c>
    </row>
    <row r="6410">
      <c r="A6410" s="2">
        <f>IFERROR(__xludf.DUMMYFUNCTION("""COMPUTED_VALUE"""),40661.666666666664)</f>
        <v>40661.66667</v>
      </c>
      <c r="B6410" s="1">
        <f>IFERROR(__xludf.DUMMYFUNCTION("""COMPUTED_VALUE"""),1353.86)</f>
        <v>1353.86</v>
      </c>
      <c r="C6410" s="1">
        <f>IFERROR(__xludf.DUMMYFUNCTION("""COMPUTED_VALUE"""),1361.71)</f>
        <v>1361.71</v>
      </c>
      <c r="D6410" s="1">
        <f>IFERROR(__xludf.DUMMYFUNCTION("""COMPUTED_VALUE"""),1353.6)</f>
        <v>1353.6</v>
      </c>
      <c r="E6410" s="1">
        <f>IFERROR(__xludf.DUMMYFUNCTION("""COMPUTED_VALUE"""),1360.48)</f>
        <v>1360.48</v>
      </c>
      <c r="F6410" s="1">
        <f>IFERROR(__xludf.DUMMYFUNCTION("""COMPUTED_VALUE"""),0.0)</f>
        <v>0</v>
      </c>
    </row>
    <row r="6411">
      <c r="A6411" s="2">
        <f>IFERROR(__xludf.DUMMYFUNCTION("""COMPUTED_VALUE"""),40662.666666666664)</f>
        <v>40662.66667</v>
      </c>
      <c r="B6411" s="1">
        <f>IFERROR(__xludf.DUMMYFUNCTION("""COMPUTED_VALUE"""),1360.14)</f>
        <v>1360.14</v>
      </c>
      <c r="C6411" s="1">
        <f>IFERROR(__xludf.DUMMYFUNCTION("""COMPUTED_VALUE"""),1364.56)</f>
        <v>1364.56</v>
      </c>
      <c r="D6411" s="1">
        <f>IFERROR(__xludf.DUMMYFUNCTION("""COMPUTED_VALUE"""),1358.69)</f>
        <v>1358.69</v>
      </c>
      <c r="E6411" s="1">
        <f>IFERROR(__xludf.DUMMYFUNCTION("""COMPUTED_VALUE"""),1363.61)</f>
        <v>1363.61</v>
      </c>
      <c r="F6411" s="1">
        <f>IFERROR(__xludf.DUMMYFUNCTION("""COMPUTED_VALUE"""),0.0)</f>
        <v>0</v>
      </c>
    </row>
    <row r="6412">
      <c r="A6412" s="2">
        <f>IFERROR(__xludf.DUMMYFUNCTION("""COMPUTED_VALUE"""),40665.666666666664)</f>
        <v>40665.66667</v>
      </c>
      <c r="B6412" s="1">
        <f>IFERROR(__xludf.DUMMYFUNCTION("""COMPUTED_VALUE"""),1365.21)</f>
        <v>1365.21</v>
      </c>
      <c r="C6412" s="1">
        <f>IFERROR(__xludf.DUMMYFUNCTION("""COMPUTED_VALUE"""),1370.58)</f>
        <v>1370.58</v>
      </c>
      <c r="D6412" s="1">
        <f>IFERROR(__xludf.DUMMYFUNCTION("""COMPUTED_VALUE"""),1358.59)</f>
        <v>1358.59</v>
      </c>
      <c r="E6412" s="1">
        <f>IFERROR(__xludf.DUMMYFUNCTION("""COMPUTED_VALUE"""),1361.22)</f>
        <v>1361.22</v>
      </c>
      <c r="F6412" s="1">
        <f>IFERROR(__xludf.DUMMYFUNCTION("""COMPUTED_VALUE"""),0.0)</f>
        <v>0</v>
      </c>
    </row>
    <row r="6413">
      <c r="A6413" s="2">
        <f>IFERROR(__xludf.DUMMYFUNCTION("""COMPUTED_VALUE"""),40666.666666666664)</f>
        <v>40666.66667</v>
      </c>
      <c r="B6413" s="1">
        <f>IFERROR(__xludf.DUMMYFUNCTION("""COMPUTED_VALUE"""),1359.76)</f>
        <v>1359.76</v>
      </c>
      <c r="C6413" s="1">
        <f>IFERROR(__xludf.DUMMYFUNCTION("""COMPUTED_VALUE"""),1360.84)</f>
        <v>1360.84</v>
      </c>
      <c r="D6413" s="1">
        <f>IFERROR(__xludf.DUMMYFUNCTION("""COMPUTED_VALUE"""),1349.52)</f>
        <v>1349.52</v>
      </c>
      <c r="E6413" s="1">
        <f>IFERROR(__xludf.DUMMYFUNCTION("""COMPUTED_VALUE"""),1356.62)</f>
        <v>1356.62</v>
      </c>
      <c r="F6413" s="1">
        <f>IFERROR(__xludf.DUMMYFUNCTION("""COMPUTED_VALUE"""),0.0)</f>
        <v>0</v>
      </c>
    </row>
    <row r="6414">
      <c r="A6414" s="2">
        <f>IFERROR(__xludf.DUMMYFUNCTION("""COMPUTED_VALUE"""),40667.666666666664)</f>
        <v>40667.66667</v>
      </c>
      <c r="B6414" s="1">
        <f>IFERROR(__xludf.DUMMYFUNCTION("""COMPUTED_VALUE"""),1355.9)</f>
        <v>1355.9</v>
      </c>
      <c r="C6414" s="1">
        <f>IFERROR(__xludf.DUMMYFUNCTION("""COMPUTED_VALUE"""),1355.9)</f>
        <v>1355.9</v>
      </c>
      <c r="D6414" s="1">
        <f>IFERROR(__xludf.DUMMYFUNCTION("""COMPUTED_VALUE"""),1341.5)</f>
        <v>1341.5</v>
      </c>
      <c r="E6414" s="1">
        <f>IFERROR(__xludf.DUMMYFUNCTION("""COMPUTED_VALUE"""),1347.32)</f>
        <v>1347.32</v>
      </c>
      <c r="F6414" s="1">
        <f>IFERROR(__xludf.DUMMYFUNCTION("""COMPUTED_VALUE"""),0.0)</f>
        <v>0</v>
      </c>
    </row>
    <row r="6415">
      <c r="A6415" s="2">
        <f>IFERROR(__xludf.DUMMYFUNCTION("""COMPUTED_VALUE"""),40668.666666666664)</f>
        <v>40668.66667</v>
      </c>
      <c r="B6415" s="1">
        <f>IFERROR(__xludf.DUMMYFUNCTION("""COMPUTED_VALUE"""),1344.16)</f>
        <v>1344.16</v>
      </c>
      <c r="C6415" s="1">
        <f>IFERROR(__xludf.DUMMYFUNCTION("""COMPUTED_VALUE"""),1348.0)</f>
        <v>1348</v>
      </c>
      <c r="D6415" s="1">
        <f>IFERROR(__xludf.DUMMYFUNCTION("""COMPUTED_VALUE"""),1329.17)</f>
        <v>1329.17</v>
      </c>
      <c r="E6415" s="1">
        <f>IFERROR(__xludf.DUMMYFUNCTION("""COMPUTED_VALUE"""),1335.1)</f>
        <v>1335.1</v>
      </c>
      <c r="F6415" s="1">
        <f>IFERROR(__xludf.DUMMYFUNCTION("""COMPUTED_VALUE"""),0.0)</f>
        <v>0</v>
      </c>
    </row>
    <row r="6416">
      <c r="A6416" s="2">
        <f>IFERROR(__xludf.DUMMYFUNCTION("""COMPUTED_VALUE"""),40669.666666666664)</f>
        <v>40669.66667</v>
      </c>
      <c r="B6416" s="1">
        <f>IFERROR(__xludf.DUMMYFUNCTION("""COMPUTED_VALUE"""),1340.24)</f>
        <v>1340.24</v>
      </c>
      <c r="C6416" s="1">
        <f>IFERROR(__xludf.DUMMYFUNCTION("""COMPUTED_VALUE"""),1354.36)</f>
        <v>1354.36</v>
      </c>
      <c r="D6416" s="1">
        <f>IFERROR(__xludf.DUMMYFUNCTION("""COMPUTED_VALUE"""),1335.58)</f>
        <v>1335.58</v>
      </c>
      <c r="E6416" s="1">
        <f>IFERROR(__xludf.DUMMYFUNCTION("""COMPUTED_VALUE"""),1340.2)</f>
        <v>1340.2</v>
      </c>
      <c r="F6416" s="1">
        <f>IFERROR(__xludf.DUMMYFUNCTION("""COMPUTED_VALUE"""),0.0)</f>
        <v>0</v>
      </c>
    </row>
    <row r="6417">
      <c r="A6417" s="2">
        <f>IFERROR(__xludf.DUMMYFUNCTION("""COMPUTED_VALUE"""),40672.666666666664)</f>
        <v>40672.66667</v>
      </c>
      <c r="B6417" s="1">
        <f>IFERROR(__xludf.DUMMYFUNCTION("""COMPUTED_VALUE"""),1340.2)</f>
        <v>1340.2</v>
      </c>
      <c r="C6417" s="1">
        <f>IFERROR(__xludf.DUMMYFUNCTION("""COMPUTED_VALUE"""),1349.44)</f>
        <v>1349.44</v>
      </c>
      <c r="D6417" s="1">
        <f>IFERROR(__xludf.DUMMYFUNCTION("""COMPUTED_VALUE"""),1338.64)</f>
        <v>1338.64</v>
      </c>
      <c r="E6417" s="1">
        <f>IFERROR(__xludf.DUMMYFUNCTION("""COMPUTED_VALUE"""),1346.29)</f>
        <v>1346.29</v>
      </c>
      <c r="F6417" s="1">
        <f>IFERROR(__xludf.DUMMYFUNCTION("""COMPUTED_VALUE"""),0.0)</f>
        <v>0</v>
      </c>
    </row>
    <row r="6418">
      <c r="A6418" s="2">
        <f>IFERROR(__xludf.DUMMYFUNCTION("""COMPUTED_VALUE"""),40673.666666666664)</f>
        <v>40673.66667</v>
      </c>
      <c r="B6418" s="1">
        <f>IFERROR(__xludf.DUMMYFUNCTION("""COMPUTED_VALUE"""),1348.34)</f>
        <v>1348.34</v>
      </c>
      <c r="C6418" s="1">
        <f>IFERROR(__xludf.DUMMYFUNCTION("""COMPUTED_VALUE"""),1359.44)</f>
        <v>1359.44</v>
      </c>
      <c r="D6418" s="1">
        <f>IFERROR(__xludf.DUMMYFUNCTION("""COMPUTED_VALUE"""),1348.34)</f>
        <v>1348.34</v>
      </c>
      <c r="E6418" s="1">
        <f>IFERROR(__xludf.DUMMYFUNCTION("""COMPUTED_VALUE"""),1357.16)</f>
        <v>1357.16</v>
      </c>
      <c r="F6418" s="1">
        <f>IFERROR(__xludf.DUMMYFUNCTION("""COMPUTED_VALUE"""),0.0)</f>
        <v>0</v>
      </c>
    </row>
    <row r="6419">
      <c r="A6419" s="2">
        <f>IFERROR(__xludf.DUMMYFUNCTION("""COMPUTED_VALUE"""),40674.666666666664)</f>
        <v>40674.66667</v>
      </c>
      <c r="B6419" s="1">
        <f>IFERROR(__xludf.DUMMYFUNCTION("""COMPUTED_VALUE"""),1354.51)</f>
        <v>1354.51</v>
      </c>
      <c r="C6419" s="1">
        <f>IFERROR(__xludf.DUMMYFUNCTION("""COMPUTED_VALUE"""),1354.51)</f>
        <v>1354.51</v>
      </c>
      <c r="D6419" s="1">
        <f>IFERROR(__xludf.DUMMYFUNCTION("""COMPUTED_VALUE"""),1336.36)</f>
        <v>1336.36</v>
      </c>
      <c r="E6419" s="1">
        <f>IFERROR(__xludf.DUMMYFUNCTION("""COMPUTED_VALUE"""),1342.08)</f>
        <v>1342.08</v>
      </c>
      <c r="F6419" s="1">
        <f>IFERROR(__xludf.DUMMYFUNCTION("""COMPUTED_VALUE"""),0.0)</f>
        <v>0</v>
      </c>
    </row>
    <row r="6420">
      <c r="A6420" s="2">
        <f>IFERROR(__xludf.DUMMYFUNCTION("""COMPUTED_VALUE"""),40675.666666666664)</f>
        <v>40675.66667</v>
      </c>
      <c r="B6420" s="1">
        <f>IFERROR(__xludf.DUMMYFUNCTION("""COMPUTED_VALUE"""),1339.39)</f>
        <v>1339.39</v>
      </c>
      <c r="C6420" s="1">
        <f>IFERROR(__xludf.DUMMYFUNCTION("""COMPUTED_VALUE"""),1351.05)</f>
        <v>1351.05</v>
      </c>
      <c r="D6420" s="1">
        <f>IFERROR(__xludf.DUMMYFUNCTION("""COMPUTED_VALUE"""),1332.03)</f>
        <v>1332.03</v>
      </c>
      <c r="E6420" s="1">
        <f>IFERROR(__xludf.DUMMYFUNCTION("""COMPUTED_VALUE"""),1348.65)</f>
        <v>1348.65</v>
      </c>
      <c r="F6420" s="1">
        <f>IFERROR(__xludf.DUMMYFUNCTION("""COMPUTED_VALUE"""),0.0)</f>
        <v>0</v>
      </c>
    </row>
    <row r="6421">
      <c r="A6421" s="2">
        <f>IFERROR(__xludf.DUMMYFUNCTION("""COMPUTED_VALUE"""),40676.666666666664)</f>
        <v>40676.66667</v>
      </c>
      <c r="B6421" s="1">
        <f>IFERROR(__xludf.DUMMYFUNCTION("""COMPUTED_VALUE"""),1348.69)</f>
        <v>1348.69</v>
      </c>
      <c r="C6421" s="1">
        <f>IFERROR(__xludf.DUMMYFUNCTION("""COMPUTED_VALUE"""),1350.47)</f>
        <v>1350.47</v>
      </c>
      <c r="D6421" s="1">
        <f>IFERROR(__xludf.DUMMYFUNCTION("""COMPUTED_VALUE"""),1333.36)</f>
        <v>1333.36</v>
      </c>
      <c r="E6421" s="1">
        <f>IFERROR(__xludf.DUMMYFUNCTION("""COMPUTED_VALUE"""),1337.77)</f>
        <v>1337.77</v>
      </c>
      <c r="F6421" s="1">
        <f>IFERROR(__xludf.DUMMYFUNCTION("""COMPUTED_VALUE"""),0.0)</f>
        <v>0</v>
      </c>
    </row>
    <row r="6422">
      <c r="A6422" s="2">
        <f>IFERROR(__xludf.DUMMYFUNCTION("""COMPUTED_VALUE"""),40679.666666666664)</f>
        <v>40679.66667</v>
      </c>
      <c r="B6422" s="1">
        <f>IFERROR(__xludf.DUMMYFUNCTION("""COMPUTED_VALUE"""),1334.77)</f>
        <v>1334.77</v>
      </c>
      <c r="C6422" s="1">
        <f>IFERROR(__xludf.DUMMYFUNCTION("""COMPUTED_VALUE"""),1343.33)</f>
        <v>1343.33</v>
      </c>
      <c r="D6422" s="1">
        <f>IFERROR(__xludf.DUMMYFUNCTION("""COMPUTED_VALUE"""),1327.32)</f>
        <v>1327.32</v>
      </c>
      <c r="E6422" s="1">
        <f>IFERROR(__xludf.DUMMYFUNCTION("""COMPUTED_VALUE"""),1329.47)</f>
        <v>1329.47</v>
      </c>
      <c r="F6422" s="1">
        <f>IFERROR(__xludf.DUMMYFUNCTION("""COMPUTED_VALUE"""),0.0)</f>
        <v>0</v>
      </c>
    </row>
    <row r="6423">
      <c r="A6423" s="2">
        <f>IFERROR(__xludf.DUMMYFUNCTION("""COMPUTED_VALUE"""),40680.666666666664)</f>
        <v>40680.66667</v>
      </c>
      <c r="B6423" s="1">
        <f>IFERROR(__xludf.DUMMYFUNCTION("""COMPUTED_VALUE"""),1326.1)</f>
        <v>1326.1</v>
      </c>
      <c r="C6423" s="1">
        <f>IFERROR(__xludf.DUMMYFUNCTION("""COMPUTED_VALUE"""),1330.42)</f>
        <v>1330.42</v>
      </c>
      <c r="D6423" s="1">
        <f>IFERROR(__xludf.DUMMYFUNCTION("""COMPUTED_VALUE"""),1318.51)</f>
        <v>1318.51</v>
      </c>
      <c r="E6423" s="1">
        <f>IFERROR(__xludf.DUMMYFUNCTION("""COMPUTED_VALUE"""),1328.98)</f>
        <v>1328.98</v>
      </c>
      <c r="F6423" s="1">
        <f>IFERROR(__xludf.DUMMYFUNCTION("""COMPUTED_VALUE"""),0.0)</f>
        <v>0</v>
      </c>
    </row>
    <row r="6424">
      <c r="A6424" s="2">
        <f>IFERROR(__xludf.DUMMYFUNCTION("""COMPUTED_VALUE"""),40681.666666666664)</f>
        <v>40681.66667</v>
      </c>
      <c r="B6424" s="1">
        <f>IFERROR(__xludf.DUMMYFUNCTION("""COMPUTED_VALUE"""),1328.54)</f>
        <v>1328.54</v>
      </c>
      <c r="C6424" s="1">
        <f>IFERROR(__xludf.DUMMYFUNCTION("""COMPUTED_VALUE"""),1341.82)</f>
        <v>1341.82</v>
      </c>
      <c r="D6424" s="1">
        <f>IFERROR(__xludf.DUMMYFUNCTION("""COMPUTED_VALUE"""),1326.59)</f>
        <v>1326.59</v>
      </c>
      <c r="E6424" s="1">
        <f>IFERROR(__xludf.DUMMYFUNCTION("""COMPUTED_VALUE"""),1340.68)</f>
        <v>1340.68</v>
      </c>
      <c r="F6424" s="1">
        <f>IFERROR(__xludf.DUMMYFUNCTION("""COMPUTED_VALUE"""),0.0)</f>
        <v>0</v>
      </c>
    </row>
    <row r="6425">
      <c r="A6425" s="2">
        <f>IFERROR(__xludf.DUMMYFUNCTION("""COMPUTED_VALUE"""),40682.666666666664)</f>
        <v>40682.66667</v>
      </c>
      <c r="B6425" s="1">
        <f>IFERROR(__xludf.DUMMYFUNCTION("""COMPUTED_VALUE"""),1342.4)</f>
        <v>1342.4</v>
      </c>
      <c r="C6425" s="1">
        <f>IFERROR(__xludf.DUMMYFUNCTION("""COMPUTED_VALUE"""),1346.82)</f>
        <v>1346.82</v>
      </c>
      <c r="D6425" s="1">
        <f>IFERROR(__xludf.DUMMYFUNCTION("""COMPUTED_VALUE"""),1336.36)</f>
        <v>1336.36</v>
      </c>
      <c r="E6425" s="1">
        <f>IFERROR(__xludf.DUMMYFUNCTION("""COMPUTED_VALUE"""),1343.6)</f>
        <v>1343.6</v>
      </c>
      <c r="F6425" s="1">
        <f>IFERROR(__xludf.DUMMYFUNCTION("""COMPUTED_VALUE"""),0.0)</f>
        <v>0</v>
      </c>
    </row>
    <row r="6426">
      <c r="A6426" s="2">
        <f>IFERROR(__xludf.DUMMYFUNCTION("""COMPUTED_VALUE"""),40683.666666666664)</f>
        <v>40683.66667</v>
      </c>
      <c r="B6426" s="1">
        <f>IFERROR(__xludf.DUMMYFUNCTION("""COMPUTED_VALUE"""),1342.0)</f>
        <v>1342</v>
      </c>
      <c r="C6426" s="1">
        <f>IFERROR(__xludf.DUMMYFUNCTION("""COMPUTED_VALUE"""),1342.0)</f>
        <v>1342</v>
      </c>
      <c r="D6426" s="1">
        <f>IFERROR(__xludf.DUMMYFUNCTION("""COMPUTED_VALUE"""),1330.67)</f>
        <v>1330.67</v>
      </c>
      <c r="E6426" s="1">
        <f>IFERROR(__xludf.DUMMYFUNCTION("""COMPUTED_VALUE"""),1333.27)</f>
        <v>1333.27</v>
      </c>
      <c r="F6426" s="1">
        <f>IFERROR(__xludf.DUMMYFUNCTION("""COMPUTED_VALUE"""),0.0)</f>
        <v>0</v>
      </c>
    </row>
    <row r="6427">
      <c r="A6427" s="2">
        <f>IFERROR(__xludf.DUMMYFUNCTION("""COMPUTED_VALUE"""),40686.666666666664)</f>
        <v>40686.66667</v>
      </c>
      <c r="B6427" s="1">
        <f>IFERROR(__xludf.DUMMYFUNCTION("""COMPUTED_VALUE"""),1333.07)</f>
        <v>1333.07</v>
      </c>
      <c r="C6427" s="1">
        <f>IFERROR(__xludf.DUMMYFUNCTION("""COMPUTED_VALUE"""),1333.07)</f>
        <v>1333.07</v>
      </c>
      <c r="D6427" s="1">
        <f>IFERROR(__xludf.DUMMYFUNCTION("""COMPUTED_VALUE"""),1312.88)</f>
        <v>1312.88</v>
      </c>
      <c r="E6427" s="1">
        <f>IFERROR(__xludf.DUMMYFUNCTION("""COMPUTED_VALUE"""),1317.37)</f>
        <v>1317.37</v>
      </c>
      <c r="F6427" s="1">
        <f>IFERROR(__xludf.DUMMYFUNCTION("""COMPUTED_VALUE"""),0.0)</f>
        <v>0</v>
      </c>
    </row>
    <row r="6428">
      <c r="A6428" s="2">
        <f>IFERROR(__xludf.DUMMYFUNCTION("""COMPUTED_VALUE"""),40687.666666666664)</f>
        <v>40687.66667</v>
      </c>
      <c r="B6428" s="1">
        <f>IFERROR(__xludf.DUMMYFUNCTION("""COMPUTED_VALUE"""),1317.7)</f>
        <v>1317.7</v>
      </c>
      <c r="C6428" s="1">
        <f>IFERROR(__xludf.DUMMYFUNCTION("""COMPUTED_VALUE"""),1323.72)</f>
        <v>1323.72</v>
      </c>
      <c r="D6428" s="1">
        <f>IFERROR(__xludf.DUMMYFUNCTION("""COMPUTED_VALUE"""),1313.87)</f>
        <v>1313.87</v>
      </c>
      <c r="E6428" s="1">
        <f>IFERROR(__xludf.DUMMYFUNCTION("""COMPUTED_VALUE"""),1316.28)</f>
        <v>1316.28</v>
      </c>
      <c r="F6428" s="1">
        <f>IFERROR(__xludf.DUMMYFUNCTION("""COMPUTED_VALUE"""),0.0)</f>
        <v>0</v>
      </c>
    </row>
    <row r="6429">
      <c r="A6429" s="2">
        <f>IFERROR(__xludf.DUMMYFUNCTION("""COMPUTED_VALUE"""),40688.666666666664)</f>
        <v>40688.66667</v>
      </c>
      <c r="B6429" s="1">
        <f>IFERROR(__xludf.DUMMYFUNCTION("""COMPUTED_VALUE"""),1316.36)</f>
        <v>1316.36</v>
      </c>
      <c r="C6429" s="1">
        <f>IFERROR(__xludf.DUMMYFUNCTION("""COMPUTED_VALUE"""),1325.86)</f>
        <v>1325.86</v>
      </c>
      <c r="D6429" s="1">
        <f>IFERROR(__xludf.DUMMYFUNCTION("""COMPUTED_VALUE"""),1311.8)</f>
        <v>1311.8</v>
      </c>
      <c r="E6429" s="1">
        <f>IFERROR(__xludf.DUMMYFUNCTION("""COMPUTED_VALUE"""),1320.47)</f>
        <v>1320.47</v>
      </c>
      <c r="F6429" s="1">
        <f>IFERROR(__xludf.DUMMYFUNCTION("""COMPUTED_VALUE"""),0.0)</f>
        <v>0</v>
      </c>
    </row>
    <row r="6430">
      <c r="A6430" s="2">
        <f>IFERROR(__xludf.DUMMYFUNCTION("""COMPUTED_VALUE"""),40689.666666666664)</f>
        <v>40689.66667</v>
      </c>
      <c r="B6430" s="1">
        <f>IFERROR(__xludf.DUMMYFUNCTION("""COMPUTED_VALUE"""),1320.64)</f>
        <v>1320.64</v>
      </c>
      <c r="C6430" s="1">
        <f>IFERROR(__xludf.DUMMYFUNCTION("""COMPUTED_VALUE"""),1328.51)</f>
        <v>1328.51</v>
      </c>
      <c r="D6430" s="1">
        <f>IFERROR(__xludf.DUMMYFUNCTION("""COMPUTED_VALUE"""),1314.41)</f>
        <v>1314.41</v>
      </c>
      <c r="E6430" s="1">
        <f>IFERROR(__xludf.DUMMYFUNCTION("""COMPUTED_VALUE"""),1325.69)</f>
        <v>1325.69</v>
      </c>
      <c r="F6430" s="1">
        <f>IFERROR(__xludf.DUMMYFUNCTION("""COMPUTED_VALUE"""),0.0)</f>
        <v>0</v>
      </c>
    </row>
    <row r="6431">
      <c r="A6431" s="2">
        <f>IFERROR(__xludf.DUMMYFUNCTION("""COMPUTED_VALUE"""),40690.666666666664)</f>
        <v>40690.66667</v>
      </c>
      <c r="B6431" s="1">
        <f>IFERROR(__xludf.DUMMYFUNCTION("""COMPUTED_VALUE"""),1325.69)</f>
        <v>1325.69</v>
      </c>
      <c r="C6431" s="1">
        <f>IFERROR(__xludf.DUMMYFUNCTION("""COMPUTED_VALUE"""),1334.62)</f>
        <v>1334.62</v>
      </c>
      <c r="D6431" s="1">
        <f>IFERROR(__xludf.DUMMYFUNCTION("""COMPUTED_VALUE"""),1325.69)</f>
        <v>1325.69</v>
      </c>
      <c r="E6431" s="1">
        <f>IFERROR(__xludf.DUMMYFUNCTION("""COMPUTED_VALUE"""),1331.1)</f>
        <v>1331.1</v>
      </c>
      <c r="F6431" s="1">
        <f>IFERROR(__xludf.DUMMYFUNCTION("""COMPUTED_VALUE"""),0.0)</f>
        <v>0</v>
      </c>
    </row>
    <row r="6432">
      <c r="A6432" s="2">
        <f>IFERROR(__xludf.DUMMYFUNCTION("""COMPUTED_VALUE"""),40694.666666666664)</f>
        <v>40694.66667</v>
      </c>
      <c r="B6432" s="1">
        <f>IFERROR(__xludf.DUMMYFUNCTION("""COMPUTED_VALUE"""),1331.1)</f>
        <v>1331.1</v>
      </c>
      <c r="C6432" s="1">
        <f>IFERROR(__xludf.DUMMYFUNCTION("""COMPUTED_VALUE"""),1345.2)</f>
        <v>1345.2</v>
      </c>
      <c r="D6432" s="1">
        <f>IFERROR(__xludf.DUMMYFUNCTION("""COMPUTED_VALUE"""),1331.1)</f>
        <v>1331.1</v>
      </c>
      <c r="E6432" s="1">
        <f>IFERROR(__xludf.DUMMYFUNCTION("""COMPUTED_VALUE"""),1345.2)</f>
        <v>1345.2</v>
      </c>
      <c r="F6432" s="1">
        <f>IFERROR(__xludf.DUMMYFUNCTION("""COMPUTED_VALUE"""),0.0)</f>
        <v>0</v>
      </c>
    </row>
    <row r="6433">
      <c r="A6433" s="2">
        <f>IFERROR(__xludf.DUMMYFUNCTION("""COMPUTED_VALUE"""),40695.666666666664)</f>
        <v>40695.66667</v>
      </c>
      <c r="B6433" s="1">
        <f>IFERROR(__xludf.DUMMYFUNCTION("""COMPUTED_VALUE"""),1345.2)</f>
        <v>1345.2</v>
      </c>
      <c r="C6433" s="1">
        <f>IFERROR(__xludf.DUMMYFUNCTION("""COMPUTED_VALUE"""),1345.2)</f>
        <v>1345.2</v>
      </c>
      <c r="D6433" s="1">
        <f>IFERROR(__xludf.DUMMYFUNCTION("""COMPUTED_VALUE"""),1313.71)</f>
        <v>1313.71</v>
      </c>
      <c r="E6433" s="1">
        <f>IFERROR(__xludf.DUMMYFUNCTION("""COMPUTED_VALUE"""),1314.55)</f>
        <v>1314.55</v>
      </c>
      <c r="F6433" s="1">
        <f>IFERROR(__xludf.DUMMYFUNCTION("""COMPUTED_VALUE"""),0.0)</f>
        <v>0</v>
      </c>
    </row>
    <row r="6434">
      <c r="A6434" s="2">
        <f>IFERROR(__xludf.DUMMYFUNCTION("""COMPUTED_VALUE"""),40696.666666666664)</f>
        <v>40696.66667</v>
      </c>
      <c r="B6434" s="1">
        <f>IFERROR(__xludf.DUMMYFUNCTION("""COMPUTED_VALUE"""),1314.55)</f>
        <v>1314.55</v>
      </c>
      <c r="C6434" s="1">
        <f>IFERROR(__xludf.DUMMYFUNCTION("""COMPUTED_VALUE"""),1318.03)</f>
        <v>1318.03</v>
      </c>
      <c r="D6434" s="1">
        <f>IFERROR(__xludf.DUMMYFUNCTION("""COMPUTED_VALUE"""),1305.61)</f>
        <v>1305.61</v>
      </c>
      <c r="E6434" s="1">
        <f>IFERROR(__xludf.DUMMYFUNCTION("""COMPUTED_VALUE"""),1312.94)</f>
        <v>1312.94</v>
      </c>
      <c r="F6434" s="1">
        <f>IFERROR(__xludf.DUMMYFUNCTION("""COMPUTED_VALUE"""),0.0)</f>
        <v>0</v>
      </c>
    </row>
    <row r="6435">
      <c r="A6435" s="2">
        <f>IFERROR(__xludf.DUMMYFUNCTION("""COMPUTED_VALUE"""),40697.666666666664)</f>
        <v>40697.66667</v>
      </c>
      <c r="B6435" s="1">
        <f>IFERROR(__xludf.DUMMYFUNCTION("""COMPUTED_VALUE"""),1312.94)</f>
        <v>1312.94</v>
      </c>
      <c r="C6435" s="1">
        <f>IFERROR(__xludf.DUMMYFUNCTION("""COMPUTED_VALUE"""),1312.94)</f>
        <v>1312.94</v>
      </c>
      <c r="D6435" s="1">
        <f>IFERROR(__xludf.DUMMYFUNCTION("""COMPUTED_VALUE"""),1297.9)</f>
        <v>1297.9</v>
      </c>
      <c r="E6435" s="1">
        <f>IFERROR(__xludf.DUMMYFUNCTION("""COMPUTED_VALUE"""),1300.16)</f>
        <v>1300.16</v>
      </c>
      <c r="F6435" s="1">
        <f>IFERROR(__xludf.DUMMYFUNCTION("""COMPUTED_VALUE"""),0.0)</f>
        <v>0</v>
      </c>
    </row>
    <row r="6436">
      <c r="A6436" s="2">
        <f>IFERROR(__xludf.DUMMYFUNCTION("""COMPUTED_VALUE"""),40700.666666666664)</f>
        <v>40700.66667</v>
      </c>
      <c r="B6436" s="1">
        <f>IFERROR(__xludf.DUMMYFUNCTION("""COMPUTED_VALUE"""),1300.26)</f>
        <v>1300.26</v>
      </c>
      <c r="C6436" s="1">
        <f>IFERROR(__xludf.DUMMYFUNCTION("""COMPUTED_VALUE"""),1300.26)</f>
        <v>1300.26</v>
      </c>
      <c r="D6436" s="1">
        <f>IFERROR(__xludf.DUMMYFUNCTION("""COMPUTED_VALUE"""),1284.72)</f>
        <v>1284.72</v>
      </c>
      <c r="E6436" s="1">
        <f>IFERROR(__xludf.DUMMYFUNCTION("""COMPUTED_VALUE"""),1286.17)</f>
        <v>1286.17</v>
      </c>
      <c r="F6436" s="1">
        <f>IFERROR(__xludf.DUMMYFUNCTION("""COMPUTED_VALUE"""),0.0)</f>
        <v>0</v>
      </c>
    </row>
    <row r="6437">
      <c r="A6437" s="2">
        <f>IFERROR(__xludf.DUMMYFUNCTION("""COMPUTED_VALUE"""),40701.666666666664)</f>
        <v>40701.66667</v>
      </c>
      <c r="B6437" s="1">
        <f>IFERROR(__xludf.DUMMYFUNCTION("""COMPUTED_VALUE"""),1286.31)</f>
        <v>1286.31</v>
      </c>
      <c r="C6437" s="1">
        <f>IFERROR(__xludf.DUMMYFUNCTION("""COMPUTED_VALUE"""),1296.22)</f>
        <v>1296.22</v>
      </c>
      <c r="D6437" s="1">
        <f>IFERROR(__xludf.DUMMYFUNCTION("""COMPUTED_VALUE"""),1284.74)</f>
        <v>1284.74</v>
      </c>
      <c r="E6437" s="1">
        <f>IFERROR(__xludf.DUMMYFUNCTION("""COMPUTED_VALUE"""),1284.94)</f>
        <v>1284.94</v>
      </c>
      <c r="F6437" s="1">
        <f>IFERROR(__xludf.DUMMYFUNCTION("""COMPUTED_VALUE"""),0.0)</f>
        <v>0</v>
      </c>
    </row>
    <row r="6438">
      <c r="A6438" s="2">
        <f>IFERROR(__xludf.DUMMYFUNCTION("""COMPUTED_VALUE"""),40702.666666666664)</f>
        <v>40702.66667</v>
      </c>
      <c r="B6438" s="1">
        <f>IFERROR(__xludf.DUMMYFUNCTION("""COMPUTED_VALUE"""),1284.63)</f>
        <v>1284.63</v>
      </c>
      <c r="C6438" s="1">
        <f>IFERROR(__xludf.DUMMYFUNCTION("""COMPUTED_VALUE"""),1287.04)</f>
        <v>1287.04</v>
      </c>
      <c r="D6438" s="1">
        <f>IFERROR(__xludf.DUMMYFUNCTION("""COMPUTED_VALUE"""),1277.42)</f>
        <v>1277.42</v>
      </c>
      <c r="E6438" s="1">
        <f>IFERROR(__xludf.DUMMYFUNCTION("""COMPUTED_VALUE"""),1279.56)</f>
        <v>1279.56</v>
      </c>
      <c r="F6438" s="1">
        <f>IFERROR(__xludf.DUMMYFUNCTION("""COMPUTED_VALUE"""),0.0)</f>
        <v>0</v>
      </c>
    </row>
    <row r="6439">
      <c r="A6439" s="2">
        <f>IFERROR(__xludf.DUMMYFUNCTION("""COMPUTED_VALUE"""),40703.666666666664)</f>
        <v>40703.66667</v>
      </c>
      <c r="B6439" s="1">
        <f>IFERROR(__xludf.DUMMYFUNCTION("""COMPUTED_VALUE"""),1279.63)</f>
        <v>1279.63</v>
      </c>
      <c r="C6439" s="1">
        <f>IFERROR(__xludf.DUMMYFUNCTION("""COMPUTED_VALUE"""),1294.54)</f>
        <v>1294.54</v>
      </c>
      <c r="D6439" s="1">
        <f>IFERROR(__xludf.DUMMYFUNCTION("""COMPUTED_VALUE"""),1279.63)</f>
        <v>1279.63</v>
      </c>
      <c r="E6439" s="1">
        <f>IFERROR(__xludf.DUMMYFUNCTION("""COMPUTED_VALUE"""),1289.0)</f>
        <v>1289</v>
      </c>
      <c r="F6439" s="1">
        <f>IFERROR(__xludf.DUMMYFUNCTION("""COMPUTED_VALUE"""),0.0)</f>
        <v>0</v>
      </c>
    </row>
    <row r="6440">
      <c r="A6440" s="2">
        <f>IFERROR(__xludf.DUMMYFUNCTION("""COMPUTED_VALUE"""),40704.666666666664)</f>
        <v>40704.66667</v>
      </c>
      <c r="B6440" s="1">
        <f>IFERROR(__xludf.DUMMYFUNCTION("""COMPUTED_VALUE"""),1288.6)</f>
        <v>1288.6</v>
      </c>
      <c r="C6440" s="1">
        <f>IFERROR(__xludf.DUMMYFUNCTION("""COMPUTED_VALUE"""),1288.6)</f>
        <v>1288.6</v>
      </c>
      <c r="D6440" s="1">
        <f>IFERROR(__xludf.DUMMYFUNCTION("""COMPUTED_VALUE"""),1268.28)</f>
        <v>1268.28</v>
      </c>
      <c r="E6440" s="1">
        <f>IFERROR(__xludf.DUMMYFUNCTION("""COMPUTED_VALUE"""),1270.98)</f>
        <v>1270.98</v>
      </c>
      <c r="F6440" s="1">
        <f>IFERROR(__xludf.DUMMYFUNCTION("""COMPUTED_VALUE"""),0.0)</f>
        <v>0</v>
      </c>
    </row>
    <row r="6441">
      <c r="A6441" s="2">
        <f>IFERROR(__xludf.DUMMYFUNCTION("""COMPUTED_VALUE"""),40707.666666666664)</f>
        <v>40707.66667</v>
      </c>
      <c r="B6441" s="1">
        <f>IFERROR(__xludf.DUMMYFUNCTION("""COMPUTED_VALUE"""),1271.31)</f>
        <v>1271.31</v>
      </c>
      <c r="C6441" s="1">
        <f>IFERROR(__xludf.DUMMYFUNCTION("""COMPUTED_VALUE"""),1277.04)</f>
        <v>1277.04</v>
      </c>
      <c r="D6441" s="1">
        <f>IFERROR(__xludf.DUMMYFUNCTION("""COMPUTED_VALUE"""),1265.64)</f>
        <v>1265.64</v>
      </c>
      <c r="E6441" s="1">
        <f>IFERROR(__xludf.DUMMYFUNCTION("""COMPUTED_VALUE"""),1271.83)</f>
        <v>1271.83</v>
      </c>
      <c r="F6441" s="1">
        <f>IFERROR(__xludf.DUMMYFUNCTION("""COMPUTED_VALUE"""),0.0)</f>
        <v>0</v>
      </c>
    </row>
    <row r="6442">
      <c r="A6442" s="2">
        <f>IFERROR(__xludf.DUMMYFUNCTION("""COMPUTED_VALUE"""),40708.666666666664)</f>
        <v>40708.66667</v>
      </c>
      <c r="B6442" s="1">
        <f>IFERROR(__xludf.DUMMYFUNCTION("""COMPUTED_VALUE"""),1272.22)</f>
        <v>1272.22</v>
      </c>
      <c r="C6442" s="1">
        <f>IFERROR(__xludf.DUMMYFUNCTION("""COMPUTED_VALUE"""),1292.5)</f>
        <v>1292.5</v>
      </c>
      <c r="D6442" s="1">
        <f>IFERROR(__xludf.DUMMYFUNCTION("""COMPUTED_VALUE"""),1272.22)</f>
        <v>1272.22</v>
      </c>
      <c r="E6442" s="1">
        <f>IFERROR(__xludf.DUMMYFUNCTION("""COMPUTED_VALUE"""),1287.87)</f>
        <v>1287.87</v>
      </c>
      <c r="F6442" s="1">
        <f>IFERROR(__xludf.DUMMYFUNCTION("""COMPUTED_VALUE"""),0.0)</f>
        <v>0</v>
      </c>
    </row>
    <row r="6443">
      <c r="A6443" s="2">
        <f>IFERROR(__xludf.DUMMYFUNCTION("""COMPUTED_VALUE"""),40709.666666666664)</f>
        <v>40709.66667</v>
      </c>
      <c r="B6443" s="1">
        <f>IFERROR(__xludf.DUMMYFUNCTION("""COMPUTED_VALUE"""),1287.87)</f>
        <v>1287.87</v>
      </c>
      <c r="C6443" s="1">
        <f>IFERROR(__xludf.DUMMYFUNCTION("""COMPUTED_VALUE"""),1287.87)</f>
        <v>1287.87</v>
      </c>
      <c r="D6443" s="1">
        <f>IFERROR(__xludf.DUMMYFUNCTION("""COMPUTED_VALUE"""),1261.9)</f>
        <v>1261.9</v>
      </c>
      <c r="E6443" s="1">
        <f>IFERROR(__xludf.DUMMYFUNCTION("""COMPUTED_VALUE"""),1265.42)</f>
        <v>1265.42</v>
      </c>
      <c r="F6443" s="1">
        <f>IFERROR(__xludf.DUMMYFUNCTION("""COMPUTED_VALUE"""),0.0)</f>
        <v>0</v>
      </c>
    </row>
    <row r="6444">
      <c r="A6444" s="2">
        <f>IFERROR(__xludf.DUMMYFUNCTION("""COMPUTED_VALUE"""),40710.666666666664)</f>
        <v>40710.66667</v>
      </c>
      <c r="B6444" s="1">
        <f>IFERROR(__xludf.DUMMYFUNCTION("""COMPUTED_VALUE"""),1265.53)</f>
        <v>1265.53</v>
      </c>
      <c r="C6444" s="1">
        <f>IFERROR(__xludf.DUMMYFUNCTION("""COMPUTED_VALUE"""),1274.11)</f>
        <v>1274.11</v>
      </c>
      <c r="D6444" s="1">
        <f>IFERROR(__xludf.DUMMYFUNCTION("""COMPUTED_VALUE"""),1258.07)</f>
        <v>1258.07</v>
      </c>
      <c r="E6444" s="1">
        <f>IFERROR(__xludf.DUMMYFUNCTION("""COMPUTED_VALUE"""),1267.64)</f>
        <v>1267.64</v>
      </c>
      <c r="F6444" s="1">
        <f>IFERROR(__xludf.DUMMYFUNCTION("""COMPUTED_VALUE"""),0.0)</f>
        <v>0</v>
      </c>
    </row>
    <row r="6445">
      <c r="A6445" s="2">
        <f>IFERROR(__xludf.DUMMYFUNCTION("""COMPUTED_VALUE"""),40711.666666666664)</f>
        <v>40711.66667</v>
      </c>
      <c r="B6445" s="1">
        <f>IFERROR(__xludf.DUMMYFUNCTION("""COMPUTED_VALUE"""),1268.58)</f>
        <v>1268.58</v>
      </c>
      <c r="C6445" s="1">
        <f>IFERROR(__xludf.DUMMYFUNCTION("""COMPUTED_VALUE"""),1279.82)</f>
        <v>1279.82</v>
      </c>
      <c r="D6445" s="1">
        <f>IFERROR(__xludf.DUMMYFUNCTION("""COMPUTED_VALUE"""),1267.4)</f>
        <v>1267.4</v>
      </c>
      <c r="E6445" s="1">
        <f>IFERROR(__xludf.DUMMYFUNCTION("""COMPUTED_VALUE"""),1271.5)</f>
        <v>1271.5</v>
      </c>
      <c r="F6445" s="1">
        <f>IFERROR(__xludf.DUMMYFUNCTION("""COMPUTED_VALUE"""),0.0)</f>
        <v>0</v>
      </c>
    </row>
    <row r="6446">
      <c r="A6446" s="2">
        <f>IFERROR(__xludf.DUMMYFUNCTION("""COMPUTED_VALUE"""),40714.666666666664)</f>
        <v>40714.66667</v>
      </c>
      <c r="B6446" s="1">
        <f>IFERROR(__xludf.DUMMYFUNCTION("""COMPUTED_VALUE"""),1271.5)</f>
        <v>1271.5</v>
      </c>
      <c r="C6446" s="1">
        <f>IFERROR(__xludf.DUMMYFUNCTION("""COMPUTED_VALUE"""),1280.42)</f>
        <v>1280.42</v>
      </c>
      <c r="D6446" s="1">
        <f>IFERROR(__xludf.DUMMYFUNCTION("""COMPUTED_VALUE"""),1267.56)</f>
        <v>1267.56</v>
      </c>
      <c r="E6446" s="1">
        <f>IFERROR(__xludf.DUMMYFUNCTION("""COMPUTED_VALUE"""),1278.36)</f>
        <v>1278.36</v>
      </c>
      <c r="F6446" s="1">
        <f>IFERROR(__xludf.DUMMYFUNCTION("""COMPUTED_VALUE"""),0.0)</f>
        <v>0</v>
      </c>
    </row>
    <row r="6447">
      <c r="A6447" s="2">
        <f>IFERROR(__xludf.DUMMYFUNCTION("""COMPUTED_VALUE"""),40715.666666666664)</f>
        <v>40715.66667</v>
      </c>
      <c r="B6447" s="1">
        <f>IFERROR(__xludf.DUMMYFUNCTION("""COMPUTED_VALUE"""),1278.4)</f>
        <v>1278.4</v>
      </c>
      <c r="C6447" s="1">
        <f>IFERROR(__xludf.DUMMYFUNCTION("""COMPUTED_VALUE"""),1297.62)</f>
        <v>1297.62</v>
      </c>
      <c r="D6447" s="1">
        <f>IFERROR(__xludf.DUMMYFUNCTION("""COMPUTED_VALUE"""),1278.4)</f>
        <v>1278.4</v>
      </c>
      <c r="E6447" s="1">
        <f>IFERROR(__xludf.DUMMYFUNCTION("""COMPUTED_VALUE"""),1295.52)</f>
        <v>1295.52</v>
      </c>
      <c r="F6447" s="1">
        <f>IFERROR(__xludf.DUMMYFUNCTION("""COMPUTED_VALUE"""),0.0)</f>
        <v>0</v>
      </c>
    </row>
    <row r="6448">
      <c r="A6448" s="2">
        <f>IFERROR(__xludf.DUMMYFUNCTION("""COMPUTED_VALUE"""),40716.666666666664)</f>
        <v>40716.66667</v>
      </c>
      <c r="B6448" s="1">
        <f>IFERROR(__xludf.DUMMYFUNCTION("""COMPUTED_VALUE"""),1295.48)</f>
        <v>1295.48</v>
      </c>
      <c r="C6448" s="1">
        <f>IFERROR(__xludf.DUMMYFUNCTION("""COMPUTED_VALUE"""),1298.61)</f>
        <v>1298.61</v>
      </c>
      <c r="D6448" s="1">
        <f>IFERROR(__xludf.DUMMYFUNCTION("""COMPUTED_VALUE"""),1286.79)</f>
        <v>1286.79</v>
      </c>
      <c r="E6448" s="1">
        <f>IFERROR(__xludf.DUMMYFUNCTION("""COMPUTED_VALUE"""),1287.14)</f>
        <v>1287.14</v>
      </c>
      <c r="F6448" s="1">
        <f>IFERROR(__xludf.DUMMYFUNCTION("""COMPUTED_VALUE"""),0.0)</f>
        <v>0</v>
      </c>
    </row>
    <row r="6449">
      <c r="A6449" s="2">
        <f>IFERROR(__xludf.DUMMYFUNCTION("""COMPUTED_VALUE"""),40717.666666666664)</f>
        <v>40717.66667</v>
      </c>
      <c r="B6449" s="1">
        <f>IFERROR(__xludf.DUMMYFUNCTION("""COMPUTED_VALUE"""),1286.6)</f>
        <v>1286.6</v>
      </c>
      <c r="C6449" s="1">
        <f>IFERROR(__xludf.DUMMYFUNCTION("""COMPUTED_VALUE"""),1286.6)</f>
        <v>1286.6</v>
      </c>
      <c r="D6449" s="1">
        <f>IFERROR(__xludf.DUMMYFUNCTION("""COMPUTED_VALUE"""),1262.87)</f>
        <v>1262.87</v>
      </c>
      <c r="E6449" s="1">
        <f>IFERROR(__xludf.DUMMYFUNCTION("""COMPUTED_VALUE"""),1283.5)</f>
        <v>1283.5</v>
      </c>
      <c r="F6449" s="1">
        <f>IFERROR(__xludf.DUMMYFUNCTION("""COMPUTED_VALUE"""),0.0)</f>
        <v>0</v>
      </c>
    </row>
    <row r="6450">
      <c r="A6450" s="2">
        <f>IFERROR(__xludf.DUMMYFUNCTION("""COMPUTED_VALUE"""),40718.666666666664)</f>
        <v>40718.66667</v>
      </c>
      <c r="B6450" s="1">
        <f>IFERROR(__xludf.DUMMYFUNCTION("""COMPUTED_VALUE"""),1283.04)</f>
        <v>1283.04</v>
      </c>
      <c r="C6450" s="1">
        <f>IFERROR(__xludf.DUMMYFUNCTION("""COMPUTED_VALUE"""),1283.93)</f>
        <v>1283.93</v>
      </c>
      <c r="D6450" s="1">
        <f>IFERROR(__xludf.DUMMYFUNCTION("""COMPUTED_VALUE"""),1267.24)</f>
        <v>1267.24</v>
      </c>
      <c r="E6450" s="1">
        <f>IFERROR(__xludf.DUMMYFUNCTION("""COMPUTED_VALUE"""),1268.45)</f>
        <v>1268.45</v>
      </c>
      <c r="F6450" s="1">
        <f>IFERROR(__xludf.DUMMYFUNCTION("""COMPUTED_VALUE"""),0.0)</f>
        <v>0</v>
      </c>
    </row>
    <row r="6451">
      <c r="A6451" s="2">
        <f>IFERROR(__xludf.DUMMYFUNCTION("""COMPUTED_VALUE"""),40721.666666666664)</f>
        <v>40721.66667</v>
      </c>
      <c r="B6451" s="1">
        <f>IFERROR(__xludf.DUMMYFUNCTION("""COMPUTED_VALUE"""),1268.44)</f>
        <v>1268.44</v>
      </c>
      <c r="C6451" s="1">
        <f>IFERROR(__xludf.DUMMYFUNCTION("""COMPUTED_VALUE"""),1284.91)</f>
        <v>1284.91</v>
      </c>
      <c r="D6451" s="1">
        <f>IFERROR(__xludf.DUMMYFUNCTION("""COMPUTED_VALUE"""),1267.53)</f>
        <v>1267.53</v>
      </c>
      <c r="E6451" s="1">
        <f>IFERROR(__xludf.DUMMYFUNCTION("""COMPUTED_VALUE"""),1280.1)</f>
        <v>1280.1</v>
      </c>
      <c r="F6451" s="1">
        <f>IFERROR(__xludf.DUMMYFUNCTION("""COMPUTED_VALUE"""),0.0)</f>
        <v>0</v>
      </c>
    </row>
    <row r="6452">
      <c r="A6452" s="2">
        <f>IFERROR(__xludf.DUMMYFUNCTION("""COMPUTED_VALUE"""),40722.666666666664)</f>
        <v>40722.66667</v>
      </c>
      <c r="B6452" s="1">
        <f>IFERROR(__xludf.DUMMYFUNCTION("""COMPUTED_VALUE"""),1280.21)</f>
        <v>1280.21</v>
      </c>
      <c r="C6452" s="1">
        <f>IFERROR(__xludf.DUMMYFUNCTION("""COMPUTED_VALUE"""),1296.8)</f>
        <v>1296.8</v>
      </c>
      <c r="D6452" s="1">
        <f>IFERROR(__xludf.DUMMYFUNCTION("""COMPUTED_VALUE"""),1280.21)</f>
        <v>1280.21</v>
      </c>
      <c r="E6452" s="1">
        <f>IFERROR(__xludf.DUMMYFUNCTION("""COMPUTED_VALUE"""),1296.67)</f>
        <v>1296.67</v>
      </c>
      <c r="F6452" s="1">
        <f>IFERROR(__xludf.DUMMYFUNCTION("""COMPUTED_VALUE"""),0.0)</f>
        <v>0</v>
      </c>
    </row>
    <row r="6453">
      <c r="A6453" s="2">
        <f>IFERROR(__xludf.DUMMYFUNCTION("""COMPUTED_VALUE"""),40723.666666666664)</f>
        <v>40723.66667</v>
      </c>
      <c r="B6453" s="1">
        <f>IFERROR(__xludf.DUMMYFUNCTION("""COMPUTED_VALUE"""),1296.85)</f>
        <v>1296.85</v>
      </c>
      <c r="C6453" s="1">
        <f>IFERROR(__xludf.DUMMYFUNCTION("""COMPUTED_VALUE"""),1309.21)</f>
        <v>1309.21</v>
      </c>
      <c r="D6453" s="1">
        <f>IFERROR(__xludf.DUMMYFUNCTION("""COMPUTED_VALUE"""),1296.85)</f>
        <v>1296.85</v>
      </c>
      <c r="E6453" s="1">
        <f>IFERROR(__xludf.DUMMYFUNCTION("""COMPUTED_VALUE"""),1307.41)</f>
        <v>1307.41</v>
      </c>
      <c r="F6453" s="1">
        <f>IFERROR(__xludf.DUMMYFUNCTION("""COMPUTED_VALUE"""),0.0)</f>
        <v>0</v>
      </c>
    </row>
    <row r="6454">
      <c r="A6454" s="2">
        <f>IFERROR(__xludf.DUMMYFUNCTION("""COMPUTED_VALUE"""),40724.666666666664)</f>
        <v>40724.66667</v>
      </c>
      <c r="B6454" s="1">
        <f>IFERROR(__xludf.DUMMYFUNCTION("""COMPUTED_VALUE"""),1307.64)</f>
        <v>1307.64</v>
      </c>
      <c r="C6454" s="1">
        <f>IFERROR(__xludf.DUMMYFUNCTION("""COMPUTED_VALUE"""),1321.97)</f>
        <v>1321.97</v>
      </c>
      <c r="D6454" s="1">
        <f>IFERROR(__xludf.DUMMYFUNCTION("""COMPUTED_VALUE"""),1307.64)</f>
        <v>1307.64</v>
      </c>
      <c r="E6454" s="1">
        <f>IFERROR(__xludf.DUMMYFUNCTION("""COMPUTED_VALUE"""),1320.64)</f>
        <v>1320.64</v>
      </c>
      <c r="F6454" s="1">
        <f>IFERROR(__xludf.DUMMYFUNCTION("""COMPUTED_VALUE"""),0.0)</f>
        <v>0</v>
      </c>
    </row>
    <row r="6455">
      <c r="A6455" s="2">
        <f>IFERROR(__xludf.DUMMYFUNCTION("""COMPUTED_VALUE"""),40725.666666666664)</f>
        <v>40725.66667</v>
      </c>
      <c r="B6455" s="1">
        <f>IFERROR(__xludf.DUMMYFUNCTION("""COMPUTED_VALUE"""),1320.64)</f>
        <v>1320.64</v>
      </c>
      <c r="C6455" s="1">
        <f>IFERROR(__xludf.DUMMYFUNCTION("""COMPUTED_VALUE"""),1341.01)</f>
        <v>1341.01</v>
      </c>
      <c r="D6455" s="1">
        <f>IFERROR(__xludf.DUMMYFUNCTION("""COMPUTED_VALUE"""),1318.18)</f>
        <v>1318.18</v>
      </c>
      <c r="E6455" s="1">
        <f>IFERROR(__xludf.DUMMYFUNCTION("""COMPUTED_VALUE"""),1339.67)</f>
        <v>1339.67</v>
      </c>
      <c r="F6455" s="1">
        <f>IFERROR(__xludf.DUMMYFUNCTION("""COMPUTED_VALUE"""),0.0)</f>
        <v>0</v>
      </c>
    </row>
    <row r="6456">
      <c r="A6456" s="2">
        <f>IFERROR(__xludf.DUMMYFUNCTION("""COMPUTED_VALUE"""),40729.666666666664)</f>
        <v>40729.66667</v>
      </c>
      <c r="B6456" s="1">
        <f>IFERROR(__xludf.DUMMYFUNCTION("""COMPUTED_VALUE"""),1339.59)</f>
        <v>1339.59</v>
      </c>
      <c r="C6456" s="1">
        <f>IFERROR(__xludf.DUMMYFUNCTION("""COMPUTED_VALUE"""),1340.89)</f>
        <v>1340.89</v>
      </c>
      <c r="D6456" s="1">
        <f>IFERROR(__xludf.DUMMYFUNCTION("""COMPUTED_VALUE"""),1334.3)</f>
        <v>1334.3</v>
      </c>
      <c r="E6456" s="1">
        <f>IFERROR(__xludf.DUMMYFUNCTION("""COMPUTED_VALUE"""),1337.88)</f>
        <v>1337.88</v>
      </c>
      <c r="F6456" s="1">
        <f>IFERROR(__xludf.DUMMYFUNCTION("""COMPUTED_VALUE"""),0.0)</f>
        <v>0</v>
      </c>
    </row>
    <row r="6457">
      <c r="A6457" s="2">
        <f>IFERROR(__xludf.DUMMYFUNCTION("""COMPUTED_VALUE"""),40730.666666666664)</f>
        <v>40730.66667</v>
      </c>
      <c r="B6457" s="1">
        <f>IFERROR(__xludf.DUMMYFUNCTION("""COMPUTED_VALUE"""),1337.56)</f>
        <v>1337.56</v>
      </c>
      <c r="C6457" s="1">
        <f>IFERROR(__xludf.DUMMYFUNCTION("""COMPUTED_VALUE"""),1340.94)</f>
        <v>1340.94</v>
      </c>
      <c r="D6457" s="1">
        <f>IFERROR(__xludf.DUMMYFUNCTION("""COMPUTED_VALUE"""),1330.92)</f>
        <v>1330.92</v>
      </c>
      <c r="E6457" s="1">
        <f>IFERROR(__xludf.DUMMYFUNCTION("""COMPUTED_VALUE"""),1339.22)</f>
        <v>1339.22</v>
      </c>
      <c r="F6457" s="1">
        <f>IFERROR(__xludf.DUMMYFUNCTION("""COMPUTED_VALUE"""),0.0)</f>
        <v>0</v>
      </c>
    </row>
    <row r="6458">
      <c r="A6458" s="2">
        <f>IFERROR(__xludf.DUMMYFUNCTION("""COMPUTED_VALUE"""),40731.666666666664)</f>
        <v>40731.66667</v>
      </c>
      <c r="B6458" s="1">
        <f>IFERROR(__xludf.DUMMYFUNCTION("""COMPUTED_VALUE"""),1339.62)</f>
        <v>1339.62</v>
      </c>
      <c r="C6458" s="1">
        <f>IFERROR(__xludf.DUMMYFUNCTION("""COMPUTED_VALUE"""),1356.48)</f>
        <v>1356.48</v>
      </c>
      <c r="D6458" s="1">
        <f>IFERROR(__xludf.DUMMYFUNCTION("""COMPUTED_VALUE"""),1339.62)</f>
        <v>1339.62</v>
      </c>
      <c r="E6458" s="1">
        <f>IFERROR(__xludf.DUMMYFUNCTION("""COMPUTED_VALUE"""),1353.22)</f>
        <v>1353.22</v>
      </c>
      <c r="F6458" s="1">
        <f>IFERROR(__xludf.DUMMYFUNCTION("""COMPUTED_VALUE"""),0.0)</f>
        <v>0</v>
      </c>
    </row>
    <row r="6459">
      <c r="A6459" s="2">
        <f>IFERROR(__xludf.DUMMYFUNCTION("""COMPUTED_VALUE"""),40732.666666666664)</f>
        <v>40732.66667</v>
      </c>
      <c r="B6459" s="1">
        <f>IFERROR(__xludf.DUMMYFUNCTION("""COMPUTED_VALUE"""),1352.39)</f>
        <v>1352.39</v>
      </c>
      <c r="C6459" s="1">
        <f>IFERROR(__xludf.DUMMYFUNCTION("""COMPUTED_VALUE"""),1352.39)</f>
        <v>1352.39</v>
      </c>
      <c r="D6459" s="1">
        <f>IFERROR(__xludf.DUMMYFUNCTION("""COMPUTED_VALUE"""),1333.71)</f>
        <v>1333.71</v>
      </c>
      <c r="E6459" s="1">
        <f>IFERROR(__xludf.DUMMYFUNCTION("""COMPUTED_VALUE"""),1343.8)</f>
        <v>1343.8</v>
      </c>
      <c r="F6459" s="1">
        <f>IFERROR(__xludf.DUMMYFUNCTION("""COMPUTED_VALUE"""),0.0)</f>
        <v>0</v>
      </c>
    </row>
    <row r="6460">
      <c r="A6460" s="2">
        <f>IFERROR(__xludf.DUMMYFUNCTION("""COMPUTED_VALUE"""),40735.666666666664)</f>
        <v>40735.66667</v>
      </c>
      <c r="B6460" s="1">
        <f>IFERROR(__xludf.DUMMYFUNCTION("""COMPUTED_VALUE"""),1343.31)</f>
        <v>1343.31</v>
      </c>
      <c r="C6460" s="1">
        <f>IFERROR(__xludf.DUMMYFUNCTION("""COMPUTED_VALUE"""),1343.31)</f>
        <v>1343.31</v>
      </c>
      <c r="D6460" s="1">
        <f>IFERROR(__xludf.DUMMYFUNCTION("""COMPUTED_VALUE"""),1316.42)</f>
        <v>1316.42</v>
      </c>
      <c r="E6460" s="1">
        <f>IFERROR(__xludf.DUMMYFUNCTION("""COMPUTED_VALUE"""),1319.49)</f>
        <v>1319.49</v>
      </c>
      <c r="F6460" s="1">
        <f>IFERROR(__xludf.DUMMYFUNCTION("""COMPUTED_VALUE"""),0.0)</f>
        <v>0</v>
      </c>
    </row>
    <row r="6461">
      <c r="A6461" s="2">
        <f>IFERROR(__xludf.DUMMYFUNCTION("""COMPUTED_VALUE"""),40736.666666666664)</f>
        <v>40736.66667</v>
      </c>
      <c r="B6461" s="1">
        <f>IFERROR(__xludf.DUMMYFUNCTION("""COMPUTED_VALUE"""),1319.61)</f>
        <v>1319.61</v>
      </c>
      <c r="C6461" s="1">
        <f>IFERROR(__xludf.DUMMYFUNCTION("""COMPUTED_VALUE"""),1327.17)</f>
        <v>1327.17</v>
      </c>
      <c r="D6461" s="1">
        <f>IFERROR(__xludf.DUMMYFUNCTION("""COMPUTED_VALUE"""),1313.33)</f>
        <v>1313.33</v>
      </c>
      <c r="E6461" s="1">
        <f>IFERROR(__xludf.DUMMYFUNCTION("""COMPUTED_VALUE"""),1313.64)</f>
        <v>1313.64</v>
      </c>
      <c r="F6461" s="1">
        <f>IFERROR(__xludf.DUMMYFUNCTION("""COMPUTED_VALUE"""),0.0)</f>
        <v>0</v>
      </c>
    </row>
    <row r="6462">
      <c r="A6462" s="2">
        <f>IFERROR(__xludf.DUMMYFUNCTION("""COMPUTED_VALUE"""),40737.666666666664)</f>
        <v>40737.66667</v>
      </c>
      <c r="B6462" s="1">
        <f>IFERROR(__xludf.DUMMYFUNCTION("""COMPUTED_VALUE"""),1314.45)</f>
        <v>1314.45</v>
      </c>
      <c r="C6462" s="1">
        <f>IFERROR(__xludf.DUMMYFUNCTION("""COMPUTED_VALUE"""),1331.48)</f>
        <v>1331.48</v>
      </c>
      <c r="D6462" s="1">
        <f>IFERROR(__xludf.DUMMYFUNCTION("""COMPUTED_VALUE"""),1314.45)</f>
        <v>1314.45</v>
      </c>
      <c r="E6462" s="1">
        <f>IFERROR(__xludf.DUMMYFUNCTION("""COMPUTED_VALUE"""),1317.72)</f>
        <v>1317.72</v>
      </c>
      <c r="F6462" s="1">
        <f>IFERROR(__xludf.DUMMYFUNCTION("""COMPUTED_VALUE"""),0.0)</f>
        <v>0</v>
      </c>
    </row>
    <row r="6463">
      <c r="A6463" s="2">
        <f>IFERROR(__xludf.DUMMYFUNCTION("""COMPUTED_VALUE"""),40738.666666666664)</f>
        <v>40738.66667</v>
      </c>
      <c r="B6463" s="1">
        <f>IFERROR(__xludf.DUMMYFUNCTION("""COMPUTED_VALUE"""),1317.74)</f>
        <v>1317.74</v>
      </c>
      <c r="C6463" s="1">
        <f>IFERROR(__xludf.DUMMYFUNCTION("""COMPUTED_VALUE"""),1326.88)</f>
        <v>1326.88</v>
      </c>
      <c r="D6463" s="1">
        <f>IFERROR(__xludf.DUMMYFUNCTION("""COMPUTED_VALUE"""),1306.51)</f>
        <v>1306.51</v>
      </c>
      <c r="E6463" s="1">
        <f>IFERROR(__xludf.DUMMYFUNCTION("""COMPUTED_VALUE"""),1308.87)</f>
        <v>1308.87</v>
      </c>
      <c r="F6463" s="1">
        <f>IFERROR(__xludf.DUMMYFUNCTION("""COMPUTED_VALUE"""),0.0)</f>
        <v>0</v>
      </c>
    </row>
    <row r="6464">
      <c r="A6464" s="2">
        <f>IFERROR(__xludf.DUMMYFUNCTION("""COMPUTED_VALUE"""),40739.666666666664)</f>
        <v>40739.66667</v>
      </c>
      <c r="B6464" s="1">
        <f>IFERROR(__xludf.DUMMYFUNCTION("""COMPUTED_VALUE"""),1308.87)</f>
        <v>1308.87</v>
      </c>
      <c r="C6464" s="1">
        <f>IFERROR(__xludf.DUMMYFUNCTION("""COMPUTED_VALUE"""),1317.7)</f>
        <v>1317.7</v>
      </c>
      <c r="D6464" s="1">
        <f>IFERROR(__xludf.DUMMYFUNCTION("""COMPUTED_VALUE"""),1307.52)</f>
        <v>1307.52</v>
      </c>
      <c r="E6464" s="1">
        <f>IFERROR(__xludf.DUMMYFUNCTION("""COMPUTED_VALUE"""),1316.14)</f>
        <v>1316.14</v>
      </c>
      <c r="F6464" s="1">
        <f>IFERROR(__xludf.DUMMYFUNCTION("""COMPUTED_VALUE"""),0.0)</f>
        <v>0</v>
      </c>
    </row>
    <row r="6465">
      <c r="A6465" s="2">
        <f>IFERROR(__xludf.DUMMYFUNCTION("""COMPUTED_VALUE"""),40742.666666666664)</f>
        <v>40742.66667</v>
      </c>
      <c r="B6465" s="1">
        <f>IFERROR(__xludf.DUMMYFUNCTION("""COMPUTED_VALUE"""),1315.94)</f>
        <v>1315.94</v>
      </c>
      <c r="C6465" s="1">
        <f>IFERROR(__xludf.DUMMYFUNCTION("""COMPUTED_VALUE"""),1315.94)</f>
        <v>1315.94</v>
      </c>
      <c r="D6465" s="1">
        <f>IFERROR(__xludf.DUMMYFUNCTION("""COMPUTED_VALUE"""),1295.92)</f>
        <v>1295.92</v>
      </c>
      <c r="E6465" s="1">
        <f>IFERROR(__xludf.DUMMYFUNCTION("""COMPUTED_VALUE"""),1305.44)</f>
        <v>1305.44</v>
      </c>
      <c r="F6465" s="1">
        <f>IFERROR(__xludf.DUMMYFUNCTION("""COMPUTED_VALUE"""),0.0)</f>
        <v>0</v>
      </c>
    </row>
    <row r="6466">
      <c r="A6466" s="2">
        <f>IFERROR(__xludf.DUMMYFUNCTION("""COMPUTED_VALUE"""),40743.666666666664)</f>
        <v>40743.66667</v>
      </c>
      <c r="B6466" s="1">
        <f>IFERROR(__xludf.DUMMYFUNCTION("""COMPUTED_VALUE"""),1307.07)</f>
        <v>1307.07</v>
      </c>
      <c r="C6466" s="1">
        <f>IFERROR(__xludf.DUMMYFUNCTION("""COMPUTED_VALUE"""),1328.14)</f>
        <v>1328.14</v>
      </c>
      <c r="D6466" s="1">
        <f>IFERROR(__xludf.DUMMYFUNCTION("""COMPUTED_VALUE"""),1307.07)</f>
        <v>1307.07</v>
      </c>
      <c r="E6466" s="1">
        <f>IFERROR(__xludf.DUMMYFUNCTION("""COMPUTED_VALUE"""),1326.73)</f>
        <v>1326.73</v>
      </c>
      <c r="F6466" s="1">
        <f>IFERROR(__xludf.DUMMYFUNCTION("""COMPUTED_VALUE"""),0.0)</f>
        <v>0</v>
      </c>
    </row>
    <row r="6467">
      <c r="A6467" s="2">
        <f>IFERROR(__xludf.DUMMYFUNCTION("""COMPUTED_VALUE"""),40744.666666666664)</f>
        <v>40744.66667</v>
      </c>
      <c r="B6467" s="1">
        <f>IFERROR(__xludf.DUMMYFUNCTION("""COMPUTED_VALUE"""),1328.66)</f>
        <v>1328.66</v>
      </c>
      <c r="C6467" s="1">
        <f>IFERROR(__xludf.DUMMYFUNCTION("""COMPUTED_VALUE"""),1330.43)</f>
        <v>1330.43</v>
      </c>
      <c r="D6467" s="1">
        <f>IFERROR(__xludf.DUMMYFUNCTION("""COMPUTED_VALUE"""),1323.65)</f>
        <v>1323.65</v>
      </c>
      <c r="E6467" s="1">
        <f>IFERROR(__xludf.DUMMYFUNCTION("""COMPUTED_VALUE"""),1325.84)</f>
        <v>1325.84</v>
      </c>
      <c r="F6467" s="1">
        <f>IFERROR(__xludf.DUMMYFUNCTION("""COMPUTED_VALUE"""),0.0)</f>
        <v>0</v>
      </c>
    </row>
    <row r="6468">
      <c r="A6468" s="2">
        <f>IFERROR(__xludf.DUMMYFUNCTION("""COMPUTED_VALUE"""),40745.666666666664)</f>
        <v>40745.66667</v>
      </c>
      <c r="B6468" s="1">
        <f>IFERROR(__xludf.DUMMYFUNCTION("""COMPUTED_VALUE"""),1325.65)</f>
        <v>1325.65</v>
      </c>
      <c r="C6468" s="1">
        <f>IFERROR(__xludf.DUMMYFUNCTION("""COMPUTED_VALUE"""),1347.0)</f>
        <v>1347</v>
      </c>
      <c r="D6468" s="1">
        <f>IFERROR(__xludf.DUMMYFUNCTION("""COMPUTED_VALUE"""),1325.65)</f>
        <v>1325.65</v>
      </c>
      <c r="E6468" s="1">
        <f>IFERROR(__xludf.DUMMYFUNCTION("""COMPUTED_VALUE"""),1343.8)</f>
        <v>1343.8</v>
      </c>
      <c r="F6468" s="1">
        <f>IFERROR(__xludf.DUMMYFUNCTION("""COMPUTED_VALUE"""),0.0)</f>
        <v>0</v>
      </c>
    </row>
    <row r="6469">
      <c r="A6469" s="2">
        <f>IFERROR(__xludf.DUMMYFUNCTION("""COMPUTED_VALUE"""),40746.666666666664)</f>
        <v>40746.66667</v>
      </c>
      <c r="B6469" s="1">
        <f>IFERROR(__xludf.DUMMYFUNCTION("""COMPUTED_VALUE"""),1343.8)</f>
        <v>1343.8</v>
      </c>
      <c r="C6469" s="1">
        <f>IFERROR(__xludf.DUMMYFUNCTION("""COMPUTED_VALUE"""),1346.1)</f>
        <v>1346.1</v>
      </c>
      <c r="D6469" s="1">
        <f>IFERROR(__xludf.DUMMYFUNCTION("""COMPUTED_VALUE"""),1336.95)</f>
        <v>1336.95</v>
      </c>
      <c r="E6469" s="1">
        <f>IFERROR(__xludf.DUMMYFUNCTION("""COMPUTED_VALUE"""),1345.02)</f>
        <v>1345.02</v>
      </c>
      <c r="F6469" s="1">
        <f>IFERROR(__xludf.DUMMYFUNCTION("""COMPUTED_VALUE"""),0.0)</f>
        <v>0</v>
      </c>
    </row>
    <row r="6470">
      <c r="A6470" s="2">
        <f>IFERROR(__xludf.DUMMYFUNCTION("""COMPUTED_VALUE"""),40749.666666666664)</f>
        <v>40749.66667</v>
      </c>
      <c r="B6470" s="1">
        <f>IFERROR(__xludf.DUMMYFUNCTION("""COMPUTED_VALUE"""),1344.32)</f>
        <v>1344.32</v>
      </c>
      <c r="C6470" s="1">
        <f>IFERROR(__xludf.DUMMYFUNCTION("""COMPUTED_VALUE"""),1344.32)</f>
        <v>1344.32</v>
      </c>
      <c r="D6470" s="1">
        <f>IFERROR(__xludf.DUMMYFUNCTION("""COMPUTED_VALUE"""),1331.09)</f>
        <v>1331.09</v>
      </c>
      <c r="E6470" s="1">
        <f>IFERROR(__xludf.DUMMYFUNCTION("""COMPUTED_VALUE"""),1337.43)</f>
        <v>1337.43</v>
      </c>
      <c r="F6470" s="1">
        <f>IFERROR(__xludf.DUMMYFUNCTION("""COMPUTED_VALUE"""),0.0)</f>
        <v>0</v>
      </c>
    </row>
    <row r="6471">
      <c r="A6471" s="2">
        <f>IFERROR(__xludf.DUMMYFUNCTION("""COMPUTED_VALUE"""),40750.666666666664)</f>
        <v>40750.66667</v>
      </c>
      <c r="B6471" s="1">
        <f>IFERROR(__xludf.DUMMYFUNCTION("""COMPUTED_VALUE"""),1337.39)</f>
        <v>1337.39</v>
      </c>
      <c r="C6471" s="1">
        <f>IFERROR(__xludf.DUMMYFUNCTION("""COMPUTED_VALUE"""),1338.51)</f>
        <v>1338.51</v>
      </c>
      <c r="D6471" s="1">
        <f>IFERROR(__xludf.DUMMYFUNCTION("""COMPUTED_VALUE"""),1329.59)</f>
        <v>1329.59</v>
      </c>
      <c r="E6471" s="1">
        <f>IFERROR(__xludf.DUMMYFUNCTION("""COMPUTED_VALUE"""),1331.94)</f>
        <v>1331.94</v>
      </c>
      <c r="F6471" s="1">
        <f>IFERROR(__xludf.DUMMYFUNCTION("""COMPUTED_VALUE"""),0.0)</f>
        <v>0</v>
      </c>
    </row>
    <row r="6472">
      <c r="A6472" s="2">
        <f>IFERROR(__xludf.DUMMYFUNCTION("""COMPUTED_VALUE"""),40751.666666666664)</f>
        <v>40751.66667</v>
      </c>
      <c r="B6472" s="1">
        <f>IFERROR(__xludf.DUMMYFUNCTION("""COMPUTED_VALUE"""),1331.91)</f>
        <v>1331.91</v>
      </c>
      <c r="C6472" s="1">
        <f>IFERROR(__xludf.DUMMYFUNCTION("""COMPUTED_VALUE"""),1331.91)</f>
        <v>1331.91</v>
      </c>
      <c r="D6472" s="1">
        <f>IFERROR(__xludf.DUMMYFUNCTION("""COMPUTED_VALUE"""),1303.49)</f>
        <v>1303.49</v>
      </c>
      <c r="E6472" s="1">
        <f>IFERROR(__xludf.DUMMYFUNCTION("""COMPUTED_VALUE"""),1304.89)</f>
        <v>1304.89</v>
      </c>
      <c r="F6472" s="1">
        <f>IFERROR(__xludf.DUMMYFUNCTION("""COMPUTED_VALUE"""),0.0)</f>
        <v>0</v>
      </c>
    </row>
    <row r="6473">
      <c r="A6473" s="2">
        <f>IFERROR(__xludf.DUMMYFUNCTION("""COMPUTED_VALUE"""),40752.666666666664)</f>
        <v>40752.66667</v>
      </c>
      <c r="B6473" s="1">
        <f>IFERROR(__xludf.DUMMYFUNCTION("""COMPUTED_VALUE"""),1304.84)</f>
        <v>1304.84</v>
      </c>
      <c r="C6473" s="1">
        <f>IFERROR(__xludf.DUMMYFUNCTION("""COMPUTED_VALUE"""),1316.32)</f>
        <v>1316.32</v>
      </c>
      <c r="D6473" s="1">
        <f>IFERROR(__xludf.DUMMYFUNCTION("""COMPUTED_VALUE"""),1299.16)</f>
        <v>1299.16</v>
      </c>
      <c r="E6473" s="1">
        <f>IFERROR(__xludf.DUMMYFUNCTION("""COMPUTED_VALUE"""),1300.67)</f>
        <v>1300.67</v>
      </c>
      <c r="F6473" s="1">
        <f>IFERROR(__xludf.DUMMYFUNCTION("""COMPUTED_VALUE"""),0.0)</f>
        <v>0</v>
      </c>
    </row>
    <row r="6474">
      <c r="A6474" s="2">
        <f>IFERROR(__xludf.DUMMYFUNCTION("""COMPUTED_VALUE"""),40753.666666666664)</f>
        <v>40753.66667</v>
      </c>
      <c r="B6474" s="1">
        <f>IFERROR(__xludf.DUMMYFUNCTION("""COMPUTED_VALUE"""),1300.12)</f>
        <v>1300.12</v>
      </c>
      <c r="C6474" s="1">
        <f>IFERROR(__xludf.DUMMYFUNCTION("""COMPUTED_VALUE"""),1304.16)</f>
        <v>1304.16</v>
      </c>
      <c r="D6474" s="1">
        <f>IFERROR(__xludf.DUMMYFUNCTION("""COMPUTED_VALUE"""),1282.86)</f>
        <v>1282.86</v>
      </c>
      <c r="E6474" s="1">
        <f>IFERROR(__xludf.DUMMYFUNCTION("""COMPUTED_VALUE"""),1292.28)</f>
        <v>1292.28</v>
      </c>
      <c r="F6474" s="1">
        <f>IFERROR(__xludf.DUMMYFUNCTION("""COMPUTED_VALUE"""),0.0)</f>
        <v>0</v>
      </c>
    </row>
    <row r="6475">
      <c r="A6475" s="2">
        <f>IFERROR(__xludf.DUMMYFUNCTION("""COMPUTED_VALUE"""),40756.666666666664)</f>
        <v>40756.66667</v>
      </c>
      <c r="B6475" s="1">
        <f>IFERROR(__xludf.DUMMYFUNCTION("""COMPUTED_VALUE"""),1292.59)</f>
        <v>1292.59</v>
      </c>
      <c r="C6475" s="1">
        <f>IFERROR(__xludf.DUMMYFUNCTION("""COMPUTED_VALUE"""),1307.38)</f>
        <v>1307.38</v>
      </c>
      <c r="D6475" s="1">
        <f>IFERROR(__xludf.DUMMYFUNCTION("""COMPUTED_VALUE"""),1274.73)</f>
        <v>1274.73</v>
      </c>
      <c r="E6475" s="1">
        <f>IFERROR(__xludf.DUMMYFUNCTION("""COMPUTED_VALUE"""),1286.94)</f>
        <v>1286.94</v>
      </c>
      <c r="F6475" s="1">
        <f>IFERROR(__xludf.DUMMYFUNCTION("""COMPUTED_VALUE"""),0.0)</f>
        <v>0</v>
      </c>
    </row>
    <row r="6476">
      <c r="A6476" s="2">
        <f>IFERROR(__xludf.DUMMYFUNCTION("""COMPUTED_VALUE"""),40757.666666666664)</f>
        <v>40757.66667</v>
      </c>
      <c r="B6476" s="1">
        <f>IFERROR(__xludf.DUMMYFUNCTION("""COMPUTED_VALUE"""),1286.56)</f>
        <v>1286.56</v>
      </c>
      <c r="C6476" s="1">
        <f>IFERROR(__xludf.DUMMYFUNCTION("""COMPUTED_VALUE"""),1286.56)</f>
        <v>1286.56</v>
      </c>
      <c r="D6476" s="1">
        <f>IFERROR(__xludf.DUMMYFUNCTION("""COMPUTED_VALUE"""),1254.03)</f>
        <v>1254.03</v>
      </c>
      <c r="E6476" s="1">
        <f>IFERROR(__xludf.DUMMYFUNCTION("""COMPUTED_VALUE"""),1254.05)</f>
        <v>1254.05</v>
      </c>
      <c r="F6476" s="1">
        <f>IFERROR(__xludf.DUMMYFUNCTION("""COMPUTED_VALUE"""),0.0)</f>
        <v>0</v>
      </c>
    </row>
    <row r="6477">
      <c r="A6477" s="2">
        <f>IFERROR(__xludf.DUMMYFUNCTION("""COMPUTED_VALUE"""),40758.666666666664)</f>
        <v>40758.66667</v>
      </c>
      <c r="B6477" s="1">
        <f>IFERROR(__xludf.DUMMYFUNCTION("""COMPUTED_VALUE"""),1254.25)</f>
        <v>1254.25</v>
      </c>
      <c r="C6477" s="1">
        <f>IFERROR(__xludf.DUMMYFUNCTION("""COMPUTED_VALUE"""),1261.2)</f>
        <v>1261.2</v>
      </c>
      <c r="D6477" s="1">
        <f>IFERROR(__xludf.DUMMYFUNCTION("""COMPUTED_VALUE"""),1234.56)</f>
        <v>1234.56</v>
      </c>
      <c r="E6477" s="1">
        <f>IFERROR(__xludf.DUMMYFUNCTION("""COMPUTED_VALUE"""),1260.34)</f>
        <v>1260.34</v>
      </c>
      <c r="F6477" s="1">
        <f>IFERROR(__xludf.DUMMYFUNCTION("""COMPUTED_VALUE"""),0.0)</f>
        <v>0</v>
      </c>
    </row>
    <row r="6478">
      <c r="A6478" s="2">
        <f>IFERROR(__xludf.DUMMYFUNCTION("""COMPUTED_VALUE"""),40759.666666666664)</f>
        <v>40759.66667</v>
      </c>
      <c r="B6478" s="1">
        <f>IFERROR(__xludf.DUMMYFUNCTION("""COMPUTED_VALUE"""),1260.23)</f>
        <v>1260.23</v>
      </c>
      <c r="C6478" s="1">
        <f>IFERROR(__xludf.DUMMYFUNCTION("""COMPUTED_VALUE"""),1260.23)</f>
        <v>1260.23</v>
      </c>
      <c r="D6478" s="1">
        <f>IFERROR(__xludf.DUMMYFUNCTION("""COMPUTED_VALUE"""),1199.54)</f>
        <v>1199.54</v>
      </c>
      <c r="E6478" s="1">
        <f>IFERROR(__xludf.DUMMYFUNCTION("""COMPUTED_VALUE"""),1200.07)</f>
        <v>1200.07</v>
      </c>
      <c r="F6478" s="1">
        <f>IFERROR(__xludf.DUMMYFUNCTION("""COMPUTED_VALUE"""),0.0)</f>
        <v>0</v>
      </c>
    </row>
    <row r="6479">
      <c r="A6479" s="2">
        <f>IFERROR(__xludf.DUMMYFUNCTION("""COMPUTED_VALUE"""),40760.666666666664)</f>
        <v>40760.66667</v>
      </c>
      <c r="B6479" s="1">
        <f>IFERROR(__xludf.DUMMYFUNCTION("""COMPUTED_VALUE"""),1200.28)</f>
        <v>1200.28</v>
      </c>
      <c r="C6479" s="1">
        <f>IFERROR(__xludf.DUMMYFUNCTION("""COMPUTED_VALUE"""),1218.11)</f>
        <v>1218.11</v>
      </c>
      <c r="D6479" s="1">
        <f>IFERROR(__xludf.DUMMYFUNCTION("""COMPUTED_VALUE"""),1168.09)</f>
        <v>1168.09</v>
      </c>
      <c r="E6479" s="1">
        <f>IFERROR(__xludf.DUMMYFUNCTION("""COMPUTED_VALUE"""),1199.38)</f>
        <v>1199.38</v>
      </c>
      <c r="F6479" s="1">
        <f>IFERROR(__xludf.DUMMYFUNCTION("""COMPUTED_VALUE"""),0.0)</f>
        <v>0</v>
      </c>
    </row>
    <row r="6480">
      <c r="A6480" s="2">
        <f>IFERROR(__xludf.DUMMYFUNCTION("""COMPUTED_VALUE"""),40763.666666666664)</f>
        <v>40763.66667</v>
      </c>
      <c r="B6480" s="1">
        <f>IFERROR(__xludf.DUMMYFUNCTION("""COMPUTED_VALUE"""),1198.48)</f>
        <v>1198.48</v>
      </c>
      <c r="C6480" s="1">
        <f>IFERROR(__xludf.DUMMYFUNCTION("""COMPUTED_VALUE"""),1198.48)</f>
        <v>1198.48</v>
      </c>
      <c r="D6480" s="1">
        <f>IFERROR(__xludf.DUMMYFUNCTION("""COMPUTED_VALUE"""),1119.28)</f>
        <v>1119.28</v>
      </c>
      <c r="E6480" s="1">
        <f>IFERROR(__xludf.DUMMYFUNCTION("""COMPUTED_VALUE"""),1119.46)</f>
        <v>1119.46</v>
      </c>
      <c r="F6480" s="1">
        <f>IFERROR(__xludf.DUMMYFUNCTION("""COMPUTED_VALUE"""),0.0)</f>
        <v>0</v>
      </c>
    </row>
    <row r="6481">
      <c r="A6481" s="2">
        <f>IFERROR(__xludf.DUMMYFUNCTION("""COMPUTED_VALUE"""),40764.666666666664)</f>
        <v>40764.66667</v>
      </c>
      <c r="B6481" s="1">
        <f>IFERROR(__xludf.DUMMYFUNCTION("""COMPUTED_VALUE"""),1120.23)</f>
        <v>1120.23</v>
      </c>
      <c r="C6481" s="1">
        <f>IFERROR(__xludf.DUMMYFUNCTION("""COMPUTED_VALUE"""),1172.88)</f>
        <v>1172.88</v>
      </c>
      <c r="D6481" s="1">
        <f>IFERROR(__xludf.DUMMYFUNCTION("""COMPUTED_VALUE"""),1101.54)</f>
        <v>1101.54</v>
      </c>
      <c r="E6481" s="1">
        <f>IFERROR(__xludf.DUMMYFUNCTION("""COMPUTED_VALUE"""),1172.53)</f>
        <v>1172.53</v>
      </c>
      <c r="F6481" s="1">
        <f>IFERROR(__xludf.DUMMYFUNCTION("""COMPUTED_VALUE"""),0.0)</f>
        <v>0</v>
      </c>
    </row>
    <row r="6482">
      <c r="A6482" s="2">
        <f>IFERROR(__xludf.DUMMYFUNCTION("""COMPUTED_VALUE"""),40765.666666666664)</f>
        <v>40765.66667</v>
      </c>
      <c r="B6482" s="1">
        <f>IFERROR(__xludf.DUMMYFUNCTION("""COMPUTED_VALUE"""),1171.77)</f>
        <v>1171.77</v>
      </c>
      <c r="C6482" s="1">
        <f>IFERROR(__xludf.DUMMYFUNCTION("""COMPUTED_VALUE"""),1171.77)</f>
        <v>1171.77</v>
      </c>
      <c r="D6482" s="1">
        <f>IFERROR(__xludf.DUMMYFUNCTION("""COMPUTED_VALUE"""),1118.01)</f>
        <v>1118.01</v>
      </c>
      <c r="E6482" s="1">
        <f>IFERROR(__xludf.DUMMYFUNCTION("""COMPUTED_VALUE"""),1120.76)</f>
        <v>1120.76</v>
      </c>
      <c r="F6482" s="1">
        <f>IFERROR(__xludf.DUMMYFUNCTION("""COMPUTED_VALUE"""),0.0)</f>
        <v>0</v>
      </c>
    </row>
    <row r="6483">
      <c r="A6483" s="2">
        <f>IFERROR(__xludf.DUMMYFUNCTION("""COMPUTED_VALUE"""),40766.666666666664)</f>
        <v>40766.66667</v>
      </c>
      <c r="B6483" s="1">
        <f>IFERROR(__xludf.DUMMYFUNCTION("""COMPUTED_VALUE"""),1121.3)</f>
        <v>1121.3</v>
      </c>
      <c r="C6483" s="1">
        <f>IFERROR(__xludf.DUMMYFUNCTION("""COMPUTED_VALUE"""),1186.29)</f>
        <v>1186.29</v>
      </c>
      <c r="D6483" s="1">
        <f>IFERROR(__xludf.DUMMYFUNCTION("""COMPUTED_VALUE"""),1121.3)</f>
        <v>1121.3</v>
      </c>
      <c r="E6483" s="1">
        <f>IFERROR(__xludf.DUMMYFUNCTION("""COMPUTED_VALUE"""),1172.64)</f>
        <v>1172.64</v>
      </c>
      <c r="F6483" s="1">
        <f>IFERROR(__xludf.DUMMYFUNCTION("""COMPUTED_VALUE"""),0.0)</f>
        <v>0</v>
      </c>
    </row>
    <row r="6484">
      <c r="A6484" s="2">
        <f>IFERROR(__xludf.DUMMYFUNCTION("""COMPUTED_VALUE"""),40767.666666666664)</f>
        <v>40767.66667</v>
      </c>
      <c r="B6484" s="1">
        <f>IFERROR(__xludf.DUMMYFUNCTION("""COMPUTED_VALUE"""),1172.87)</f>
        <v>1172.87</v>
      </c>
      <c r="C6484" s="1">
        <f>IFERROR(__xludf.DUMMYFUNCTION("""COMPUTED_VALUE"""),1189.04)</f>
        <v>1189.04</v>
      </c>
      <c r="D6484" s="1">
        <f>IFERROR(__xludf.DUMMYFUNCTION("""COMPUTED_VALUE"""),1170.74)</f>
        <v>1170.74</v>
      </c>
      <c r="E6484" s="1">
        <f>IFERROR(__xludf.DUMMYFUNCTION("""COMPUTED_VALUE"""),1178.81)</f>
        <v>1178.81</v>
      </c>
      <c r="F6484" s="1">
        <f>IFERROR(__xludf.DUMMYFUNCTION("""COMPUTED_VALUE"""),0.0)</f>
        <v>0</v>
      </c>
    </row>
    <row r="6485">
      <c r="A6485" s="2">
        <f>IFERROR(__xludf.DUMMYFUNCTION("""COMPUTED_VALUE"""),40770.666666666664)</f>
        <v>40770.66667</v>
      </c>
      <c r="B6485" s="1">
        <f>IFERROR(__xludf.DUMMYFUNCTION("""COMPUTED_VALUE"""),1178.86)</f>
        <v>1178.86</v>
      </c>
      <c r="C6485" s="1">
        <f>IFERROR(__xludf.DUMMYFUNCTION("""COMPUTED_VALUE"""),1204.49)</f>
        <v>1204.49</v>
      </c>
      <c r="D6485" s="1">
        <f>IFERROR(__xludf.DUMMYFUNCTION("""COMPUTED_VALUE"""),1178.86)</f>
        <v>1178.86</v>
      </c>
      <c r="E6485" s="1">
        <f>IFERROR(__xludf.DUMMYFUNCTION("""COMPUTED_VALUE"""),1204.49)</f>
        <v>1204.49</v>
      </c>
      <c r="F6485" s="1">
        <f>IFERROR(__xludf.DUMMYFUNCTION("""COMPUTED_VALUE"""),0.0)</f>
        <v>0</v>
      </c>
    </row>
    <row r="6486">
      <c r="A6486" s="2">
        <f>IFERROR(__xludf.DUMMYFUNCTION("""COMPUTED_VALUE"""),40771.666666666664)</f>
        <v>40771.66667</v>
      </c>
      <c r="B6486" s="1">
        <f>IFERROR(__xludf.DUMMYFUNCTION("""COMPUTED_VALUE"""),1204.22)</f>
        <v>1204.22</v>
      </c>
      <c r="C6486" s="1">
        <f>IFERROR(__xludf.DUMMYFUNCTION("""COMPUTED_VALUE"""),1204.22)</f>
        <v>1204.22</v>
      </c>
      <c r="D6486" s="1">
        <f>IFERROR(__xludf.DUMMYFUNCTION("""COMPUTED_VALUE"""),1180.53)</f>
        <v>1180.53</v>
      </c>
      <c r="E6486" s="1">
        <f>IFERROR(__xludf.DUMMYFUNCTION("""COMPUTED_VALUE"""),1192.76)</f>
        <v>1192.76</v>
      </c>
      <c r="F6486" s="1">
        <f>IFERROR(__xludf.DUMMYFUNCTION("""COMPUTED_VALUE"""),0.0)</f>
        <v>0</v>
      </c>
    </row>
    <row r="6487">
      <c r="A6487" s="2">
        <f>IFERROR(__xludf.DUMMYFUNCTION("""COMPUTED_VALUE"""),40772.666666666664)</f>
        <v>40772.66667</v>
      </c>
      <c r="B6487" s="1">
        <f>IFERROR(__xludf.DUMMYFUNCTION("""COMPUTED_VALUE"""),1192.89)</f>
        <v>1192.89</v>
      </c>
      <c r="C6487" s="1">
        <f>IFERROR(__xludf.DUMMYFUNCTION("""COMPUTED_VALUE"""),1208.47)</f>
        <v>1208.47</v>
      </c>
      <c r="D6487" s="1">
        <f>IFERROR(__xludf.DUMMYFUNCTION("""COMPUTED_VALUE"""),1184.36)</f>
        <v>1184.36</v>
      </c>
      <c r="E6487" s="1">
        <f>IFERROR(__xludf.DUMMYFUNCTION("""COMPUTED_VALUE"""),1193.88)</f>
        <v>1193.88</v>
      </c>
      <c r="F6487" s="1">
        <f>IFERROR(__xludf.DUMMYFUNCTION("""COMPUTED_VALUE"""),0.0)</f>
        <v>0</v>
      </c>
    </row>
    <row r="6488">
      <c r="A6488" s="2">
        <f>IFERROR(__xludf.DUMMYFUNCTION("""COMPUTED_VALUE"""),40773.666666666664)</f>
        <v>40773.66667</v>
      </c>
      <c r="B6488" s="1">
        <f>IFERROR(__xludf.DUMMYFUNCTION("""COMPUTED_VALUE"""),1189.62)</f>
        <v>1189.62</v>
      </c>
      <c r="C6488" s="1">
        <f>IFERROR(__xludf.DUMMYFUNCTION("""COMPUTED_VALUE"""),1189.62)</f>
        <v>1189.62</v>
      </c>
      <c r="D6488" s="1">
        <f>IFERROR(__xludf.DUMMYFUNCTION("""COMPUTED_VALUE"""),1131.03)</f>
        <v>1131.03</v>
      </c>
      <c r="E6488" s="1">
        <f>IFERROR(__xludf.DUMMYFUNCTION("""COMPUTED_VALUE"""),1140.65)</f>
        <v>1140.65</v>
      </c>
      <c r="F6488" s="1">
        <f>IFERROR(__xludf.DUMMYFUNCTION("""COMPUTED_VALUE"""),0.0)</f>
        <v>0</v>
      </c>
    </row>
    <row r="6489">
      <c r="A6489" s="2">
        <f>IFERROR(__xludf.DUMMYFUNCTION("""COMPUTED_VALUE"""),40774.666666666664)</f>
        <v>40774.66667</v>
      </c>
      <c r="B6489" s="1">
        <f>IFERROR(__xludf.DUMMYFUNCTION("""COMPUTED_VALUE"""),1140.47)</f>
        <v>1140.47</v>
      </c>
      <c r="C6489" s="1">
        <f>IFERROR(__xludf.DUMMYFUNCTION("""COMPUTED_VALUE"""),1154.54)</f>
        <v>1154.54</v>
      </c>
      <c r="D6489" s="1">
        <f>IFERROR(__xludf.DUMMYFUNCTION("""COMPUTED_VALUE"""),1122.05)</f>
        <v>1122.05</v>
      </c>
      <c r="E6489" s="1">
        <f>IFERROR(__xludf.DUMMYFUNCTION("""COMPUTED_VALUE"""),1123.53)</f>
        <v>1123.53</v>
      </c>
      <c r="F6489" s="1">
        <f>IFERROR(__xludf.DUMMYFUNCTION("""COMPUTED_VALUE"""),0.0)</f>
        <v>0</v>
      </c>
    </row>
    <row r="6490">
      <c r="A6490" s="2">
        <f>IFERROR(__xludf.DUMMYFUNCTION("""COMPUTED_VALUE"""),40777.666666666664)</f>
        <v>40777.66667</v>
      </c>
      <c r="B6490" s="1">
        <f>IFERROR(__xludf.DUMMYFUNCTION("""COMPUTED_VALUE"""),1123.55)</f>
        <v>1123.55</v>
      </c>
      <c r="C6490" s="1">
        <f>IFERROR(__xludf.DUMMYFUNCTION("""COMPUTED_VALUE"""),1145.49)</f>
        <v>1145.49</v>
      </c>
      <c r="D6490" s="1">
        <f>IFERROR(__xludf.DUMMYFUNCTION("""COMPUTED_VALUE"""),1121.09)</f>
        <v>1121.09</v>
      </c>
      <c r="E6490" s="1">
        <f>IFERROR(__xludf.DUMMYFUNCTION("""COMPUTED_VALUE"""),1123.82)</f>
        <v>1123.82</v>
      </c>
      <c r="F6490" s="1">
        <f>IFERROR(__xludf.DUMMYFUNCTION("""COMPUTED_VALUE"""),0.0)</f>
        <v>0</v>
      </c>
    </row>
    <row r="6491">
      <c r="A6491" s="2">
        <f>IFERROR(__xludf.DUMMYFUNCTION("""COMPUTED_VALUE"""),40778.666666666664)</f>
        <v>40778.66667</v>
      </c>
      <c r="B6491" s="1">
        <f>IFERROR(__xludf.DUMMYFUNCTION("""COMPUTED_VALUE"""),1124.36)</f>
        <v>1124.36</v>
      </c>
      <c r="C6491" s="1">
        <f>IFERROR(__xludf.DUMMYFUNCTION("""COMPUTED_VALUE"""),1162.35)</f>
        <v>1162.35</v>
      </c>
      <c r="D6491" s="1">
        <f>IFERROR(__xludf.DUMMYFUNCTION("""COMPUTED_VALUE"""),1122.91)</f>
        <v>1122.91</v>
      </c>
      <c r="E6491" s="1">
        <f>IFERROR(__xludf.DUMMYFUNCTION("""COMPUTED_VALUE"""),1162.35)</f>
        <v>1162.35</v>
      </c>
      <c r="F6491" s="1">
        <f>IFERROR(__xludf.DUMMYFUNCTION("""COMPUTED_VALUE"""),0.0)</f>
        <v>0</v>
      </c>
    </row>
    <row r="6492">
      <c r="A6492" s="2">
        <f>IFERROR(__xludf.DUMMYFUNCTION("""COMPUTED_VALUE"""),40779.666666666664)</f>
        <v>40779.66667</v>
      </c>
      <c r="B6492" s="1">
        <f>IFERROR(__xludf.DUMMYFUNCTION("""COMPUTED_VALUE"""),1162.16)</f>
        <v>1162.16</v>
      </c>
      <c r="C6492" s="1">
        <f>IFERROR(__xludf.DUMMYFUNCTION("""COMPUTED_VALUE"""),1178.56)</f>
        <v>1178.56</v>
      </c>
      <c r="D6492" s="1">
        <f>IFERROR(__xludf.DUMMYFUNCTION("""COMPUTED_VALUE"""),1156.3)</f>
        <v>1156.3</v>
      </c>
      <c r="E6492" s="1">
        <f>IFERROR(__xludf.DUMMYFUNCTION("""COMPUTED_VALUE"""),1177.6)</f>
        <v>1177.6</v>
      </c>
      <c r="F6492" s="1">
        <f>IFERROR(__xludf.DUMMYFUNCTION("""COMPUTED_VALUE"""),0.0)</f>
        <v>0</v>
      </c>
    </row>
    <row r="6493">
      <c r="A6493" s="2">
        <f>IFERROR(__xludf.DUMMYFUNCTION("""COMPUTED_VALUE"""),40780.666666666664)</f>
        <v>40780.66667</v>
      </c>
      <c r="B6493" s="1">
        <f>IFERROR(__xludf.DUMMYFUNCTION("""COMPUTED_VALUE"""),1176.69)</f>
        <v>1176.69</v>
      </c>
      <c r="C6493" s="1">
        <f>IFERROR(__xludf.DUMMYFUNCTION("""COMPUTED_VALUE"""),1190.68)</f>
        <v>1190.68</v>
      </c>
      <c r="D6493" s="1">
        <f>IFERROR(__xludf.DUMMYFUNCTION("""COMPUTED_VALUE"""),1155.47)</f>
        <v>1155.47</v>
      </c>
      <c r="E6493" s="1">
        <f>IFERROR(__xludf.DUMMYFUNCTION("""COMPUTED_VALUE"""),1159.27)</f>
        <v>1159.27</v>
      </c>
      <c r="F6493" s="1">
        <f>IFERROR(__xludf.DUMMYFUNCTION("""COMPUTED_VALUE"""),0.0)</f>
        <v>0</v>
      </c>
    </row>
    <row r="6494">
      <c r="A6494" s="2">
        <f>IFERROR(__xludf.DUMMYFUNCTION("""COMPUTED_VALUE"""),40781.666666666664)</f>
        <v>40781.66667</v>
      </c>
      <c r="B6494" s="1">
        <f>IFERROR(__xludf.DUMMYFUNCTION("""COMPUTED_VALUE"""),1158.85)</f>
        <v>1158.85</v>
      </c>
      <c r="C6494" s="1">
        <f>IFERROR(__xludf.DUMMYFUNCTION("""COMPUTED_VALUE"""),1181.23)</f>
        <v>1181.23</v>
      </c>
      <c r="D6494" s="1">
        <f>IFERROR(__xludf.DUMMYFUNCTION("""COMPUTED_VALUE"""),1135.91)</f>
        <v>1135.91</v>
      </c>
      <c r="E6494" s="1">
        <f>IFERROR(__xludf.DUMMYFUNCTION("""COMPUTED_VALUE"""),1176.8)</f>
        <v>1176.8</v>
      </c>
      <c r="F6494" s="1">
        <f>IFERROR(__xludf.DUMMYFUNCTION("""COMPUTED_VALUE"""),0.0)</f>
        <v>0</v>
      </c>
    </row>
    <row r="6495">
      <c r="A6495" s="2">
        <f>IFERROR(__xludf.DUMMYFUNCTION("""COMPUTED_VALUE"""),40784.666666666664)</f>
        <v>40784.66667</v>
      </c>
      <c r="B6495" s="1">
        <f>IFERROR(__xludf.DUMMYFUNCTION("""COMPUTED_VALUE"""),1177.91)</f>
        <v>1177.91</v>
      </c>
      <c r="C6495" s="1">
        <f>IFERROR(__xludf.DUMMYFUNCTION("""COMPUTED_VALUE"""),1210.28)</f>
        <v>1210.28</v>
      </c>
      <c r="D6495" s="1">
        <f>IFERROR(__xludf.DUMMYFUNCTION("""COMPUTED_VALUE"""),1177.91)</f>
        <v>1177.91</v>
      </c>
      <c r="E6495" s="1">
        <f>IFERROR(__xludf.DUMMYFUNCTION("""COMPUTED_VALUE"""),1210.08)</f>
        <v>1210.08</v>
      </c>
      <c r="F6495" s="1">
        <f>IFERROR(__xludf.DUMMYFUNCTION("""COMPUTED_VALUE"""),0.0)</f>
        <v>0</v>
      </c>
    </row>
    <row r="6496">
      <c r="A6496" s="2">
        <f>IFERROR(__xludf.DUMMYFUNCTION("""COMPUTED_VALUE"""),40785.666666666664)</f>
        <v>40785.66667</v>
      </c>
      <c r="B6496" s="1">
        <f>IFERROR(__xludf.DUMMYFUNCTION("""COMPUTED_VALUE"""),1209.76)</f>
        <v>1209.76</v>
      </c>
      <c r="C6496" s="1">
        <f>IFERROR(__xludf.DUMMYFUNCTION("""COMPUTED_VALUE"""),1220.1)</f>
        <v>1220.1</v>
      </c>
      <c r="D6496" s="1">
        <f>IFERROR(__xludf.DUMMYFUNCTION("""COMPUTED_VALUE"""),1195.77)</f>
        <v>1195.77</v>
      </c>
      <c r="E6496" s="1">
        <f>IFERROR(__xludf.DUMMYFUNCTION("""COMPUTED_VALUE"""),1212.92)</f>
        <v>1212.92</v>
      </c>
      <c r="F6496" s="1">
        <f>IFERROR(__xludf.DUMMYFUNCTION("""COMPUTED_VALUE"""),0.0)</f>
        <v>0</v>
      </c>
    </row>
    <row r="6497">
      <c r="A6497" s="2">
        <f>IFERROR(__xludf.DUMMYFUNCTION("""COMPUTED_VALUE"""),40786.666666666664)</f>
        <v>40786.66667</v>
      </c>
      <c r="B6497" s="1">
        <f>IFERROR(__xludf.DUMMYFUNCTION("""COMPUTED_VALUE"""),1213.0)</f>
        <v>1213</v>
      </c>
      <c r="C6497" s="1">
        <f>IFERROR(__xludf.DUMMYFUNCTION("""COMPUTED_VALUE"""),1230.71)</f>
        <v>1230.71</v>
      </c>
      <c r="D6497" s="1">
        <f>IFERROR(__xludf.DUMMYFUNCTION("""COMPUTED_VALUE"""),1209.35)</f>
        <v>1209.35</v>
      </c>
      <c r="E6497" s="1">
        <f>IFERROR(__xludf.DUMMYFUNCTION("""COMPUTED_VALUE"""),1218.89)</f>
        <v>1218.89</v>
      </c>
      <c r="F6497" s="1">
        <f>IFERROR(__xludf.DUMMYFUNCTION("""COMPUTED_VALUE"""),0.0)</f>
        <v>0</v>
      </c>
    </row>
    <row r="6498">
      <c r="A6498" s="2">
        <f>IFERROR(__xludf.DUMMYFUNCTION("""COMPUTED_VALUE"""),40787.666666666664)</f>
        <v>40787.66667</v>
      </c>
      <c r="B6498" s="1">
        <f>IFERROR(__xludf.DUMMYFUNCTION("""COMPUTED_VALUE"""),1219.12)</f>
        <v>1219.12</v>
      </c>
      <c r="C6498" s="1">
        <f>IFERROR(__xludf.DUMMYFUNCTION("""COMPUTED_VALUE"""),1229.29)</f>
        <v>1229.29</v>
      </c>
      <c r="D6498" s="1">
        <f>IFERROR(__xludf.DUMMYFUNCTION("""COMPUTED_VALUE"""),1203.85)</f>
        <v>1203.85</v>
      </c>
      <c r="E6498" s="1">
        <f>IFERROR(__xludf.DUMMYFUNCTION("""COMPUTED_VALUE"""),1204.42)</f>
        <v>1204.42</v>
      </c>
      <c r="F6498" s="1">
        <f>IFERROR(__xludf.DUMMYFUNCTION("""COMPUTED_VALUE"""),0.0)</f>
        <v>0</v>
      </c>
    </row>
    <row r="6499">
      <c r="A6499" s="2">
        <f>IFERROR(__xludf.DUMMYFUNCTION("""COMPUTED_VALUE"""),40788.666666666664)</f>
        <v>40788.66667</v>
      </c>
      <c r="B6499" s="1">
        <f>IFERROR(__xludf.DUMMYFUNCTION("""COMPUTED_VALUE"""),1203.9)</f>
        <v>1203.9</v>
      </c>
      <c r="C6499" s="1">
        <f>IFERROR(__xludf.DUMMYFUNCTION("""COMPUTED_VALUE"""),1203.9)</f>
        <v>1203.9</v>
      </c>
      <c r="D6499" s="1">
        <f>IFERROR(__xludf.DUMMYFUNCTION("""COMPUTED_VALUE"""),1170.56)</f>
        <v>1170.56</v>
      </c>
      <c r="E6499" s="1">
        <f>IFERROR(__xludf.DUMMYFUNCTION("""COMPUTED_VALUE"""),1173.97)</f>
        <v>1173.97</v>
      </c>
      <c r="F6499" s="1">
        <f>IFERROR(__xludf.DUMMYFUNCTION("""COMPUTED_VALUE"""),0.0)</f>
        <v>0</v>
      </c>
    </row>
    <row r="6500">
      <c r="A6500" s="2">
        <f>IFERROR(__xludf.DUMMYFUNCTION("""COMPUTED_VALUE"""),40792.666666666664)</f>
        <v>40792.66667</v>
      </c>
      <c r="B6500" s="1">
        <f>IFERROR(__xludf.DUMMYFUNCTION("""COMPUTED_VALUE"""),1173.97)</f>
        <v>1173.97</v>
      </c>
      <c r="C6500" s="1">
        <f>IFERROR(__xludf.DUMMYFUNCTION("""COMPUTED_VALUE"""),1173.97)</f>
        <v>1173.97</v>
      </c>
      <c r="D6500" s="1">
        <f>IFERROR(__xludf.DUMMYFUNCTION("""COMPUTED_VALUE"""),1140.13)</f>
        <v>1140.13</v>
      </c>
      <c r="E6500" s="1">
        <f>IFERROR(__xludf.DUMMYFUNCTION("""COMPUTED_VALUE"""),1165.24)</f>
        <v>1165.24</v>
      </c>
      <c r="F6500" s="1">
        <f>IFERROR(__xludf.DUMMYFUNCTION("""COMPUTED_VALUE"""),0.0)</f>
        <v>0</v>
      </c>
    </row>
    <row r="6501">
      <c r="A6501" s="2">
        <f>IFERROR(__xludf.DUMMYFUNCTION("""COMPUTED_VALUE"""),40793.666666666664)</f>
        <v>40793.66667</v>
      </c>
      <c r="B6501" s="1">
        <f>IFERROR(__xludf.DUMMYFUNCTION("""COMPUTED_VALUE"""),1165.85)</f>
        <v>1165.85</v>
      </c>
      <c r="C6501" s="1">
        <f>IFERROR(__xludf.DUMMYFUNCTION("""COMPUTED_VALUE"""),1198.62)</f>
        <v>1198.62</v>
      </c>
      <c r="D6501" s="1">
        <f>IFERROR(__xludf.DUMMYFUNCTION("""COMPUTED_VALUE"""),1165.85)</f>
        <v>1165.85</v>
      </c>
      <c r="E6501" s="1">
        <f>IFERROR(__xludf.DUMMYFUNCTION("""COMPUTED_VALUE"""),1198.62)</f>
        <v>1198.62</v>
      </c>
      <c r="F6501" s="1">
        <f>IFERROR(__xludf.DUMMYFUNCTION("""COMPUTED_VALUE"""),0.0)</f>
        <v>0</v>
      </c>
    </row>
    <row r="6502">
      <c r="A6502" s="2">
        <f>IFERROR(__xludf.DUMMYFUNCTION("""COMPUTED_VALUE"""),40794.666666666664)</f>
        <v>40794.66667</v>
      </c>
      <c r="B6502" s="1">
        <f>IFERROR(__xludf.DUMMYFUNCTION("""COMPUTED_VALUE"""),1197.98)</f>
        <v>1197.98</v>
      </c>
      <c r="C6502" s="1">
        <f>IFERROR(__xludf.DUMMYFUNCTION("""COMPUTED_VALUE"""),1204.4)</f>
        <v>1204.4</v>
      </c>
      <c r="D6502" s="1">
        <f>IFERROR(__xludf.DUMMYFUNCTION("""COMPUTED_VALUE"""),1183.34)</f>
        <v>1183.34</v>
      </c>
      <c r="E6502" s="1">
        <f>IFERROR(__xludf.DUMMYFUNCTION("""COMPUTED_VALUE"""),1185.9)</f>
        <v>1185.9</v>
      </c>
      <c r="F6502" s="1">
        <f>IFERROR(__xludf.DUMMYFUNCTION("""COMPUTED_VALUE"""),0.0)</f>
        <v>0</v>
      </c>
    </row>
    <row r="6503">
      <c r="A6503" s="2">
        <f>IFERROR(__xludf.DUMMYFUNCTION("""COMPUTED_VALUE"""),40795.666666666664)</f>
        <v>40795.66667</v>
      </c>
      <c r="B6503" s="1">
        <f>IFERROR(__xludf.DUMMYFUNCTION("""COMPUTED_VALUE"""),1185.37)</f>
        <v>1185.37</v>
      </c>
      <c r="C6503" s="1">
        <f>IFERROR(__xludf.DUMMYFUNCTION("""COMPUTED_VALUE"""),1185.37)</f>
        <v>1185.37</v>
      </c>
      <c r="D6503" s="1">
        <f>IFERROR(__xludf.DUMMYFUNCTION("""COMPUTED_VALUE"""),1148.37)</f>
        <v>1148.37</v>
      </c>
      <c r="E6503" s="1">
        <f>IFERROR(__xludf.DUMMYFUNCTION("""COMPUTED_VALUE"""),1154.23)</f>
        <v>1154.23</v>
      </c>
      <c r="F6503" s="1">
        <f>IFERROR(__xludf.DUMMYFUNCTION("""COMPUTED_VALUE"""),0.0)</f>
        <v>0</v>
      </c>
    </row>
    <row r="6504">
      <c r="A6504" s="2">
        <f>IFERROR(__xludf.DUMMYFUNCTION("""COMPUTED_VALUE"""),40798.666666666664)</f>
        <v>40798.66667</v>
      </c>
      <c r="B6504" s="1">
        <f>IFERROR(__xludf.DUMMYFUNCTION("""COMPUTED_VALUE"""),1153.5)</f>
        <v>1153.5</v>
      </c>
      <c r="C6504" s="1">
        <f>IFERROR(__xludf.DUMMYFUNCTION("""COMPUTED_VALUE"""),1162.52)</f>
        <v>1162.52</v>
      </c>
      <c r="D6504" s="1">
        <f>IFERROR(__xludf.DUMMYFUNCTION("""COMPUTED_VALUE"""),1136.07)</f>
        <v>1136.07</v>
      </c>
      <c r="E6504" s="1">
        <f>IFERROR(__xludf.DUMMYFUNCTION("""COMPUTED_VALUE"""),1162.27)</f>
        <v>1162.27</v>
      </c>
      <c r="F6504" s="1">
        <f>IFERROR(__xludf.DUMMYFUNCTION("""COMPUTED_VALUE"""),0.0)</f>
        <v>0</v>
      </c>
    </row>
    <row r="6505">
      <c r="A6505" s="2">
        <f>IFERROR(__xludf.DUMMYFUNCTION("""COMPUTED_VALUE"""),40799.666666666664)</f>
        <v>40799.66667</v>
      </c>
      <c r="B6505" s="1">
        <f>IFERROR(__xludf.DUMMYFUNCTION("""COMPUTED_VALUE"""),1162.59)</f>
        <v>1162.59</v>
      </c>
      <c r="C6505" s="1">
        <f>IFERROR(__xludf.DUMMYFUNCTION("""COMPUTED_VALUE"""),1176.41)</f>
        <v>1176.41</v>
      </c>
      <c r="D6505" s="1">
        <f>IFERROR(__xludf.DUMMYFUNCTION("""COMPUTED_VALUE"""),1157.44)</f>
        <v>1157.44</v>
      </c>
      <c r="E6505" s="1">
        <f>IFERROR(__xludf.DUMMYFUNCTION("""COMPUTED_VALUE"""),1172.87)</f>
        <v>1172.87</v>
      </c>
      <c r="F6505" s="1">
        <f>IFERROR(__xludf.DUMMYFUNCTION("""COMPUTED_VALUE"""),0.0)</f>
        <v>0</v>
      </c>
    </row>
    <row r="6506">
      <c r="A6506" s="2">
        <f>IFERROR(__xludf.DUMMYFUNCTION("""COMPUTED_VALUE"""),40800.666666666664)</f>
        <v>40800.66667</v>
      </c>
      <c r="B6506" s="1">
        <f>IFERROR(__xludf.DUMMYFUNCTION("""COMPUTED_VALUE"""),1173.32)</f>
        <v>1173.32</v>
      </c>
      <c r="C6506" s="1">
        <f>IFERROR(__xludf.DUMMYFUNCTION("""COMPUTED_VALUE"""),1202.38)</f>
        <v>1202.38</v>
      </c>
      <c r="D6506" s="1">
        <f>IFERROR(__xludf.DUMMYFUNCTION("""COMPUTED_VALUE"""),1162.73)</f>
        <v>1162.73</v>
      </c>
      <c r="E6506" s="1">
        <f>IFERROR(__xludf.DUMMYFUNCTION("""COMPUTED_VALUE"""),1188.68)</f>
        <v>1188.68</v>
      </c>
      <c r="F6506" s="1">
        <f>IFERROR(__xludf.DUMMYFUNCTION("""COMPUTED_VALUE"""),0.0)</f>
        <v>0</v>
      </c>
    </row>
    <row r="6507">
      <c r="A6507" s="2">
        <f>IFERROR(__xludf.DUMMYFUNCTION("""COMPUTED_VALUE"""),40801.666666666664)</f>
        <v>40801.66667</v>
      </c>
      <c r="B6507" s="1">
        <f>IFERROR(__xludf.DUMMYFUNCTION("""COMPUTED_VALUE"""),1189.44)</f>
        <v>1189.44</v>
      </c>
      <c r="C6507" s="1">
        <f>IFERROR(__xludf.DUMMYFUNCTION("""COMPUTED_VALUE"""),1209.11)</f>
        <v>1209.11</v>
      </c>
      <c r="D6507" s="1">
        <f>IFERROR(__xludf.DUMMYFUNCTION("""COMPUTED_VALUE"""),1189.44)</f>
        <v>1189.44</v>
      </c>
      <c r="E6507" s="1">
        <f>IFERROR(__xludf.DUMMYFUNCTION("""COMPUTED_VALUE"""),1209.11)</f>
        <v>1209.11</v>
      </c>
      <c r="F6507" s="1">
        <f>IFERROR(__xludf.DUMMYFUNCTION("""COMPUTED_VALUE"""),0.0)</f>
        <v>0</v>
      </c>
    </row>
    <row r="6508">
      <c r="A6508" s="2">
        <f>IFERROR(__xludf.DUMMYFUNCTION("""COMPUTED_VALUE"""),40802.666666666664)</f>
        <v>40802.66667</v>
      </c>
      <c r="B6508" s="1">
        <f>IFERROR(__xludf.DUMMYFUNCTION("""COMPUTED_VALUE"""),1209.21)</f>
        <v>1209.21</v>
      </c>
      <c r="C6508" s="1">
        <f>IFERROR(__xludf.DUMMYFUNCTION("""COMPUTED_VALUE"""),1220.06)</f>
        <v>1220.06</v>
      </c>
      <c r="D6508" s="1">
        <f>IFERROR(__xludf.DUMMYFUNCTION("""COMPUTED_VALUE"""),1204.46)</f>
        <v>1204.46</v>
      </c>
      <c r="E6508" s="1">
        <f>IFERROR(__xludf.DUMMYFUNCTION("""COMPUTED_VALUE"""),1216.01)</f>
        <v>1216.01</v>
      </c>
      <c r="F6508" s="1">
        <f>IFERROR(__xludf.DUMMYFUNCTION("""COMPUTED_VALUE"""),0.0)</f>
        <v>0</v>
      </c>
    </row>
    <row r="6509">
      <c r="A6509" s="2">
        <f>IFERROR(__xludf.DUMMYFUNCTION("""COMPUTED_VALUE"""),40805.666666666664)</f>
        <v>40805.66667</v>
      </c>
      <c r="B6509" s="1">
        <f>IFERROR(__xludf.DUMMYFUNCTION("""COMPUTED_VALUE"""),1214.99)</f>
        <v>1214.99</v>
      </c>
      <c r="C6509" s="1">
        <f>IFERROR(__xludf.DUMMYFUNCTION("""COMPUTED_VALUE"""),1214.99)</f>
        <v>1214.99</v>
      </c>
      <c r="D6509" s="1">
        <f>IFERROR(__xludf.DUMMYFUNCTION("""COMPUTED_VALUE"""),1188.36)</f>
        <v>1188.36</v>
      </c>
      <c r="E6509" s="1">
        <f>IFERROR(__xludf.DUMMYFUNCTION("""COMPUTED_VALUE"""),1204.09)</f>
        <v>1204.09</v>
      </c>
      <c r="F6509" s="1">
        <f>IFERROR(__xludf.DUMMYFUNCTION("""COMPUTED_VALUE"""),0.0)</f>
        <v>0</v>
      </c>
    </row>
    <row r="6510">
      <c r="A6510" s="2">
        <f>IFERROR(__xludf.DUMMYFUNCTION("""COMPUTED_VALUE"""),40806.666666666664)</f>
        <v>40806.66667</v>
      </c>
      <c r="B6510" s="1">
        <f>IFERROR(__xludf.DUMMYFUNCTION("""COMPUTED_VALUE"""),1204.5)</f>
        <v>1204.5</v>
      </c>
      <c r="C6510" s="1">
        <f>IFERROR(__xludf.DUMMYFUNCTION("""COMPUTED_VALUE"""),1220.39)</f>
        <v>1220.39</v>
      </c>
      <c r="D6510" s="1">
        <f>IFERROR(__xludf.DUMMYFUNCTION("""COMPUTED_VALUE"""),1201.29)</f>
        <v>1201.29</v>
      </c>
      <c r="E6510" s="1">
        <f>IFERROR(__xludf.DUMMYFUNCTION("""COMPUTED_VALUE"""),1202.09)</f>
        <v>1202.09</v>
      </c>
      <c r="F6510" s="1">
        <f>IFERROR(__xludf.DUMMYFUNCTION("""COMPUTED_VALUE"""),0.0)</f>
        <v>0</v>
      </c>
    </row>
    <row r="6511">
      <c r="A6511" s="2">
        <f>IFERROR(__xludf.DUMMYFUNCTION("""COMPUTED_VALUE"""),40807.666666666664)</f>
        <v>40807.66667</v>
      </c>
      <c r="B6511" s="1">
        <f>IFERROR(__xludf.DUMMYFUNCTION("""COMPUTED_VALUE"""),1203.63)</f>
        <v>1203.63</v>
      </c>
      <c r="C6511" s="1">
        <f>IFERROR(__xludf.DUMMYFUNCTION("""COMPUTED_VALUE"""),1206.3)</f>
        <v>1206.3</v>
      </c>
      <c r="D6511" s="1">
        <f>IFERROR(__xludf.DUMMYFUNCTION("""COMPUTED_VALUE"""),1166.21)</f>
        <v>1166.21</v>
      </c>
      <c r="E6511" s="1">
        <f>IFERROR(__xludf.DUMMYFUNCTION("""COMPUTED_VALUE"""),1166.76)</f>
        <v>1166.76</v>
      </c>
      <c r="F6511" s="1">
        <f>IFERROR(__xludf.DUMMYFUNCTION("""COMPUTED_VALUE"""),0.0)</f>
        <v>0</v>
      </c>
    </row>
    <row r="6512">
      <c r="A6512" s="2">
        <f>IFERROR(__xludf.DUMMYFUNCTION("""COMPUTED_VALUE"""),40808.666666666664)</f>
        <v>40808.66667</v>
      </c>
      <c r="B6512" s="1">
        <f>IFERROR(__xludf.DUMMYFUNCTION("""COMPUTED_VALUE"""),1164.55)</f>
        <v>1164.55</v>
      </c>
      <c r="C6512" s="1">
        <f>IFERROR(__xludf.DUMMYFUNCTION("""COMPUTED_VALUE"""),1164.55)</f>
        <v>1164.55</v>
      </c>
      <c r="D6512" s="1">
        <f>IFERROR(__xludf.DUMMYFUNCTION("""COMPUTED_VALUE"""),1114.22)</f>
        <v>1114.22</v>
      </c>
      <c r="E6512" s="1">
        <f>IFERROR(__xludf.DUMMYFUNCTION("""COMPUTED_VALUE"""),1129.56)</f>
        <v>1129.56</v>
      </c>
      <c r="F6512" s="1">
        <f>IFERROR(__xludf.DUMMYFUNCTION("""COMPUTED_VALUE"""),0.0)</f>
        <v>0</v>
      </c>
    </row>
    <row r="6513">
      <c r="A6513" s="2">
        <f>IFERROR(__xludf.DUMMYFUNCTION("""COMPUTED_VALUE"""),40809.666666666664)</f>
        <v>40809.66667</v>
      </c>
      <c r="B6513" s="1">
        <f>IFERROR(__xludf.DUMMYFUNCTION("""COMPUTED_VALUE"""),1128.82)</f>
        <v>1128.82</v>
      </c>
      <c r="C6513" s="1">
        <f>IFERROR(__xludf.DUMMYFUNCTION("""COMPUTED_VALUE"""),1141.72)</f>
        <v>1141.72</v>
      </c>
      <c r="D6513" s="1">
        <f>IFERROR(__xludf.DUMMYFUNCTION("""COMPUTED_VALUE"""),1121.36)</f>
        <v>1121.36</v>
      </c>
      <c r="E6513" s="1">
        <f>IFERROR(__xludf.DUMMYFUNCTION("""COMPUTED_VALUE"""),1136.43)</f>
        <v>1136.43</v>
      </c>
      <c r="F6513" s="1">
        <f>IFERROR(__xludf.DUMMYFUNCTION("""COMPUTED_VALUE"""),0.0)</f>
        <v>0</v>
      </c>
    </row>
    <row r="6514">
      <c r="A6514" s="2">
        <f>IFERROR(__xludf.DUMMYFUNCTION("""COMPUTED_VALUE"""),40812.666666666664)</f>
        <v>40812.66667</v>
      </c>
      <c r="B6514" s="1">
        <f>IFERROR(__xludf.DUMMYFUNCTION("""COMPUTED_VALUE"""),1136.91)</f>
        <v>1136.91</v>
      </c>
      <c r="C6514" s="1">
        <f>IFERROR(__xludf.DUMMYFUNCTION("""COMPUTED_VALUE"""),1164.19)</f>
        <v>1164.19</v>
      </c>
      <c r="D6514" s="1">
        <f>IFERROR(__xludf.DUMMYFUNCTION("""COMPUTED_VALUE"""),1131.07)</f>
        <v>1131.07</v>
      </c>
      <c r="E6514" s="1">
        <f>IFERROR(__xludf.DUMMYFUNCTION("""COMPUTED_VALUE"""),1162.95)</f>
        <v>1162.95</v>
      </c>
      <c r="F6514" s="1">
        <f>IFERROR(__xludf.DUMMYFUNCTION("""COMPUTED_VALUE"""),0.0)</f>
        <v>0</v>
      </c>
    </row>
    <row r="6515">
      <c r="A6515" s="2">
        <f>IFERROR(__xludf.DUMMYFUNCTION("""COMPUTED_VALUE"""),40813.666666666664)</f>
        <v>40813.66667</v>
      </c>
      <c r="B6515" s="1">
        <f>IFERROR(__xludf.DUMMYFUNCTION("""COMPUTED_VALUE"""),1163.32)</f>
        <v>1163.32</v>
      </c>
      <c r="C6515" s="1">
        <f>IFERROR(__xludf.DUMMYFUNCTION("""COMPUTED_VALUE"""),1195.86)</f>
        <v>1195.86</v>
      </c>
      <c r="D6515" s="1">
        <f>IFERROR(__xludf.DUMMYFUNCTION("""COMPUTED_VALUE"""),1163.32)</f>
        <v>1163.32</v>
      </c>
      <c r="E6515" s="1">
        <f>IFERROR(__xludf.DUMMYFUNCTION("""COMPUTED_VALUE"""),1175.38)</f>
        <v>1175.38</v>
      </c>
      <c r="F6515" s="1">
        <f>IFERROR(__xludf.DUMMYFUNCTION("""COMPUTED_VALUE"""),0.0)</f>
        <v>0</v>
      </c>
    </row>
    <row r="6516">
      <c r="A6516" s="2">
        <f>IFERROR(__xludf.DUMMYFUNCTION("""COMPUTED_VALUE"""),40814.666666666664)</f>
        <v>40814.66667</v>
      </c>
      <c r="B6516" s="1">
        <f>IFERROR(__xludf.DUMMYFUNCTION("""COMPUTED_VALUE"""),1175.39)</f>
        <v>1175.39</v>
      </c>
      <c r="C6516" s="1">
        <f>IFERROR(__xludf.DUMMYFUNCTION("""COMPUTED_VALUE"""),1184.71)</f>
        <v>1184.71</v>
      </c>
      <c r="D6516" s="1">
        <f>IFERROR(__xludf.DUMMYFUNCTION("""COMPUTED_VALUE"""),1150.4)</f>
        <v>1150.4</v>
      </c>
      <c r="E6516" s="1">
        <f>IFERROR(__xludf.DUMMYFUNCTION("""COMPUTED_VALUE"""),1151.06)</f>
        <v>1151.06</v>
      </c>
      <c r="F6516" s="1">
        <f>IFERROR(__xludf.DUMMYFUNCTION("""COMPUTED_VALUE"""),0.0)</f>
        <v>0</v>
      </c>
    </row>
    <row r="6517">
      <c r="A6517" s="2">
        <f>IFERROR(__xludf.DUMMYFUNCTION("""COMPUTED_VALUE"""),40815.666666666664)</f>
        <v>40815.66667</v>
      </c>
      <c r="B6517" s="1">
        <f>IFERROR(__xludf.DUMMYFUNCTION("""COMPUTED_VALUE"""),1151.74)</f>
        <v>1151.74</v>
      </c>
      <c r="C6517" s="1">
        <f>IFERROR(__xludf.DUMMYFUNCTION("""COMPUTED_VALUE"""),1175.87)</f>
        <v>1175.87</v>
      </c>
      <c r="D6517" s="1">
        <f>IFERROR(__xludf.DUMMYFUNCTION("""COMPUTED_VALUE"""),1139.93)</f>
        <v>1139.93</v>
      </c>
      <c r="E6517" s="1">
        <f>IFERROR(__xludf.DUMMYFUNCTION("""COMPUTED_VALUE"""),1160.4)</f>
        <v>1160.4</v>
      </c>
      <c r="F6517" s="1">
        <f>IFERROR(__xludf.DUMMYFUNCTION("""COMPUTED_VALUE"""),0.0)</f>
        <v>0</v>
      </c>
    </row>
    <row r="6518">
      <c r="A6518" s="2">
        <f>IFERROR(__xludf.DUMMYFUNCTION("""COMPUTED_VALUE"""),40816.666666666664)</f>
        <v>40816.66667</v>
      </c>
      <c r="B6518" s="1">
        <f>IFERROR(__xludf.DUMMYFUNCTION("""COMPUTED_VALUE"""),1159.93)</f>
        <v>1159.93</v>
      </c>
      <c r="C6518" s="1">
        <f>IFERROR(__xludf.DUMMYFUNCTION("""COMPUTED_VALUE"""),1159.93)</f>
        <v>1159.93</v>
      </c>
      <c r="D6518" s="1">
        <f>IFERROR(__xludf.DUMMYFUNCTION("""COMPUTED_VALUE"""),1131.34)</f>
        <v>1131.34</v>
      </c>
      <c r="E6518" s="1">
        <f>IFERROR(__xludf.DUMMYFUNCTION("""COMPUTED_VALUE"""),1131.42)</f>
        <v>1131.42</v>
      </c>
      <c r="F6518" s="1">
        <f>IFERROR(__xludf.DUMMYFUNCTION("""COMPUTED_VALUE"""),0.0)</f>
        <v>0</v>
      </c>
    </row>
    <row r="6519">
      <c r="A6519" s="2">
        <f>IFERROR(__xludf.DUMMYFUNCTION("""COMPUTED_VALUE"""),40819.666666666664)</f>
        <v>40819.66667</v>
      </c>
      <c r="B6519" s="1">
        <f>IFERROR(__xludf.DUMMYFUNCTION("""COMPUTED_VALUE"""),1131.21)</f>
        <v>1131.21</v>
      </c>
      <c r="C6519" s="1">
        <f>IFERROR(__xludf.DUMMYFUNCTION("""COMPUTED_VALUE"""),1138.99)</f>
        <v>1138.99</v>
      </c>
      <c r="D6519" s="1">
        <f>IFERROR(__xludf.DUMMYFUNCTION("""COMPUTED_VALUE"""),1098.92)</f>
        <v>1098.92</v>
      </c>
      <c r="E6519" s="1">
        <f>IFERROR(__xludf.DUMMYFUNCTION("""COMPUTED_VALUE"""),1099.23)</f>
        <v>1099.23</v>
      </c>
      <c r="F6519" s="1">
        <f>IFERROR(__xludf.DUMMYFUNCTION("""COMPUTED_VALUE"""),0.0)</f>
        <v>0</v>
      </c>
    </row>
    <row r="6520">
      <c r="A6520" s="2">
        <f>IFERROR(__xludf.DUMMYFUNCTION("""COMPUTED_VALUE"""),40820.666666666664)</f>
        <v>40820.66667</v>
      </c>
      <c r="B6520" s="1">
        <f>IFERROR(__xludf.DUMMYFUNCTION("""COMPUTED_VALUE"""),1097.42)</f>
        <v>1097.42</v>
      </c>
      <c r="C6520" s="1">
        <f>IFERROR(__xludf.DUMMYFUNCTION("""COMPUTED_VALUE"""),1125.12)</f>
        <v>1125.12</v>
      </c>
      <c r="D6520" s="1">
        <f>IFERROR(__xludf.DUMMYFUNCTION("""COMPUTED_VALUE"""),1074.77)</f>
        <v>1074.77</v>
      </c>
      <c r="E6520" s="1">
        <f>IFERROR(__xludf.DUMMYFUNCTION("""COMPUTED_VALUE"""),1123.95)</f>
        <v>1123.95</v>
      </c>
      <c r="F6520" s="1">
        <f>IFERROR(__xludf.DUMMYFUNCTION("""COMPUTED_VALUE"""),0.0)</f>
        <v>0</v>
      </c>
    </row>
    <row r="6521">
      <c r="A6521" s="2">
        <f>IFERROR(__xludf.DUMMYFUNCTION("""COMPUTED_VALUE"""),40821.666666666664)</f>
        <v>40821.66667</v>
      </c>
      <c r="B6521" s="1">
        <f>IFERROR(__xludf.DUMMYFUNCTION("""COMPUTED_VALUE"""),1124.03)</f>
        <v>1124.03</v>
      </c>
      <c r="C6521" s="1">
        <f>IFERROR(__xludf.DUMMYFUNCTION("""COMPUTED_VALUE"""),1146.07)</f>
        <v>1146.07</v>
      </c>
      <c r="D6521" s="1">
        <f>IFERROR(__xludf.DUMMYFUNCTION("""COMPUTED_VALUE"""),1115.68)</f>
        <v>1115.68</v>
      </c>
      <c r="E6521" s="1">
        <f>IFERROR(__xludf.DUMMYFUNCTION("""COMPUTED_VALUE"""),1144.04)</f>
        <v>1144.04</v>
      </c>
      <c r="F6521" s="1">
        <f>IFERROR(__xludf.DUMMYFUNCTION("""COMPUTED_VALUE"""),0.0)</f>
        <v>0</v>
      </c>
    </row>
    <row r="6522">
      <c r="A6522" s="2">
        <f>IFERROR(__xludf.DUMMYFUNCTION("""COMPUTED_VALUE"""),40822.666666666664)</f>
        <v>40822.66667</v>
      </c>
      <c r="B6522" s="1">
        <f>IFERROR(__xludf.DUMMYFUNCTION("""COMPUTED_VALUE"""),1144.11)</f>
        <v>1144.11</v>
      </c>
      <c r="C6522" s="1">
        <f>IFERROR(__xludf.DUMMYFUNCTION("""COMPUTED_VALUE"""),1165.55)</f>
        <v>1165.55</v>
      </c>
      <c r="D6522" s="1">
        <f>IFERROR(__xludf.DUMMYFUNCTION("""COMPUTED_VALUE"""),1134.95)</f>
        <v>1134.95</v>
      </c>
      <c r="E6522" s="1">
        <f>IFERROR(__xludf.DUMMYFUNCTION("""COMPUTED_VALUE"""),1164.97)</f>
        <v>1164.97</v>
      </c>
      <c r="F6522" s="1">
        <f>IFERROR(__xludf.DUMMYFUNCTION("""COMPUTED_VALUE"""),0.0)</f>
        <v>0</v>
      </c>
    </row>
    <row r="6523">
      <c r="A6523" s="2">
        <f>IFERROR(__xludf.DUMMYFUNCTION("""COMPUTED_VALUE"""),40823.666666666664)</f>
        <v>40823.66667</v>
      </c>
      <c r="B6523" s="1">
        <f>IFERROR(__xludf.DUMMYFUNCTION("""COMPUTED_VALUE"""),1165.03)</f>
        <v>1165.03</v>
      </c>
      <c r="C6523" s="1">
        <f>IFERROR(__xludf.DUMMYFUNCTION("""COMPUTED_VALUE"""),1171.4)</f>
        <v>1171.4</v>
      </c>
      <c r="D6523" s="1">
        <f>IFERROR(__xludf.DUMMYFUNCTION("""COMPUTED_VALUE"""),1150.26)</f>
        <v>1150.26</v>
      </c>
      <c r="E6523" s="1">
        <f>IFERROR(__xludf.DUMMYFUNCTION("""COMPUTED_VALUE"""),1155.46)</f>
        <v>1155.46</v>
      </c>
      <c r="F6523" s="1">
        <f>IFERROR(__xludf.DUMMYFUNCTION("""COMPUTED_VALUE"""),0.0)</f>
        <v>0</v>
      </c>
    </row>
    <row r="6524">
      <c r="A6524" s="2">
        <f>IFERROR(__xludf.DUMMYFUNCTION("""COMPUTED_VALUE"""),40826.666666666664)</f>
        <v>40826.66667</v>
      </c>
      <c r="B6524" s="1">
        <f>IFERROR(__xludf.DUMMYFUNCTION("""COMPUTED_VALUE"""),1158.15)</f>
        <v>1158.15</v>
      </c>
      <c r="C6524" s="1">
        <f>IFERROR(__xludf.DUMMYFUNCTION("""COMPUTED_VALUE"""),1194.91)</f>
        <v>1194.91</v>
      </c>
      <c r="D6524" s="1">
        <f>IFERROR(__xludf.DUMMYFUNCTION("""COMPUTED_VALUE"""),1158.15)</f>
        <v>1158.15</v>
      </c>
      <c r="E6524" s="1">
        <f>IFERROR(__xludf.DUMMYFUNCTION("""COMPUTED_VALUE"""),1194.89)</f>
        <v>1194.89</v>
      </c>
      <c r="F6524" s="1">
        <f>IFERROR(__xludf.DUMMYFUNCTION("""COMPUTED_VALUE"""),0.0)</f>
        <v>0</v>
      </c>
    </row>
    <row r="6525">
      <c r="A6525" s="2">
        <f>IFERROR(__xludf.DUMMYFUNCTION("""COMPUTED_VALUE"""),40827.666666666664)</f>
        <v>40827.66667</v>
      </c>
      <c r="B6525" s="1">
        <f>IFERROR(__xludf.DUMMYFUNCTION("""COMPUTED_VALUE"""),1194.6)</f>
        <v>1194.6</v>
      </c>
      <c r="C6525" s="1">
        <f>IFERROR(__xludf.DUMMYFUNCTION("""COMPUTED_VALUE"""),1199.24)</f>
        <v>1199.24</v>
      </c>
      <c r="D6525" s="1">
        <f>IFERROR(__xludf.DUMMYFUNCTION("""COMPUTED_VALUE"""),1187.3)</f>
        <v>1187.3</v>
      </c>
      <c r="E6525" s="1">
        <f>IFERROR(__xludf.DUMMYFUNCTION("""COMPUTED_VALUE"""),1195.54)</f>
        <v>1195.54</v>
      </c>
      <c r="F6525" s="1">
        <f>IFERROR(__xludf.DUMMYFUNCTION("""COMPUTED_VALUE"""),0.0)</f>
        <v>0</v>
      </c>
    </row>
    <row r="6526">
      <c r="A6526" s="2">
        <f>IFERROR(__xludf.DUMMYFUNCTION("""COMPUTED_VALUE"""),40828.666666666664)</f>
        <v>40828.66667</v>
      </c>
      <c r="B6526" s="1">
        <f>IFERROR(__xludf.DUMMYFUNCTION("""COMPUTED_VALUE"""),1196.19)</f>
        <v>1196.19</v>
      </c>
      <c r="C6526" s="1">
        <f>IFERROR(__xludf.DUMMYFUNCTION("""COMPUTED_VALUE"""),1220.25)</f>
        <v>1220.25</v>
      </c>
      <c r="D6526" s="1">
        <f>IFERROR(__xludf.DUMMYFUNCTION("""COMPUTED_VALUE"""),1196.19)</f>
        <v>1196.19</v>
      </c>
      <c r="E6526" s="1">
        <f>IFERROR(__xludf.DUMMYFUNCTION("""COMPUTED_VALUE"""),1207.25)</f>
        <v>1207.25</v>
      </c>
      <c r="F6526" s="1">
        <f>IFERROR(__xludf.DUMMYFUNCTION("""COMPUTED_VALUE"""),0.0)</f>
        <v>0</v>
      </c>
    </row>
    <row r="6527">
      <c r="A6527" s="2">
        <f>IFERROR(__xludf.DUMMYFUNCTION("""COMPUTED_VALUE"""),40829.666666666664)</f>
        <v>40829.66667</v>
      </c>
      <c r="B6527" s="1">
        <f>IFERROR(__xludf.DUMMYFUNCTION("""COMPUTED_VALUE"""),1206.96)</f>
        <v>1206.96</v>
      </c>
      <c r="C6527" s="1">
        <f>IFERROR(__xludf.DUMMYFUNCTION("""COMPUTED_VALUE"""),1207.46)</f>
        <v>1207.46</v>
      </c>
      <c r="D6527" s="1">
        <f>IFERROR(__xludf.DUMMYFUNCTION("""COMPUTED_VALUE"""),1190.58)</f>
        <v>1190.58</v>
      </c>
      <c r="E6527" s="1">
        <f>IFERROR(__xludf.DUMMYFUNCTION("""COMPUTED_VALUE"""),1203.66)</f>
        <v>1203.66</v>
      </c>
      <c r="F6527" s="1">
        <f>IFERROR(__xludf.DUMMYFUNCTION("""COMPUTED_VALUE"""),0.0)</f>
        <v>0</v>
      </c>
    </row>
    <row r="6528">
      <c r="A6528" s="2">
        <f>IFERROR(__xludf.DUMMYFUNCTION("""COMPUTED_VALUE"""),40830.666666666664)</f>
        <v>40830.66667</v>
      </c>
      <c r="B6528" s="1">
        <f>IFERROR(__xludf.DUMMYFUNCTION("""COMPUTED_VALUE"""),1205.65)</f>
        <v>1205.65</v>
      </c>
      <c r="C6528" s="1">
        <f>IFERROR(__xludf.DUMMYFUNCTION("""COMPUTED_VALUE"""),1224.61)</f>
        <v>1224.61</v>
      </c>
      <c r="D6528" s="1">
        <f>IFERROR(__xludf.DUMMYFUNCTION("""COMPUTED_VALUE"""),1205.65)</f>
        <v>1205.65</v>
      </c>
      <c r="E6528" s="1">
        <f>IFERROR(__xludf.DUMMYFUNCTION("""COMPUTED_VALUE"""),1224.58)</f>
        <v>1224.58</v>
      </c>
      <c r="F6528" s="1">
        <f>IFERROR(__xludf.DUMMYFUNCTION("""COMPUTED_VALUE"""),0.0)</f>
        <v>0</v>
      </c>
    </row>
    <row r="6529">
      <c r="A6529" s="2">
        <f>IFERROR(__xludf.DUMMYFUNCTION("""COMPUTED_VALUE"""),40833.666666666664)</f>
        <v>40833.66667</v>
      </c>
      <c r="B6529" s="1">
        <f>IFERROR(__xludf.DUMMYFUNCTION("""COMPUTED_VALUE"""),1224.47)</f>
        <v>1224.47</v>
      </c>
      <c r="C6529" s="1">
        <f>IFERROR(__xludf.DUMMYFUNCTION("""COMPUTED_VALUE"""),1224.47)</f>
        <v>1224.47</v>
      </c>
      <c r="D6529" s="1">
        <f>IFERROR(__xludf.DUMMYFUNCTION("""COMPUTED_VALUE"""),1198.55)</f>
        <v>1198.55</v>
      </c>
      <c r="E6529" s="1">
        <f>IFERROR(__xludf.DUMMYFUNCTION("""COMPUTED_VALUE"""),1200.86)</f>
        <v>1200.86</v>
      </c>
      <c r="F6529" s="1">
        <f>IFERROR(__xludf.DUMMYFUNCTION("""COMPUTED_VALUE"""),0.0)</f>
        <v>0</v>
      </c>
    </row>
    <row r="6530">
      <c r="A6530" s="2">
        <f>IFERROR(__xludf.DUMMYFUNCTION("""COMPUTED_VALUE"""),40834.666666666664)</f>
        <v>40834.66667</v>
      </c>
      <c r="B6530" s="1">
        <f>IFERROR(__xludf.DUMMYFUNCTION("""COMPUTED_VALUE"""),1200.75)</f>
        <v>1200.75</v>
      </c>
      <c r="C6530" s="1">
        <f>IFERROR(__xludf.DUMMYFUNCTION("""COMPUTED_VALUE"""),1233.1)</f>
        <v>1233.1</v>
      </c>
      <c r="D6530" s="1">
        <f>IFERROR(__xludf.DUMMYFUNCTION("""COMPUTED_VALUE"""),1191.48)</f>
        <v>1191.48</v>
      </c>
      <c r="E6530" s="1">
        <f>IFERROR(__xludf.DUMMYFUNCTION("""COMPUTED_VALUE"""),1225.38)</f>
        <v>1225.38</v>
      </c>
      <c r="F6530" s="1">
        <f>IFERROR(__xludf.DUMMYFUNCTION("""COMPUTED_VALUE"""),0.0)</f>
        <v>0</v>
      </c>
    </row>
    <row r="6531">
      <c r="A6531" s="2">
        <f>IFERROR(__xludf.DUMMYFUNCTION("""COMPUTED_VALUE"""),40835.666666666664)</f>
        <v>40835.66667</v>
      </c>
      <c r="B6531" s="1">
        <f>IFERROR(__xludf.DUMMYFUNCTION("""COMPUTED_VALUE"""),1223.46)</f>
        <v>1223.46</v>
      </c>
      <c r="C6531" s="1">
        <f>IFERROR(__xludf.DUMMYFUNCTION("""COMPUTED_VALUE"""),1229.64)</f>
        <v>1229.64</v>
      </c>
      <c r="D6531" s="1">
        <f>IFERROR(__xludf.DUMMYFUNCTION("""COMPUTED_VALUE"""),1206.31)</f>
        <v>1206.31</v>
      </c>
      <c r="E6531" s="1">
        <f>IFERROR(__xludf.DUMMYFUNCTION("""COMPUTED_VALUE"""),1209.88)</f>
        <v>1209.88</v>
      </c>
      <c r="F6531" s="1">
        <f>IFERROR(__xludf.DUMMYFUNCTION("""COMPUTED_VALUE"""),0.0)</f>
        <v>0</v>
      </c>
    </row>
    <row r="6532">
      <c r="A6532" s="2">
        <f>IFERROR(__xludf.DUMMYFUNCTION("""COMPUTED_VALUE"""),40836.666666666664)</f>
        <v>40836.66667</v>
      </c>
      <c r="B6532" s="1">
        <f>IFERROR(__xludf.DUMMYFUNCTION("""COMPUTED_VALUE"""),1211.1)</f>
        <v>1211.1</v>
      </c>
      <c r="C6532" s="1">
        <f>IFERROR(__xludf.DUMMYFUNCTION("""COMPUTED_VALUE"""),1219.53)</f>
        <v>1219.53</v>
      </c>
      <c r="D6532" s="1">
        <f>IFERROR(__xludf.DUMMYFUNCTION("""COMPUTED_VALUE"""),1197.34)</f>
        <v>1197.34</v>
      </c>
      <c r="E6532" s="1">
        <f>IFERROR(__xludf.DUMMYFUNCTION("""COMPUTED_VALUE"""),1215.39)</f>
        <v>1215.39</v>
      </c>
      <c r="F6532" s="1">
        <f>IFERROR(__xludf.DUMMYFUNCTION("""COMPUTED_VALUE"""),0.0)</f>
        <v>0</v>
      </c>
    </row>
    <row r="6533">
      <c r="A6533" s="2">
        <f>IFERROR(__xludf.DUMMYFUNCTION("""COMPUTED_VALUE"""),40837.666666666664)</f>
        <v>40837.66667</v>
      </c>
      <c r="B6533" s="1">
        <f>IFERROR(__xludf.DUMMYFUNCTION("""COMPUTED_VALUE"""),1215.39)</f>
        <v>1215.39</v>
      </c>
      <c r="C6533" s="1">
        <f>IFERROR(__xludf.DUMMYFUNCTION("""COMPUTED_VALUE"""),1239.03)</f>
        <v>1239.03</v>
      </c>
      <c r="D6533" s="1">
        <f>IFERROR(__xludf.DUMMYFUNCTION("""COMPUTED_VALUE"""),1215.39)</f>
        <v>1215.39</v>
      </c>
      <c r="E6533" s="1">
        <f>IFERROR(__xludf.DUMMYFUNCTION("""COMPUTED_VALUE"""),1238.25)</f>
        <v>1238.25</v>
      </c>
      <c r="F6533" s="1">
        <f>IFERROR(__xludf.DUMMYFUNCTION("""COMPUTED_VALUE"""),0.0)</f>
        <v>0</v>
      </c>
    </row>
    <row r="6534">
      <c r="A6534" s="2">
        <f>IFERROR(__xludf.DUMMYFUNCTION("""COMPUTED_VALUE"""),40840.666666666664)</f>
        <v>40840.66667</v>
      </c>
      <c r="B6534" s="1">
        <f>IFERROR(__xludf.DUMMYFUNCTION("""COMPUTED_VALUE"""),1238.72)</f>
        <v>1238.72</v>
      </c>
      <c r="C6534" s="1">
        <f>IFERROR(__xludf.DUMMYFUNCTION("""COMPUTED_VALUE"""),1256.55)</f>
        <v>1256.55</v>
      </c>
      <c r="D6534" s="1">
        <f>IFERROR(__xludf.DUMMYFUNCTION("""COMPUTED_VALUE"""),1238.72)</f>
        <v>1238.72</v>
      </c>
      <c r="E6534" s="1">
        <f>IFERROR(__xludf.DUMMYFUNCTION("""COMPUTED_VALUE"""),1254.19)</f>
        <v>1254.19</v>
      </c>
      <c r="F6534" s="1">
        <f>IFERROR(__xludf.DUMMYFUNCTION("""COMPUTED_VALUE"""),0.0)</f>
        <v>0</v>
      </c>
    </row>
    <row r="6535">
      <c r="A6535" s="2">
        <f>IFERROR(__xludf.DUMMYFUNCTION("""COMPUTED_VALUE"""),40841.666666666664)</f>
        <v>40841.66667</v>
      </c>
      <c r="B6535" s="1">
        <f>IFERROR(__xludf.DUMMYFUNCTION("""COMPUTED_VALUE"""),1254.19)</f>
        <v>1254.19</v>
      </c>
      <c r="C6535" s="1">
        <f>IFERROR(__xludf.DUMMYFUNCTION("""COMPUTED_VALUE"""),1254.19)</f>
        <v>1254.19</v>
      </c>
      <c r="D6535" s="1">
        <f>IFERROR(__xludf.DUMMYFUNCTION("""COMPUTED_VALUE"""),1226.79)</f>
        <v>1226.79</v>
      </c>
      <c r="E6535" s="1">
        <f>IFERROR(__xludf.DUMMYFUNCTION("""COMPUTED_VALUE"""),1229.05)</f>
        <v>1229.05</v>
      </c>
      <c r="F6535" s="1">
        <f>IFERROR(__xludf.DUMMYFUNCTION("""COMPUTED_VALUE"""),0.0)</f>
        <v>0</v>
      </c>
    </row>
    <row r="6536">
      <c r="A6536" s="2">
        <f>IFERROR(__xludf.DUMMYFUNCTION("""COMPUTED_VALUE"""),40842.666666666664)</f>
        <v>40842.66667</v>
      </c>
      <c r="B6536" s="1">
        <f>IFERROR(__xludf.DUMMYFUNCTION("""COMPUTED_VALUE"""),1229.17)</f>
        <v>1229.17</v>
      </c>
      <c r="C6536" s="1">
        <f>IFERROR(__xludf.DUMMYFUNCTION("""COMPUTED_VALUE"""),1246.28)</f>
        <v>1246.28</v>
      </c>
      <c r="D6536" s="1">
        <f>IFERROR(__xludf.DUMMYFUNCTION("""COMPUTED_VALUE"""),1221.06)</f>
        <v>1221.06</v>
      </c>
      <c r="E6536" s="1">
        <f>IFERROR(__xludf.DUMMYFUNCTION("""COMPUTED_VALUE"""),1242.0)</f>
        <v>1242</v>
      </c>
      <c r="F6536" s="1">
        <f>IFERROR(__xludf.DUMMYFUNCTION("""COMPUTED_VALUE"""),0.0)</f>
        <v>0</v>
      </c>
    </row>
    <row r="6537">
      <c r="A6537" s="2">
        <f>IFERROR(__xludf.DUMMYFUNCTION("""COMPUTED_VALUE"""),40843.666666666664)</f>
        <v>40843.66667</v>
      </c>
      <c r="B6537" s="1">
        <f>IFERROR(__xludf.DUMMYFUNCTION("""COMPUTED_VALUE"""),1243.97)</f>
        <v>1243.97</v>
      </c>
      <c r="C6537" s="1">
        <f>IFERROR(__xludf.DUMMYFUNCTION("""COMPUTED_VALUE"""),1292.66)</f>
        <v>1292.66</v>
      </c>
      <c r="D6537" s="1">
        <f>IFERROR(__xludf.DUMMYFUNCTION("""COMPUTED_VALUE"""),1243.97)</f>
        <v>1243.97</v>
      </c>
      <c r="E6537" s="1">
        <f>IFERROR(__xludf.DUMMYFUNCTION("""COMPUTED_VALUE"""),1284.59)</f>
        <v>1284.59</v>
      </c>
      <c r="F6537" s="1">
        <f>IFERROR(__xludf.DUMMYFUNCTION("""COMPUTED_VALUE"""),0.0)</f>
        <v>0</v>
      </c>
    </row>
    <row r="6538">
      <c r="A6538" s="2">
        <f>IFERROR(__xludf.DUMMYFUNCTION("""COMPUTED_VALUE"""),40844.666666666664)</f>
        <v>40844.66667</v>
      </c>
      <c r="B6538" s="1">
        <f>IFERROR(__xludf.DUMMYFUNCTION("""COMPUTED_VALUE"""),1284.39)</f>
        <v>1284.39</v>
      </c>
      <c r="C6538" s="1">
        <f>IFERROR(__xludf.DUMMYFUNCTION("""COMPUTED_VALUE"""),1287.08)</f>
        <v>1287.08</v>
      </c>
      <c r="D6538" s="1">
        <f>IFERROR(__xludf.DUMMYFUNCTION("""COMPUTED_VALUE"""),1277.01)</f>
        <v>1277.01</v>
      </c>
      <c r="E6538" s="1">
        <f>IFERROR(__xludf.DUMMYFUNCTION("""COMPUTED_VALUE"""),1285.08)</f>
        <v>1285.08</v>
      </c>
      <c r="F6538" s="1">
        <f>IFERROR(__xludf.DUMMYFUNCTION("""COMPUTED_VALUE"""),0.0)</f>
        <v>0</v>
      </c>
    </row>
    <row r="6539">
      <c r="A6539" s="2">
        <f>IFERROR(__xludf.DUMMYFUNCTION("""COMPUTED_VALUE"""),40847.666666666664)</f>
        <v>40847.66667</v>
      </c>
      <c r="B6539" s="1">
        <f>IFERROR(__xludf.DUMMYFUNCTION("""COMPUTED_VALUE"""),1284.96)</f>
        <v>1284.96</v>
      </c>
      <c r="C6539" s="1">
        <f>IFERROR(__xludf.DUMMYFUNCTION("""COMPUTED_VALUE"""),1284.96)</f>
        <v>1284.96</v>
      </c>
      <c r="D6539" s="1">
        <f>IFERROR(__xludf.DUMMYFUNCTION("""COMPUTED_VALUE"""),1253.16)</f>
        <v>1253.16</v>
      </c>
      <c r="E6539" s="1">
        <f>IFERROR(__xludf.DUMMYFUNCTION("""COMPUTED_VALUE"""),1253.3)</f>
        <v>1253.3</v>
      </c>
      <c r="F6539" s="1">
        <f>IFERROR(__xludf.DUMMYFUNCTION("""COMPUTED_VALUE"""),0.0)</f>
        <v>0</v>
      </c>
    </row>
    <row r="6540">
      <c r="A6540" s="2">
        <f>IFERROR(__xludf.DUMMYFUNCTION("""COMPUTED_VALUE"""),40848.666666666664)</f>
        <v>40848.66667</v>
      </c>
      <c r="B6540" s="1">
        <f>IFERROR(__xludf.DUMMYFUNCTION("""COMPUTED_VALUE"""),1251.0)</f>
        <v>1251</v>
      </c>
      <c r="C6540" s="1">
        <f>IFERROR(__xludf.DUMMYFUNCTION("""COMPUTED_VALUE"""),1251.0)</f>
        <v>1251</v>
      </c>
      <c r="D6540" s="1">
        <f>IFERROR(__xludf.DUMMYFUNCTION("""COMPUTED_VALUE"""),1215.42)</f>
        <v>1215.42</v>
      </c>
      <c r="E6540" s="1">
        <f>IFERROR(__xludf.DUMMYFUNCTION("""COMPUTED_VALUE"""),1218.28)</f>
        <v>1218.28</v>
      </c>
      <c r="F6540" s="1">
        <f>IFERROR(__xludf.DUMMYFUNCTION("""COMPUTED_VALUE"""),0.0)</f>
        <v>0</v>
      </c>
    </row>
    <row r="6541">
      <c r="A6541" s="2">
        <f>IFERROR(__xludf.DUMMYFUNCTION("""COMPUTED_VALUE"""),40849.666666666664)</f>
        <v>40849.66667</v>
      </c>
      <c r="B6541" s="1">
        <f>IFERROR(__xludf.DUMMYFUNCTION("""COMPUTED_VALUE"""),1219.62)</f>
        <v>1219.62</v>
      </c>
      <c r="C6541" s="1">
        <f>IFERROR(__xludf.DUMMYFUNCTION("""COMPUTED_VALUE"""),1242.48)</f>
        <v>1242.48</v>
      </c>
      <c r="D6541" s="1">
        <f>IFERROR(__xludf.DUMMYFUNCTION("""COMPUTED_VALUE"""),1219.62)</f>
        <v>1219.62</v>
      </c>
      <c r="E6541" s="1">
        <f>IFERROR(__xludf.DUMMYFUNCTION("""COMPUTED_VALUE"""),1237.9)</f>
        <v>1237.9</v>
      </c>
      <c r="F6541" s="1">
        <f>IFERROR(__xludf.DUMMYFUNCTION("""COMPUTED_VALUE"""),0.0)</f>
        <v>0</v>
      </c>
    </row>
    <row r="6542">
      <c r="A6542" s="2">
        <f>IFERROR(__xludf.DUMMYFUNCTION("""COMPUTED_VALUE"""),40850.666666666664)</f>
        <v>40850.66667</v>
      </c>
      <c r="B6542" s="1">
        <f>IFERROR(__xludf.DUMMYFUNCTION("""COMPUTED_VALUE"""),1238.25)</f>
        <v>1238.25</v>
      </c>
      <c r="C6542" s="1">
        <f>IFERROR(__xludf.DUMMYFUNCTION("""COMPUTED_VALUE"""),1263.21)</f>
        <v>1263.21</v>
      </c>
      <c r="D6542" s="1">
        <f>IFERROR(__xludf.DUMMYFUNCTION("""COMPUTED_VALUE"""),1234.81)</f>
        <v>1234.81</v>
      </c>
      <c r="E6542" s="1">
        <f>IFERROR(__xludf.DUMMYFUNCTION("""COMPUTED_VALUE"""),1261.15)</f>
        <v>1261.15</v>
      </c>
      <c r="F6542" s="1">
        <f>IFERROR(__xludf.DUMMYFUNCTION("""COMPUTED_VALUE"""),0.0)</f>
        <v>0</v>
      </c>
    </row>
    <row r="6543">
      <c r="A6543" s="2">
        <f>IFERROR(__xludf.DUMMYFUNCTION("""COMPUTED_VALUE"""),40851.666666666664)</f>
        <v>40851.66667</v>
      </c>
      <c r="B6543" s="1">
        <f>IFERROR(__xludf.DUMMYFUNCTION("""COMPUTED_VALUE"""),1260.82)</f>
        <v>1260.82</v>
      </c>
      <c r="C6543" s="1">
        <f>IFERROR(__xludf.DUMMYFUNCTION("""COMPUTED_VALUE"""),1260.82)</f>
        <v>1260.82</v>
      </c>
      <c r="D6543" s="1">
        <f>IFERROR(__xludf.DUMMYFUNCTION("""COMPUTED_VALUE"""),1238.92)</f>
        <v>1238.92</v>
      </c>
      <c r="E6543" s="1">
        <f>IFERROR(__xludf.DUMMYFUNCTION("""COMPUTED_VALUE"""),1253.23)</f>
        <v>1253.23</v>
      </c>
      <c r="F6543" s="1">
        <f>IFERROR(__xludf.DUMMYFUNCTION("""COMPUTED_VALUE"""),0.0)</f>
        <v>0</v>
      </c>
    </row>
    <row r="6544">
      <c r="A6544" s="2">
        <f>IFERROR(__xludf.DUMMYFUNCTION("""COMPUTED_VALUE"""),40854.666666666664)</f>
        <v>40854.66667</v>
      </c>
      <c r="B6544" s="1">
        <f>IFERROR(__xludf.DUMMYFUNCTION("""COMPUTED_VALUE"""),1253.21)</f>
        <v>1253.21</v>
      </c>
      <c r="C6544" s="1">
        <f>IFERROR(__xludf.DUMMYFUNCTION("""COMPUTED_VALUE"""),1261.7)</f>
        <v>1261.7</v>
      </c>
      <c r="D6544" s="1">
        <f>IFERROR(__xludf.DUMMYFUNCTION("""COMPUTED_VALUE"""),1240.75)</f>
        <v>1240.75</v>
      </c>
      <c r="E6544" s="1">
        <f>IFERROR(__xludf.DUMMYFUNCTION("""COMPUTED_VALUE"""),1261.12)</f>
        <v>1261.12</v>
      </c>
      <c r="F6544" s="1">
        <f>IFERROR(__xludf.DUMMYFUNCTION("""COMPUTED_VALUE"""),0.0)</f>
        <v>0</v>
      </c>
    </row>
    <row r="6545">
      <c r="A6545" s="2">
        <f>IFERROR(__xludf.DUMMYFUNCTION("""COMPUTED_VALUE"""),40855.666666666664)</f>
        <v>40855.66667</v>
      </c>
      <c r="B6545" s="1">
        <f>IFERROR(__xludf.DUMMYFUNCTION("""COMPUTED_VALUE"""),1261.12)</f>
        <v>1261.12</v>
      </c>
      <c r="C6545" s="1">
        <f>IFERROR(__xludf.DUMMYFUNCTION("""COMPUTED_VALUE"""),1277.55)</f>
        <v>1277.55</v>
      </c>
      <c r="D6545" s="1">
        <f>IFERROR(__xludf.DUMMYFUNCTION("""COMPUTED_VALUE"""),1254.99)</f>
        <v>1254.99</v>
      </c>
      <c r="E6545" s="1">
        <f>IFERROR(__xludf.DUMMYFUNCTION("""COMPUTED_VALUE"""),1275.92)</f>
        <v>1275.92</v>
      </c>
      <c r="F6545" s="1">
        <f>IFERROR(__xludf.DUMMYFUNCTION("""COMPUTED_VALUE"""),0.0)</f>
        <v>0</v>
      </c>
    </row>
    <row r="6546">
      <c r="A6546" s="2">
        <f>IFERROR(__xludf.DUMMYFUNCTION("""COMPUTED_VALUE"""),40856.666666666664)</f>
        <v>40856.66667</v>
      </c>
      <c r="B6546" s="1">
        <f>IFERROR(__xludf.DUMMYFUNCTION("""COMPUTED_VALUE"""),1275.18)</f>
        <v>1275.18</v>
      </c>
      <c r="C6546" s="1">
        <f>IFERROR(__xludf.DUMMYFUNCTION("""COMPUTED_VALUE"""),1275.18)</f>
        <v>1275.18</v>
      </c>
      <c r="D6546" s="1">
        <f>IFERROR(__xludf.DUMMYFUNCTION("""COMPUTED_VALUE"""),1226.64)</f>
        <v>1226.64</v>
      </c>
      <c r="E6546" s="1">
        <f>IFERROR(__xludf.DUMMYFUNCTION("""COMPUTED_VALUE"""),1229.1)</f>
        <v>1229.1</v>
      </c>
      <c r="F6546" s="1">
        <f>IFERROR(__xludf.DUMMYFUNCTION("""COMPUTED_VALUE"""),0.0)</f>
        <v>0</v>
      </c>
    </row>
    <row r="6547">
      <c r="A6547" s="2">
        <f>IFERROR(__xludf.DUMMYFUNCTION("""COMPUTED_VALUE"""),40857.666666666664)</f>
        <v>40857.66667</v>
      </c>
      <c r="B6547" s="1">
        <f>IFERROR(__xludf.DUMMYFUNCTION("""COMPUTED_VALUE"""),1229.59)</f>
        <v>1229.59</v>
      </c>
      <c r="C6547" s="1">
        <f>IFERROR(__xludf.DUMMYFUNCTION("""COMPUTED_VALUE"""),1246.22)</f>
        <v>1246.22</v>
      </c>
      <c r="D6547" s="1">
        <f>IFERROR(__xludf.DUMMYFUNCTION("""COMPUTED_VALUE"""),1227.7)</f>
        <v>1227.7</v>
      </c>
      <c r="E6547" s="1">
        <f>IFERROR(__xludf.DUMMYFUNCTION("""COMPUTED_VALUE"""),1239.7)</f>
        <v>1239.7</v>
      </c>
      <c r="F6547" s="1">
        <f>IFERROR(__xludf.DUMMYFUNCTION("""COMPUTED_VALUE"""),0.0)</f>
        <v>0</v>
      </c>
    </row>
    <row r="6548">
      <c r="A6548" s="2">
        <f>IFERROR(__xludf.DUMMYFUNCTION("""COMPUTED_VALUE"""),40858.666666666664)</f>
        <v>40858.66667</v>
      </c>
      <c r="B6548" s="1">
        <f>IFERROR(__xludf.DUMMYFUNCTION("""COMPUTED_VALUE"""),1240.12)</f>
        <v>1240.12</v>
      </c>
      <c r="C6548" s="1">
        <f>IFERROR(__xludf.DUMMYFUNCTION("""COMPUTED_VALUE"""),1266.98)</f>
        <v>1266.98</v>
      </c>
      <c r="D6548" s="1">
        <f>IFERROR(__xludf.DUMMYFUNCTION("""COMPUTED_VALUE"""),1240.12)</f>
        <v>1240.12</v>
      </c>
      <c r="E6548" s="1">
        <f>IFERROR(__xludf.DUMMYFUNCTION("""COMPUTED_VALUE"""),1263.85)</f>
        <v>1263.85</v>
      </c>
      <c r="F6548" s="1">
        <f>IFERROR(__xludf.DUMMYFUNCTION("""COMPUTED_VALUE"""),0.0)</f>
        <v>0</v>
      </c>
    </row>
    <row r="6549">
      <c r="A6549" s="2">
        <f>IFERROR(__xludf.DUMMYFUNCTION("""COMPUTED_VALUE"""),40861.666666666664)</f>
        <v>40861.66667</v>
      </c>
      <c r="B6549" s="1">
        <f>IFERROR(__xludf.DUMMYFUNCTION("""COMPUTED_VALUE"""),1263.85)</f>
        <v>1263.85</v>
      </c>
      <c r="C6549" s="1">
        <f>IFERROR(__xludf.DUMMYFUNCTION("""COMPUTED_VALUE"""),1263.85)</f>
        <v>1263.85</v>
      </c>
      <c r="D6549" s="1">
        <f>IFERROR(__xludf.DUMMYFUNCTION("""COMPUTED_VALUE"""),1246.68)</f>
        <v>1246.68</v>
      </c>
      <c r="E6549" s="1">
        <f>IFERROR(__xludf.DUMMYFUNCTION("""COMPUTED_VALUE"""),1251.78)</f>
        <v>1251.78</v>
      </c>
      <c r="F6549" s="1">
        <f>IFERROR(__xludf.DUMMYFUNCTION("""COMPUTED_VALUE"""),0.0)</f>
        <v>0</v>
      </c>
    </row>
    <row r="6550">
      <c r="A6550" s="2">
        <f>IFERROR(__xludf.DUMMYFUNCTION("""COMPUTED_VALUE"""),40862.666666666664)</f>
        <v>40862.66667</v>
      </c>
      <c r="B6550" s="1">
        <f>IFERROR(__xludf.DUMMYFUNCTION("""COMPUTED_VALUE"""),1251.7)</f>
        <v>1251.7</v>
      </c>
      <c r="C6550" s="1">
        <f>IFERROR(__xludf.DUMMYFUNCTION("""COMPUTED_VALUE"""),1264.25)</f>
        <v>1264.25</v>
      </c>
      <c r="D6550" s="1">
        <f>IFERROR(__xludf.DUMMYFUNCTION("""COMPUTED_VALUE"""),1244.34)</f>
        <v>1244.34</v>
      </c>
      <c r="E6550" s="1">
        <f>IFERROR(__xludf.DUMMYFUNCTION("""COMPUTED_VALUE"""),1257.81)</f>
        <v>1257.81</v>
      </c>
      <c r="F6550" s="1">
        <f>IFERROR(__xludf.DUMMYFUNCTION("""COMPUTED_VALUE"""),0.0)</f>
        <v>0</v>
      </c>
    </row>
    <row r="6551">
      <c r="A6551" s="2">
        <f>IFERROR(__xludf.DUMMYFUNCTION("""COMPUTED_VALUE"""),40863.666666666664)</f>
        <v>40863.66667</v>
      </c>
      <c r="B6551" s="1">
        <f>IFERROR(__xludf.DUMMYFUNCTION("""COMPUTED_VALUE"""),1257.81)</f>
        <v>1257.81</v>
      </c>
      <c r="C6551" s="1">
        <f>IFERROR(__xludf.DUMMYFUNCTION("""COMPUTED_VALUE"""),1259.61)</f>
        <v>1259.61</v>
      </c>
      <c r="D6551" s="1">
        <f>IFERROR(__xludf.DUMMYFUNCTION("""COMPUTED_VALUE"""),1235.67)</f>
        <v>1235.67</v>
      </c>
      <c r="E6551" s="1">
        <f>IFERROR(__xludf.DUMMYFUNCTION("""COMPUTED_VALUE"""),1236.91)</f>
        <v>1236.91</v>
      </c>
      <c r="F6551" s="1">
        <f>IFERROR(__xludf.DUMMYFUNCTION("""COMPUTED_VALUE"""),0.0)</f>
        <v>0</v>
      </c>
    </row>
    <row r="6552">
      <c r="A6552" s="2">
        <f>IFERROR(__xludf.DUMMYFUNCTION("""COMPUTED_VALUE"""),40864.666666666664)</f>
        <v>40864.66667</v>
      </c>
      <c r="B6552" s="1">
        <f>IFERROR(__xludf.DUMMYFUNCTION("""COMPUTED_VALUE"""),1236.56)</f>
        <v>1236.56</v>
      </c>
      <c r="C6552" s="1">
        <f>IFERROR(__xludf.DUMMYFUNCTION("""COMPUTED_VALUE"""),1237.73)</f>
        <v>1237.73</v>
      </c>
      <c r="D6552" s="1">
        <f>IFERROR(__xludf.DUMMYFUNCTION("""COMPUTED_VALUE"""),1209.43)</f>
        <v>1209.43</v>
      </c>
      <c r="E6552" s="1">
        <f>IFERROR(__xludf.DUMMYFUNCTION("""COMPUTED_VALUE"""),1216.13)</f>
        <v>1216.13</v>
      </c>
      <c r="F6552" s="1">
        <f>IFERROR(__xludf.DUMMYFUNCTION("""COMPUTED_VALUE"""),0.0)</f>
        <v>0</v>
      </c>
    </row>
    <row r="6553">
      <c r="A6553" s="2">
        <f>IFERROR(__xludf.DUMMYFUNCTION("""COMPUTED_VALUE"""),40865.666666666664)</f>
        <v>40865.66667</v>
      </c>
      <c r="B6553" s="1">
        <f>IFERROR(__xludf.DUMMYFUNCTION("""COMPUTED_VALUE"""),1216.19)</f>
        <v>1216.19</v>
      </c>
      <c r="C6553" s="1">
        <f>IFERROR(__xludf.DUMMYFUNCTION("""COMPUTED_VALUE"""),1223.51)</f>
        <v>1223.51</v>
      </c>
      <c r="D6553" s="1">
        <f>IFERROR(__xludf.DUMMYFUNCTION("""COMPUTED_VALUE"""),1211.36)</f>
        <v>1211.36</v>
      </c>
      <c r="E6553" s="1">
        <f>IFERROR(__xludf.DUMMYFUNCTION("""COMPUTED_VALUE"""),1215.65)</f>
        <v>1215.65</v>
      </c>
      <c r="F6553" s="1">
        <f>IFERROR(__xludf.DUMMYFUNCTION("""COMPUTED_VALUE"""),0.0)</f>
        <v>0</v>
      </c>
    </row>
    <row r="6554">
      <c r="A6554" s="2">
        <f>IFERROR(__xludf.DUMMYFUNCTION("""COMPUTED_VALUE"""),40868.666666666664)</f>
        <v>40868.66667</v>
      </c>
      <c r="B6554" s="1">
        <f>IFERROR(__xludf.DUMMYFUNCTION("""COMPUTED_VALUE"""),1215.62)</f>
        <v>1215.62</v>
      </c>
      <c r="C6554" s="1">
        <f>IFERROR(__xludf.DUMMYFUNCTION("""COMPUTED_VALUE"""),1215.62)</f>
        <v>1215.62</v>
      </c>
      <c r="D6554" s="1">
        <f>IFERROR(__xludf.DUMMYFUNCTION("""COMPUTED_VALUE"""),1183.16)</f>
        <v>1183.16</v>
      </c>
      <c r="E6554" s="1">
        <f>IFERROR(__xludf.DUMMYFUNCTION("""COMPUTED_VALUE"""),1192.98)</f>
        <v>1192.98</v>
      </c>
      <c r="F6554" s="1">
        <f>IFERROR(__xludf.DUMMYFUNCTION("""COMPUTED_VALUE"""),0.0)</f>
        <v>0</v>
      </c>
    </row>
    <row r="6555">
      <c r="A6555" s="2">
        <f>IFERROR(__xludf.DUMMYFUNCTION("""COMPUTED_VALUE"""),40869.666666666664)</f>
        <v>40869.66667</v>
      </c>
      <c r="B6555" s="1">
        <f>IFERROR(__xludf.DUMMYFUNCTION("""COMPUTED_VALUE"""),1192.98)</f>
        <v>1192.98</v>
      </c>
      <c r="C6555" s="1">
        <f>IFERROR(__xludf.DUMMYFUNCTION("""COMPUTED_VALUE"""),1196.81)</f>
        <v>1196.81</v>
      </c>
      <c r="D6555" s="1">
        <f>IFERROR(__xludf.DUMMYFUNCTION("""COMPUTED_VALUE"""),1181.65)</f>
        <v>1181.65</v>
      </c>
      <c r="E6555" s="1">
        <f>IFERROR(__xludf.DUMMYFUNCTION("""COMPUTED_VALUE"""),1188.04)</f>
        <v>1188.04</v>
      </c>
      <c r="F6555" s="1">
        <f>IFERROR(__xludf.DUMMYFUNCTION("""COMPUTED_VALUE"""),0.0)</f>
        <v>0</v>
      </c>
    </row>
    <row r="6556">
      <c r="A6556" s="2">
        <f>IFERROR(__xludf.DUMMYFUNCTION("""COMPUTED_VALUE"""),40870.666666666664)</f>
        <v>40870.66667</v>
      </c>
      <c r="B6556" s="1">
        <f>IFERROR(__xludf.DUMMYFUNCTION("""COMPUTED_VALUE"""),1187.48)</f>
        <v>1187.48</v>
      </c>
      <c r="C6556" s="1">
        <f>IFERROR(__xludf.DUMMYFUNCTION("""COMPUTED_VALUE"""),1187.48)</f>
        <v>1187.48</v>
      </c>
      <c r="D6556" s="1">
        <f>IFERROR(__xludf.DUMMYFUNCTION("""COMPUTED_VALUE"""),1161.79)</f>
        <v>1161.79</v>
      </c>
      <c r="E6556" s="1">
        <f>IFERROR(__xludf.DUMMYFUNCTION("""COMPUTED_VALUE"""),1161.79)</f>
        <v>1161.79</v>
      </c>
      <c r="F6556" s="1">
        <f>IFERROR(__xludf.DUMMYFUNCTION("""COMPUTED_VALUE"""),0.0)</f>
        <v>0</v>
      </c>
    </row>
    <row r="6557">
      <c r="A6557" s="2">
        <f>IFERROR(__xludf.DUMMYFUNCTION("""COMPUTED_VALUE"""),40872.666666666664)</f>
        <v>40872.66667</v>
      </c>
      <c r="B6557" s="1">
        <f>IFERROR(__xludf.DUMMYFUNCTION("""COMPUTED_VALUE"""),1161.41)</f>
        <v>1161.41</v>
      </c>
      <c r="C6557" s="1">
        <f>IFERROR(__xludf.DUMMYFUNCTION("""COMPUTED_VALUE"""),1172.66)</f>
        <v>1172.66</v>
      </c>
      <c r="D6557" s="1">
        <f>IFERROR(__xludf.DUMMYFUNCTION("""COMPUTED_VALUE"""),1158.66)</f>
        <v>1158.66</v>
      </c>
      <c r="E6557" s="1">
        <f>IFERROR(__xludf.DUMMYFUNCTION("""COMPUTED_VALUE"""),1158.67)</f>
        <v>1158.67</v>
      </c>
      <c r="F6557" s="1">
        <f>IFERROR(__xludf.DUMMYFUNCTION("""COMPUTED_VALUE"""),0.0)</f>
        <v>0</v>
      </c>
    </row>
    <row r="6558">
      <c r="A6558" s="2">
        <f>IFERROR(__xludf.DUMMYFUNCTION("""COMPUTED_VALUE"""),40875.666666666664)</f>
        <v>40875.66667</v>
      </c>
      <c r="B6558" s="1">
        <f>IFERROR(__xludf.DUMMYFUNCTION("""COMPUTED_VALUE"""),1158.67)</f>
        <v>1158.67</v>
      </c>
      <c r="C6558" s="1">
        <f>IFERROR(__xludf.DUMMYFUNCTION("""COMPUTED_VALUE"""),1197.35)</f>
        <v>1197.35</v>
      </c>
      <c r="D6558" s="1">
        <f>IFERROR(__xludf.DUMMYFUNCTION("""COMPUTED_VALUE"""),1158.67)</f>
        <v>1158.67</v>
      </c>
      <c r="E6558" s="1">
        <f>IFERROR(__xludf.DUMMYFUNCTION("""COMPUTED_VALUE"""),1192.55)</f>
        <v>1192.55</v>
      </c>
      <c r="F6558" s="1">
        <f>IFERROR(__xludf.DUMMYFUNCTION("""COMPUTED_VALUE"""),0.0)</f>
        <v>0</v>
      </c>
    </row>
    <row r="6559">
      <c r="A6559" s="2">
        <f>IFERROR(__xludf.DUMMYFUNCTION("""COMPUTED_VALUE"""),40876.666666666664)</f>
        <v>40876.66667</v>
      </c>
      <c r="B6559" s="1">
        <f>IFERROR(__xludf.DUMMYFUNCTION("""COMPUTED_VALUE"""),1192.56)</f>
        <v>1192.56</v>
      </c>
      <c r="C6559" s="1">
        <f>IFERROR(__xludf.DUMMYFUNCTION("""COMPUTED_VALUE"""),1203.67)</f>
        <v>1203.67</v>
      </c>
      <c r="D6559" s="1">
        <f>IFERROR(__xludf.DUMMYFUNCTION("""COMPUTED_VALUE"""),1191.8)</f>
        <v>1191.8</v>
      </c>
      <c r="E6559" s="1">
        <f>IFERROR(__xludf.DUMMYFUNCTION("""COMPUTED_VALUE"""),1195.19)</f>
        <v>1195.19</v>
      </c>
      <c r="F6559" s="1">
        <f>IFERROR(__xludf.DUMMYFUNCTION("""COMPUTED_VALUE"""),0.0)</f>
        <v>0</v>
      </c>
    </row>
    <row r="6560">
      <c r="A6560" s="2">
        <f>IFERROR(__xludf.DUMMYFUNCTION("""COMPUTED_VALUE"""),40877.666666666664)</f>
        <v>40877.66667</v>
      </c>
      <c r="B6560" s="1">
        <f>IFERROR(__xludf.DUMMYFUNCTION("""COMPUTED_VALUE"""),1196.72)</f>
        <v>1196.72</v>
      </c>
      <c r="C6560" s="1">
        <f>IFERROR(__xludf.DUMMYFUNCTION("""COMPUTED_VALUE"""),1247.11)</f>
        <v>1247.11</v>
      </c>
      <c r="D6560" s="1">
        <f>IFERROR(__xludf.DUMMYFUNCTION("""COMPUTED_VALUE"""),1196.72)</f>
        <v>1196.72</v>
      </c>
      <c r="E6560" s="1">
        <f>IFERROR(__xludf.DUMMYFUNCTION("""COMPUTED_VALUE"""),1246.96)</f>
        <v>1246.96</v>
      </c>
      <c r="F6560" s="1">
        <f>IFERROR(__xludf.DUMMYFUNCTION("""COMPUTED_VALUE"""),0.0)</f>
        <v>0</v>
      </c>
    </row>
    <row r="6561">
      <c r="A6561" s="2">
        <f>IFERROR(__xludf.DUMMYFUNCTION("""COMPUTED_VALUE"""),40878.666666666664)</f>
        <v>40878.66667</v>
      </c>
      <c r="B6561" s="1">
        <f>IFERROR(__xludf.DUMMYFUNCTION("""COMPUTED_VALUE"""),1246.91)</f>
        <v>1246.91</v>
      </c>
      <c r="C6561" s="1">
        <f>IFERROR(__xludf.DUMMYFUNCTION("""COMPUTED_VALUE"""),1251.09)</f>
        <v>1251.09</v>
      </c>
      <c r="D6561" s="1">
        <f>IFERROR(__xludf.DUMMYFUNCTION("""COMPUTED_VALUE"""),1239.73)</f>
        <v>1239.73</v>
      </c>
      <c r="E6561" s="1">
        <f>IFERROR(__xludf.DUMMYFUNCTION("""COMPUTED_VALUE"""),1244.58)</f>
        <v>1244.58</v>
      </c>
      <c r="F6561" s="1">
        <f>IFERROR(__xludf.DUMMYFUNCTION("""COMPUTED_VALUE"""),0.0)</f>
        <v>0</v>
      </c>
    </row>
    <row r="6562">
      <c r="A6562" s="2">
        <f>IFERROR(__xludf.DUMMYFUNCTION("""COMPUTED_VALUE"""),40879.666666666664)</f>
        <v>40879.66667</v>
      </c>
      <c r="B6562" s="1">
        <f>IFERROR(__xludf.DUMMYFUNCTION("""COMPUTED_VALUE"""),1246.03)</f>
        <v>1246.03</v>
      </c>
      <c r="C6562" s="1">
        <f>IFERROR(__xludf.DUMMYFUNCTION("""COMPUTED_VALUE"""),1260.08)</f>
        <v>1260.08</v>
      </c>
      <c r="D6562" s="1">
        <f>IFERROR(__xludf.DUMMYFUNCTION("""COMPUTED_VALUE"""),1243.35)</f>
        <v>1243.35</v>
      </c>
      <c r="E6562" s="1">
        <f>IFERROR(__xludf.DUMMYFUNCTION("""COMPUTED_VALUE"""),1244.28)</f>
        <v>1244.28</v>
      </c>
      <c r="F6562" s="1">
        <f>IFERROR(__xludf.DUMMYFUNCTION("""COMPUTED_VALUE"""),0.0)</f>
        <v>0</v>
      </c>
    </row>
    <row r="6563">
      <c r="A6563" s="2">
        <f>IFERROR(__xludf.DUMMYFUNCTION("""COMPUTED_VALUE"""),40882.666666666664)</f>
        <v>40882.66667</v>
      </c>
      <c r="B6563" s="1">
        <f>IFERROR(__xludf.DUMMYFUNCTION("""COMPUTED_VALUE"""),1244.33)</f>
        <v>1244.33</v>
      </c>
      <c r="C6563" s="1">
        <f>IFERROR(__xludf.DUMMYFUNCTION("""COMPUTED_VALUE"""),1266.73)</f>
        <v>1266.73</v>
      </c>
      <c r="D6563" s="1">
        <f>IFERROR(__xludf.DUMMYFUNCTION("""COMPUTED_VALUE"""),1244.33)</f>
        <v>1244.33</v>
      </c>
      <c r="E6563" s="1">
        <f>IFERROR(__xludf.DUMMYFUNCTION("""COMPUTED_VALUE"""),1257.08)</f>
        <v>1257.08</v>
      </c>
      <c r="F6563" s="1">
        <f>IFERROR(__xludf.DUMMYFUNCTION("""COMPUTED_VALUE"""),0.0)</f>
        <v>0</v>
      </c>
    </row>
    <row r="6564">
      <c r="A6564" s="2">
        <f>IFERROR(__xludf.DUMMYFUNCTION("""COMPUTED_VALUE"""),40883.666666666664)</f>
        <v>40883.66667</v>
      </c>
      <c r="B6564" s="1">
        <f>IFERROR(__xludf.DUMMYFUNCTION("""COMPUTED_VALUE"""),1257.19)</f>
        <v>1257.19</v>
      </c>
      <c r="C6564" s="1">
        <f>IFERROR(__xludf.DUMMYFUNCTION("""COMPUTED_VALUE"""),1266.03)</f>
        <v>1266.03</v>
      </c>
      <c r="D6564" s="1">
        <f>IFERROR(__xludf.DUMMYFUNCTION("""COMPUTED_VALUE"""),1253.03)</f>
        <v>1253.03</v>
      </c>
      <c r="E6564" s="1">
        <f>IFERROR(__xludf.DUMMYFUNCTION("""COMPUTED_VALUE"""),1258.47)</f>
        <v>1258.47</v>
      </c>
      <c r="F6564" s="1">
        <f>IFERROR(__xludf.DUMMYFUNCTION("""COMPUTED_VALUE"""),0.0)</f>
        <v>0</v>
      </c>
    </row>
    <row r="6565">
      <c r="A6565" s="2">
        <f>IFERROR(__xludf.DUMMYFUNCTION("""COMPUTED_VALUE"""),40884.666666666664)</f>
        <v>40884.66667</v>
      </c>
      <c r="B6565" s="1">
        <f>IFERROR(__xludf.DUMMYFUNCTION("""COMPUTED_VALUE"""),1258.14)</f>
        <v>1258.14</v>
      </c>
      <c r="C6565" s="1">
        <f>IFERROR(__xludf.DUMMYFUNCTION("""COMPUTED_VALUE"""),1267.06)</f>
        <v>1267.06</v>
      </c>
      <c r="D6565" s="1">
        <f>IFERROR(__xludf.DUMMYFUNCTION("""COMPUTED_VALUE"""),1244.8)</f>
        <v>1244.8</v>
      </c>
      <c r="E6565" s="1">
        <f>IFERROR(__xludf.DUMMYFUNCTION("""COMPUTED_VALUE"""),1261.01)</f>
        <v>1261.01</v>
      </c>
      <c r="F6565" s="1">
        <f>IFERROR(__xludf.DUMMYFUNCTION("""COMPUTED_VALUE"""),0.0)</f>
        <v>0</v>
      </c>
    </row>
    <row r="6566">
      <c r="A6566" s="2">
        <f>IFERROR(__xludf.DUMMYFUNCTION("""COMPUTED_VALUE"""),40885.666666666664)</f>
        <v>40885.66667</v>
      </c>
      <c r="B6566" s="1">
        <f>IFERROR(__xludf.DUMMYFUNCTION("""COMPUTED_VALUE"""),1260.87)</f>
        <v>1260.87</v>
      </c>
      <c r="C6566" s="1">
        <f>IFERROR(__xludf.DUMMYFUNCTION("""COMPUTED_VALUE"""),1260.87)</f>
        <v>1260.87</v>
      </c>
      <c r="D6566" s="1">
        <f>IFERROR(__xludf.DUMMYFUNCTION("""COMPUTED_VALUE"""),1231.47)</f>
        <v>1231.47</v>
      </c>
      <c r="E6566" s="1">
        <f>IFERROR(__xludf.DUMMYFUNCTION("""COMPUTED_VALUE"""),1234.35)</f>
        <v>1234.35</v>
      </c>
      <c r="F6566" s="1">
        <f>IFERROR(__xludf.DUMMYFUNCTION("""COMPUTED_VALUE"""),0.0)</f>
        <v>0</v>
      </c>
    </row>
    <row r="6567">
      <c r="A6567" s="2">
        <f>IFERROR(__xludf.DUMMYFUNCTION("""COMPUTED_VALUE"""),40886.666666666664)</f>
        <v>40886.66667</v>
      </c>
      <c r="B6567" s="1">
        <f>IFERROR(__xludf.DUMMYFUNCTION("""COMPUTED_VALUE"""),1234.48)</f>
        <v>1234.48</v>
      </c>
      <c r="C6567" s="1">
        <f>IFERROR(__xludf.DUMMYFUNCTION("""COMPUTED_VALUE"""),1258.25)</f>
        <v>1258.25</v>
      </c>
      <c r="D6567" s="1">
        <f>IFERROR(__xludf.DUMMYFUNCTION("""COMPUTED_VALUE"""),1234.48)</f>
        <v>1234.48</v>
      </c>
      <c r="E6567" s="1">
        <f>IFERROR(__xludf.DUMMYFUNCTION("""COMPUTED_VALUE"""),1255.19)</f>
        <v>1255.19</v>
      </c>
      <c r="F6567" s="1">
        <f>IFERROR(__xludf.DUMMYFUNCTION("""COMPUTED_VALUE"""),0.0)</f>
        <v>0</v>
      </c>
    </row>
    <row r="6568">
      <c r="A6568" s="2">
        <f>IFERROR(__xludf.DUMMYFUNCTION("""COMPUTED_VALUE"""),40889.666666666664)</f>
        <v>40889.66667</v>
      </c>
      <c r="B6568" s="1">
        <f>IFERROR(__xludf.DUMMYFUNCTION("""COMPUTED_VALUE"""),1255.05)</f>
        <v>1255.05</v>
      </c>
      <c r="C6568" s="1">
        <f>IFERROR(__xludf.DUMMYFUNCTION("""COMPUTED_VALUE"""),1255.05)</f>
        <v>1255.05</v>
      </c>
      <c r="D6568" s="1">
        <f>IFERROR(__xludf.DUMMYFUNCTION("""COMPUTED_VALUE"""),1227.25)</f>
        <v>1227.25</v>
      </c>
      <c r="E6568" s="1">
        <f>IFERROR(__xludf.DUMMYFUNCTION("""COMPUTED_VALUE"""),1236.47)</f>
        <v>1236.47</v>
      </c>
      <c r="F6568" s="1">
        <f>IFERROR(__xludf.DUMMYFUNCTION("""COMPUTED_VALUE"""),0.0)</f>
        <v>0</v>
      </c>
    </row>
    <row r="6569">
      <c r="A6569" s="2">
        <f>IFERROR(__xludf.DUMMYFUNCTION("""COMPUTED_VALUE"""),40890.666666666664)</f>
        <v>40890.66667</v>
      </c>
      <c r="B6569" s="1">
        <f>IFERROR(__xludf.DUMMYFUNCTION("""COMPUTED_VALUE"""),1236.83)</f>
        <v>1236.83</v>
      </c>
      <c r="C6569" s="1">
        <f>IFERROR(__xludf.DUMMYFUNCTION("""COMPUTED_VALUE"""),1249.86)</f>
        <v>1249.86</v>
      </c>
      <c r="D6569" s="1">
        <f>IFERROR(__xludf.DUMMYFUNCTION("""COMPUTED_VALUE"""),1219.43)</f>
        <v>1219.43</v>
      </c>
      <c r="E6569" s="1">
        <f>IFERROR(__xludf.DUMMYFUNCTION("""COMPUTED_VALUE"""),1225.73)</f>
        <v>1225.73</v>
      </c>
      <c r="F6569" s="1">
        <f>IFERROR(__xludf.DUMMYFUNCTION("""COMPUTED_VALUE"""),0.0)</f>
        <v>0</v>
      </c>
    </row>
    <row r="6570">
      <c r="A6570" s="2">
        <f>IFERROR(__xludf.DUMMYFUNCTION("""COMPUTED_VALUE"""),40891.666666666664)</f>
        <v>40891.66667</v>
      </c>
      <c r="B6570" s="1">
        <f>IFERROR(__xludf.DUMMYFUNCTION("""COMPUTED_VALUE"""),1225.73)</f>
        <v>1225.73</v>
      </c>
      <c r="C6570" s="1">
        <f>IFERROR(__xludf.DUMMYFUNCTION("""COMPUTED_VALUE"""),1225.73)</f>
        <v>1225.73</v>
      </c>
      <c r="D6570" s="1">
        <f>IFERROR(__xludf.DUMMYFUNCTION("""COMPUTED_VALUE"""),1209.47)</f>
        <v>1209.47</v>
      </c>
      <c r="E6570" s="1">
        <f>IFERROR(__xludf.DUMMYFUNCTION("""COMPUTED_VALUE"""),1211.82)</f>
        <v>1211.82</v>
      </c>
      <c r="F6570" s="1">
        <f>IFERROR(__xludf.DUMMYFUNCTION("""COMPUTED_VALUE"""),0.0)</f>
        <v>0</v>
      </c>
    </row>
    <row r="6571">
      <c r="A6571" s="2">
        <f>IFERROR(__xludf.DUMMYFUNCTION("""COMPUTED_VALUE"""),40892.666666666664)</f>
        <v>40892.66667</v>
      </c>
      <c r="B6571" s="1">
        <f>IFERROR(__xludf.DUMMYFUNCTION("""COMPUTED_VALUE"""),1212.12)</f>
        <v>1212.12</v>
      </c>
      <c r="C6571" s="1">
        <f>IFERROR(__xludf.DUMMYFUNCTION("""COMPUTED_VALUE"""),1225.6)</f>
        <v>1225.6</v>
      </c>
      <c r="D6571" s="1">
        <f>IFERROR(__xludf.DUMMYFUNCTION("""COMPUTED_VALUE"""),1212.12)</f>
        <v>1212.12</v>
      </c>
      <c r="E6571" s="1">
        <f>IFERROR(__xludf.DUMMYFUNCTION("""COMPUTED_VALUE"""),1215.75)</f>
        <v>1215.75</v>
      </c>
      <c r="F6571" s="1">
        <f>IFERROR(__xludf.DUMMYFUNCTION("""COMPUTED_VALUE"""),0.0)</f>
        <v>0</v>
      </c>
    </row>
    <row r="6572">
      <c r="A6572" s="2">
        <f>IFERROR(__xludf.DUMMYFUNCTION("""COMPUTED_VALUE"""),40893.666666666664)</f>
        <v>40893.66667</v>
      </c>
      <c r="B6572" s="1">
        <f>IFERROR(__xludf.DUMMYFUNCTION("""COMPUTED_VALUE"""),1216.09)</f>
        <v>1216.09</v>
      </c>
      <c r="C6572" s="1">
        <f>IFERROR(__xludf.DUMMYFUNCTION("""COMPUTED_VALUE"""),1231.04)</f>
        <v>1231.04</v>
      </c>
      <c r="D6572" s="1">
        <f>IFERROR(__xludf.DUMMYFUNCTION("""COMPUTED_VALUE"""),1215.2)</f>
        <v>1215.2</v>
      </c>
      <c r="E6572" s="1">
        <f>IFERROR(__xludf.DUMMYFUNCTION("""COMPUTED_VALUE"""),1219.66)</f>
        <v>1219.66</v>
      </c>
      <c r="F6572" s="1">
        <f>IFERROR(__xludf.DUMMYFUNCTION("""COMPUTED_VALUE"""),0.0)</f>
        <v>0</v>
      </c>
    </row>
    <row r="6573">
      <c r="A6573" s="2">
        <f>IFERROR(__xludf.DUMMYFUNCTION("""COMPUTED_VALUE"""),40896.666666666664)</f>
        <v>40896.66667</v>
      </c>
      <c r="B6573" s="1">
        <f>IFERROR(__xludf.DUMMYFUNCTION("""COMPUTED_VALUE"""),1219.74)</f>
        <v>1219.74</v>
      </c>
      <c r="C6573" s="1">
        <f>IFERROR(__xludf.DUMMYFUNCTION("""COMPUTED_VALUE"""),1224.57)</f>
        <v>1224.57</v>
      </c>
      <c r="D6573" s="1">
        <f>IFERROR(__xludf.DUMMYFUNCTION("""COMPUTED_VALUE"""),1202.37)</f>
        <v>1202.37</v>
      </c>
      <c r="E6573" s="1">
        <f>IFERROR(__xludf.DUMMYFUNCTION("""COMPUTED_VALUE"""),1205.35)</f>
        <v>1205.35</v>
      </c>
      <c r="F6573" s="1">
        <f>IFERROR(__xludf.DUMMYFUNCTION("""COMPUTED_VALUE"""),0.0)</f>
        <v>0</v>
      </c>
    </row>
    <row r="6574">
      <c r="A6574" s="2">
        <f>IFERROR(__xludf.DUMMYFUNCTION("""COMPUTED_VALUE"""),40897.666666666664)</f>
        <v>40897.66667</v>
      </c>
      <c r="B6574" s="1">
        <f>IFERROR(__xludf.DUMMYFUNCTION("""COMPUTED_VALUE"""),1205.72)</f>
        <v>1205.72</v>
      </c>
      <c r="C6574" s="1">
        <f>IFERROR(__xludf.DUMMYFUNCTION("""COMPUTED_VALUE"""),1242.82)</f>
        <v>1242.82</v>
      </c>
      <c r="D6574" s="1">
        <f>IFERROR(__xludf.DUMMYFUNCTION("""COMPUTED_VALUE"""),1205.72)</f>
        <v>1205.72</v>
      </c>
      <c r="E6574" s="1">
        <f>IFERROR(__xludf.DUMMYFUNCTION("""COMPUTED_VALUE"""),1241.3)</f>
        <v>1241.3</v>
      </c>
      <c r="F6574" s="1">
        <f>IFERROR(__xludf.DUMMYFUNCTION("""COMPUTED_VALUE"""),0.0)</f>
        <v>0</v>
      </c>
    </row>
    <row r="6575">
      <c r="A6575" s="2">
        <f>IFERROR(__xludf.DUMMYFUNCTION("""COMPUTED_VALUE"""),40898.666666666664)</f>
        <v>40898.66667</v>
      </c>
      <c r="B6575" s="1">
        <f>IFERROR(__xludf.DUMMYFUNCTION("""COMPUTED_VALUE"""),1241.25)</f>
        <v>1241.25</v>
      </c>
      <c r="C6575" s="1">
        <f>IFERROR(__xludf.DUMMYFUNCTION("""COMPUTED_VALUE"""),1245.09)</f>
        <v>1245.09</v>
      </c>
      <c r="D6575" s="1">
        <f>IFERROR(__xludf.DUMMYFUNCTION("""COMPUTED_VALUE"""),1229.51)</f>
        <v>1229.51</v>
      </c>
      <c r="E6575" s="1">
        <f>IFERROR(__xludf.DUMMYFUNCTION("""COMPUTED_VALUE"""),1243.72)</f>
        <v>1243.72</v>
      </c>
      <c r="F6575" s="1">
        <f>IFERROR(__xludf.DUMMYFUNCTION("""COMPUTED_VALUE"""),0.0)</f>
        <v>0</v>
      </c>
    </row>
    <row r="6576">
      <c r="A6576" s="2">
        <f>IFERROR(__xludf.DUMMYFUNCTION("""COMPUTED_VALUE"""),40899.666666666664)</f>
        <v>40899.66667</v>
      </c>
      <c r="B6576" s="1">
        <f>IFERROR(__xludf.DUMMYFUNCTION("""COMPUTED_VALUE"""),1243.72)</f>
        <v>1243.72</v>
      </c>
      <c r="C6576" s="1">
        <f>IFERROR(__xludf.DUMMYFUNCTION("""COMPUTED_VALUE"""),1255.22)</f>
        <v>1255.22</v>
      </c>
      <c r="D6576" s="1">
        <f>IFERROR(__xludf.DUMMYFUNCTION("""COMPUTED_VALUE"""),1243.72)</f>
        <v>1243.72</v>
      </c>
      <c r="E6576" s="1">
        <f>IFERROR(__xludf.DUMMYFUNCTION("""COMPUTED_VALUE"""),1254.0)</f>
        <v>1254</v>
      </c>
      <c r="F6576" s="1">
        <f>IFERROR(__xludf.DUMMYFUNCTION("""COMPUTED_VALUE"""),0.0)</f>
        <v>0</v>
      </c>
    </row>
    <row r="6577">
      <c r="A6577" s="2">
        <f>IFERROR(__xludf.DUMMYFUNCTION("""COMPUTED_VALUE"""),40900.666666666664)</f>
        <v>40900.66667</v>
      </c>
      <c r="B6577" s="1">
        <f>IFERROR(__xludf.DUMMYFUNCTION("""COMPUTED_VALUE"""),1254.0)</f>
        <v>1254</v>
      </c>
      <c r="C6577" s="1">
        <f>IFERROR(__xludf.DUMMYFUNCTION("""COMPUTED_VALUE"""),1265.42)</f>
        <v>1265.42</v>
      </c>
      <c r="D6577" s="1">
        <f>IFERROR(__xludf.DUMMYFUNCTION("""COMPUTED_VALUE"""),1254.0)</f>
        <v>1254</v>
      </c>
      <c r="E6577" s="1">
        <f>IFERROR(__xludf.DUMMYFUNCTION("""COMPUTED_VALUE"""),1265.33)</f>
        <v>1265.33</v>
      </c>
      <c r="F6577" s="1">
        <f>IFERROR(__xludf.DUMMYFUNCTION("""COMPUTED_VALUE"""),0.0)</f>
        <v>0</v>
      </c>
    </row>
    <row r="6578">
      <c r="A6578" s="2">
        <f>IFERROR(__xludf.DUMMYFUNCTION("""COMPUTED_VALUE"""),40904.666666666664)</f>
        <v>40904.66667</v>
      </c>
      <c r="B6578" s="1">
        <f>IFERROR(__xludf.DUMMYFUNCTION("""COMPUTED_VALUE"""),1265.02)</f>
        <v>1265.02</v>
      </c>
      <c r="C6578" s="1">
        <f>IFERROR(__xludf.DUMMYFUNCTION("""COMPUTED_VALUE"""),1269.37)</f>
        <v>1269.37</v>
      </c>
      <c r="D6578" s="1">
        <f>IFERROR(__xludf.DUMMYFUNCTION("""COMPUTED_VALUE"""),1262.3)</f>
        <v>1262.3</v>
      </c>
      <c r="E6578" s="1">
        <f>IFERROR(__xludf.DUMMYFUNCTION("""COMPUTED_VALUE"""),1265.43)</f>
        <v>1265.43</v>
      </c>
      <c r="F6578" s="1">
        <f>IFERROR(__xludf.DUMMYFUNCTION("""COMPUTED_VALUE"""),0.0)</f>
        <v>0</v>
      </c>
    </row>
    <row r="6579">
      <c r="A6579" s="2">
        <f>IFERROR(__xludf.DUMMYFUNCTION("""COMPUTED_VALUE"""),40905.666666666664)</f>
        <v>40905.66667</v>
      </c>
      <c r="B6579" s="1">
        <f>IFERROR(__xludf.DUMMYFUNCTION("""COMPUTED_VALUE"""),1265.38)</f>
        <v>1265.38</v>
      </c>
      <c r="C6579" s="1">
        <f>IFERROR(__xludf.DUMMYFUNCTION("""COMPUTED_VALUE"""),1265.85)</f>
        <v>1265.85</v>
      </c>
      <c r="D6579" s="1">
        <f>IFERROR(__xludf.DUMMYFUNCTION("""COMPUTED_VALUE"""),1248.64)</f>
        <v>1248.64</v>
      </c>
      <c r="E6579" s="1">
        <f>IFERROR(__xludf.DUMMYFUNCTION("""COMPUTED_VALUE"""),1249.64)</f>
        <v>1249.64</v>
      </c>
      <c r="F6579" s="1">
        <f>IFERROR(__xludf.DUMMYFUNCTION("""COMPUTED_VALUE"""),0.0)</f>
        <v>0</v>
      </c>
    </row>
    <row r="6580">
      <c r="A6580" s="2">
        <f>IFERROR(__xludf.DUMMYFUNCTION("""COMPUTED_VALUE"""),40906.666666666664)</f>
        <v>40906.66667</v>
      </c>
      <c r="B6580" s="1">
        <f>IFERROR(__xludf.DUMMYFUNCTION("""COMPUTED_VALUE"""),1249.75)</f>
        <v>1249.75</v>
      </c>
      <c r="C6580" s="1">
        <f>IFERROR(__xludf.DUMMYFUNCTION("""COMPUTED_VALUE"""),1263.54)</f>
        <v>1263.54</v>
      </c>
      <c r="D6580" s="1">
        <f>IFERROR(__xludf.DUMMYFUNCTION("""COMPUTED_VALUE"""),1249.75)</f>
        <v>1249.75</v>
      </c>
      <c r="E6580" s="1">
        <f>IFERROR(__xludf.DUMMYFUNCTION("""COMPUTED_VALUE"""),1263.02)</f>
        <v>1263.02</v>
      </c>
      <c r="F6580" s="1">
        <f>IFERROR(__xludf.DUMMYFUNCTION("""COMPUTED_VALUE"""),0.0)</f>
        <v>0</v>
      </c>
    </row>
    <row r="6581">
      <c r="A6581" s="2">
        <f>IFERROR(__xludf.DUMMYFUNCTION("""COMPUTED_VALUE"""),40907.666666666664)</f>
        <v>40907.66667</v>
      </c>
      <c r="B6581" s="1">
        <f>IFERROR(__xludf.DUMMYFUNCTION("""COMPUTED_VALUE"""),1262.82)</f>
        <v>1262.82</v>
      </c>
      <c r="C6581" s="1">
        <f>IFERROR(__xludf.DUMMYFUNCTION("""COMPUTED_VALUE"""),1264.12)</f>
        <v>1264.12</v>
      </c>
      <c r="D6581" s="1">
        <f>IFERROR(__xludf.DUMMYFUNCTION("""COMPUTED_VALUE"""),1257.46)</f>
        <v>1257.46</v>
      </c>
      <c r="E6581" s="1">
        <f>IFERROR(__xludf.DUMMYFUNCTION("""COMPUTED_VALUE"""),1257.6)</f>
        <v>1257.6</v>
      </c>
      <c r="F6581" s="1">
        <f>IFERROR(__xludf.DUMMYFUNCTION("""COMPUTED_VALUE"""),0.0)</f>
        <v>0</v>
      </c>
    </row>
    <row r="6582">
      <c r="A6582" s="2">
        <f>IFERROR(__xludf.DUMMYFUNCTION("""COMPUTED_VALUE"""),40911.666666666664)</f>
        <v>40911.66667</v>
      </c>
      <c r="B6582" s="1">
        <f>IFERROR(__xludf.DUMMYFUNCTION("""COMPUTED_VALUE"""),1258.86)</f>
        <v>1258.86</v>
      </c>
      <c r="C6582" s="1">
        <f>IFERROR(__xludf.DUMMYFUNCTION("""COMPUTED_VALUE"""),1284.62)</f>
        <v>1284.62</v>
      </c>
      <c r="D6582" s="1">
        <f>IFERROR(__xludf.DUMMYFUNCTION("""COMPUTED_VALUE"""),1258.86)</f>
        <v>1258.86</v>
      </c>
      <c r="E6582" s="1">
        <f>IFERROR(__xludf.DUMMYFUNCTION("""COMPUTED_VALUE"""),1277.06)</f>
        <v>1277.06</v>
      </c>
      <c r="F6582" s="1">
        <f>IFERROR(__xludf.DUMMYFUNCTION("""COMPUTED_VALUE"""),0.0)</f>
        <v>0</v>
      </c>
    </row>
    <row r="6583">
      <c r="A6583" s="2">
        <f>IFERROR(__xludf.DUMMYFUNCTION("""COMPUTED_VALUE"""),40912.666666666664)</f>
        <v>40912.66667</v>
      </c>
      <c r="B6583" s="1">
        <f>IFERROR(__xludf.DUMMYFUNCTION("""COMPUTED_VALUE"""),1277.03)</f>
        <v>1277.03</v>
      </c>
      <c r="C6583" s="1">
        <f>IFERROR(__xludf.DUMMYFUNCTION("""COMPUTED_VALUE"""),1278.73)</f>
        <v>1278.73</v>
      </c>
      <c r="D6583" s="1">
        <f>IFERROR(__xludf.DUMMYFUNCTION("""COMPUTED_VALUE"""),1268.1)</f>
        <v>1268.1</v>
      </c>
      <c r="E6583" s="1">
        <f>IFERROR(__xludf.DUMMYFUNCTION("""COMPUTED_VALUE"""),1277.3)</f>
        <v>1277.3</v>
      </c>
      <c r="F6583" s="1">
        <f>IFERROR(__xludf.DUMMYFUNCTION("""COMPUTED_VALUE"""),0.0)</f>
        <v>0</v>
      </c>
    </row>
    <row r="6584">
      <c r="A6584" s="2">
        <f>IFERROR(__xludf.DUMMYFUNCTION("""COMPUTED_VALUE"""),40913.666666666664)</f>
        <v>40913.66667</v>
      </c>
      <c r="B6584" s="1">
        <f>IFERROR(__xludf.DUMMYFUNCTION("""COMPUTED_VALUE"""),1277.3)</f>
        <v>1277.3</v>
      </c>
      <c r="C6584" s="1">
        <f>IFERROR(__xludf.DUMMYFUNCTION("""COMPUTED_VALUE"""),1283.05)</f>
        <v>1283.05</v>
      </c>
      <c r="D6584" s="1">
        <f>IFERROR(__xludf.DUMMYFUNCTION("""COMPUTED_VALUE"""),1265.26)</f>
        <v>1265.26</v>
      </c>
      <c r="E6584" s="1">
        <f>IFERROR(__xludf.DUMMYFUNCTION("""COMPUTED_VALUE"""),1281.06)</f>
        <v>1281.06</v>
      </c>
      <c r="F6584" s="1">
        <f>IFERROR(__xludf.DUMMYFUNCTION("""COMPUTED_VALUE"""),0.0)</f>
        <v>0</v>
      </c>
    </row>
    <row r="6585">
      <c r="A6585" s="2">
        <f>IFERROR(__xludf.DUMMYFUNCTION("""COMPUTED_VALUE"""),40914.666666666664)</f>
        <v>40914.66667</v>
      </c>
      <c r="B6585" s="1">
        <f>IFERROR(__xludf.DUMMYFUNCTION("""COMPUTED_VALUE"""),1280.93)</f>
        <v>1280.93</v>
      </c>
      <c r="C6585" s="1">
        <f>IFERROR(__xludf.DUMMYFUNCTION("""COMPUTED_VALUE"""),1281.84)</f>
        <v>1281.84</v>
      </c>
      <c r="D6585" s="1">
        <f>IFERROR(__xludf.DUMMYFUNCTION("""COMPUTED_VALUE"""),1273.34)</f>
        <v>1273.34</v>
      </c>
      <c r="E6585" s="1">
        <f>IFERROR(__xludf.DUMMYFUNCTION("""COMPUTED_VALUE"""),1277.81)</f>
        <v>1277.81</v>
      </c>
      <c r="F6585" s="1">
        <f>IFERROR(__xludf.DUMMYFUNCTION("""COMPUTED_VALUE"""),0.0)</f>
        <v>0</v>
      </c>
    </row>
    <row r="6586">
      <c r="A6586" s="2">
        <f>IFERROR(__xludf.DUMMYFUNCTION("""COMPUTED_VALUE"""),40917.666666666664)</f>
        <v>40917.66667</v>
      </c>
      <c r="B6586" s="1">
        <f>IFERROR(__xludf.DUMMYFUNCTION("""COMPUTED_VALUE"""),1277.83)</f>
        <v>1277.83</v>
      </c>
      <c r="C6586" s="1">
        <f>IFERROR(__xludf.DUMMYFUNCTION("""COMPUTED_VALUE"""),1281.99)</f>
        <v>1281.99</v>
      </c>
      <c r="D6586" s="1">
        <f>IFERROR(__xludf.DUMMYFUNCTION("""COMPUTED_VALUE"""),1274.55)</f>
        <v>1274.55</v>
      </c>
      <c r="E6586" s="1">
        <f>IFERROR(__xludf.DUMMYFUNCTION("""COMPUTED_VALUE"""),1280.7)</f>
        <v>1280.7</v>
      </c>
      <c r="F6586" s="1">
        <f>IFERROR(__xludf.DUMMYFUNCTION("""COMPUTED_VALUE"""),0.0)</f>
        <v>0</v>
      </c>
    </row>
    <row r="6587">
      <c r="A6587" s="2">
        <f>IFERROR(__xludf.DUMMYFUNCTION("""COMPUTED_VALUE"""),40918.666666666664)</f>
        <v>40918.66667</v>
      </c>
      <c r="B6587" s="1">
        <f>IFERROR(__xludf.DUMMYFUNCTION("""COMPUTED_VALUE"""),1280.77)</f>
        <v>1280.77</v>
      </c>
      <c r="C6587" s="1">
        <f>IFERROR(__xludf.DUMMYFUNCTION("""COMPUTED_VALUE"""),1296.46)</f>
        <v>1296.46</v>
      </c>
      <c r="D6587" s="1">
        <f>IFERROR(__xludf.DUMMYFUNCTION("""COMPUTED_VALUE"""),1280.77)</f>
        <v>1280.77</v>
      </c>
      <c r="E6587" s="1">
        <f>IFERROR(__xludf.DUMMYFUNCTION("""COMPUTED_VALUE"""),1292.08)</f>
        <v>1292.08</v>
      </c>
      <c r="F6587" s="1">
        <f>IFERROR(__xludf.DUMMYFUNCTION("""COMPUTED_VALUE"""),0.0)</f>
        <v>0</v>
      </c>
    </row>
    <row r="6588">
      <c r="A6588" s="2">
        <f>IFERROR(__xludf.DUMMYFUNCTION("""COMPUTED_VALUE"""),40919.666666666664)</f>
        <v>40919.66667</v>
      </c>
      <c r="B6588" s="1">
        <f>IFERROR(__xludf.DUMMYFUNCTION("""COMPUTED_VALUE"""),1292.02)</f>
        <v>1292.02</v>
      </c>
      <c r="C6588" s="1">
        <f>IFERROR(__xludf.DUMMYFUNCTION("""COMPUTED_VALUE"""),1293.8)</f>
        <v>1293.8</v>
      </c>
      <c r="D6588" s="1">
        <f>IFERROR(__xludf.DUMMYFUNCTION("""COMPUTED_VALUE"""),1285.41)</f>
        <v>1285.41</v>
      </c>
      <c r="E6588" s="1">
        <f>IFERROR(__xludf.DUMMYFUNCTION("""COMPUTED_VALUE"""),1292.48)</f>
        <v>1292.48</v>
      </c>
      <c r="F6588" s="1">
        <f>IFERROR(__xludf.DUMMYFUNCTION("""COMPUTED_VALUE"""),0.0)</f>
        <v>0</v>
      </c>
    </row>
    <row r="6589">
      <c r="A6589" s="2">
        <f>IFERROR(__xludf.DUMMYFUNCTION("""COMPUTED_VALUE"""),40920.666666666664)</f>
        <v>40920.66667</v>
      </c>
      <c r="B6589" s="1">
        <f>IFERROR(__xludf.DUMMYFUNCTION("""COMPUTED_VALUE"""),1292.48)</f>
        <v>1292.48</v>
      </c>
      <c r="C6589" s="1">
        <f>IFERROR(__xludf.DUMMYFUNCTION("""COMPUTED_VALUE"""),1296.82)</f>
        <v>1296.82</v>
      </c>
      <c r="D6589" s="1">
        <f>IFERROR(__xludf.DUMMYFUNCTION("""COMPUTED_VALUE"""),1285.77)</f>
        <v>1285.77</v>
      </c>
      <c r="E6589" s="1">
        <f>IFERROR(__xludf.DUMMYFUNCTION("""COMPUTED_VALUE"""),1295.5)</f>
        <v>1295.5</v>
      </c>
      <c r="F6589" s="1">
        <f>IFERROR(__xludf.DUMMYFUNCTION("""COMPUTED_VALUE"""),0.0)</f>
        <v>0</v>
      </c>
    </row>
    <row r="6590">
      <c r="A6590" s="2">
        <f>IFERROR(__xludf.DUMMYFUNCTION("""COMPUTED_VALUE"""),40921.666666666664)</f>
        <v>40921.66667</v>
      </c>
      <c r="B6590" s="1">
        <f>IFERROR(__xludf.DUMMYFUNCTION("""COMPUTED_VALUE"""),1294.82)</f>
        <v>1294.82</v>
      </c>
      <c r="C6590" s="1">
        <f>IFERROR(__xludf.DUMMYFUNCTION("""COMPUTED_VALUE"""),1294.82)</f>
        <v>1294.82</v>
      </c>
      <c r="D6590" s="1">
        <f>IFERROR(__xludf.DUMMYFUNCTION("""COMPUTED_VALUE"""),1277.58)</f>
        <v>1277.58</v>
      </c>
      <c r="E6590" s="1">
        <f>IFERROR(__xludf.DUMMYFUNCTION("""COMPUTED_VALUE"""),1289.09)</f>
        <v>1289.09</v>
      </c>
      <c r="F6590" s="1">
        <f>IFERROR(__xludf.DUMMYFUNCTION("""COMPUTED_VALUE"""),0.0)</f>
        <v>0</v>
      </c>
    </row>
    <row r="6591">
      <c r="A6591" s="2">
        <f>IFERROR(__xludf.DUMMYFUNCTION("""COMPUTED_VALUE"""),40925.666666666664)</f>
        <v>40925.66667</v>
      </c>
      <c r="B6591" s="1">
        <f>IFERROR(__xludf.DUMMYFUNCTION("""COMPUTED_VALUE"""),1290.22)</f>
        <v>1290.22</v>
      </c>
      <c r="C6591" s="1">
        <f>IFERROR(__xludf.DUMMYFUNCTION("""COMPUTED_VALUE"""),1303.0)</f>
        <v>1303</v>
      </c>
      <c r="D6591" s="1">
        <f>IFERROR(__xludf.DUMMYFUNCTION("""COMPUTED_VALUE"""),1290.22)</f>
        <v>1290.22</v>
      </c>
      <c r="E6591" s="1">
        <f>IFERROR(__xludf.DUMMYFUNCTION("""COMPUTED_VALUE"""),1293.67)</f>
        <v>1293.67</v>
      </c>
      <c r="F6591" s="1">
        <f>IFERROR(__xludf.DUMMYFUNCTION("""COMPUTED_VALUE"""),0.0)</f>
        <v>0</v>
      </c>
    </row>
    <row r="6592">
      <c r="A6592" s="2">
        <f>IFERROR(__xludf.DUMMYFUNCTION("""COMPUTED_VALUE"""),40926.666666666664)</f>
        <v>40926.66667</v>
      </c>
      <c r="B6592" s="1">
        <f>IFERROR(__xludf.DUMMYFUNCTION("""COMPUTED_VALUE"""),1293.65)</f>
        <v>1293.65</v>
      </c>
      <c r="C6592" s="1">
        <f>IFERROR(__xludf.DUMMYFUNCTION("""COMPUTED_VALUE"""),1308.11)</f>
        <v>1308.11</v>
      </c>
      <c r="D6592" s="1">
        <f>IFERROR(__xludf.DUMMYFUNCTION("""COMPUTED_VALUE"""),1290.99)</f>
        <v>1290.99</v>
      </c>
      <c r="E6592" s="1">
        <f>IFERROR(__xludf.DUMMYFUNCTION("""COMPUTED_VALUE"""),1308.04)</f>
        <v>1308.04</v>
      </c>
      <c r="F6592" s="1">
        <f>IFERROR(__xludf.DUMMYFUNCTION("""COMPUTED_VALUE"""),0.0)</f>
        <v>0</v>
      </c>
    </row>
    <row r="6593">
      <c r="A6593" s="2">
        <f>IFERROR(__xludf.DUMMYFUNCTION("""COMPUTED_VALUE"""),40927.666666666664)</f>
        <v>40927.66667</v>
      </c>
      <c r="B6593" s="1">
        <f>IFERROR(__xludf.DUMMYFUNCTION("""COMPUTED_VALUE"""),1308.07)</f>
        <v>1308.07</v>
      </c>
      <c r="C6593" s="1">
        <f>IFERROR(__xludf.DUMMYFUNCTION("""COMPUTED_VALUE"""),1315.49)</f>
        <v>1315.49</v>
      </c>
      <c r="D6593" s="1">
        <f>IFERROR(__xludf.DUMMYFUNCTION("""COMPUTED_VALUE"""),1308.07)</f>
        <v>1308.07</v>
      </c>
      <c r="E6593" s="1">
        <f>IFERROR(__xludf.DUMMYFUNCTION("""COMPUTED_VALUE"""),1314.5)</f>
        <v>1314.5</v>
      </c>
      <c r="F6593" s="1">
        <f>IFERROR(__xludf.DUMMYFUNCTION("""COMPUTED_VALUE"""),0.0)</f>
        <v>0</v>
      </c>
    </row>
    <row r="6594">
      <c r="A6594" s="2">
        <f>IFERROR(__xludf.DUMMYFUNCTION("""COMPUTED_VALUE"""),40928.666666666664)</f>
        <v>40928.66667</v>
      </c>
      <c r="B6594" s="1">
        <f>IFERROR(__xludf.DUMMYFUNCTION("""COMPUTED_VALUE"""),1314.49)</f>
        <v>1314.49</v>
      </c>
      <c r="C6594" s="1">
        <f>IFERROR(__xludf.DUMMYFUNCTION("""COMPUTED_VALUE"""),1315.38)</f>
        <v>1315.38</v>
      </c>
      <c r="D6594" s="1">
        <f>IFERROR(__xludf.DUMMYFUNCTION("""COMPUTED_VALUE"""),1309.17)</f>
        <v>1309.17</v>
      </c>
      <c r="E6594" s="1">
        <f>IFERROR(__xludf.DUMMYFUNCTION("""COMPUTED_VALUE"""),1315.38)</f>
        <v>1315.38</v>
      </c>
      <c r="F6594" s="1">
        <f>IFERROR(__xludf.DUMMYFUNCTION("""COMPUTED_VALUE"""),0.0)</f>
        <v>0</v>
      </c>
    </row>
    <row r="6595">
      <c r="A6595" s="2">
        <f>IFERROR(__xludf.DUMMYFUNCTION("""COMPUTED_VALUE"""),40931.666666666664)</f>
        <v>40931.66667</v>
      </c>
      <c r="B6595" s="1">
        <f>IFERROR(__xludf.DUMMYFUNCTION("""COMPUTED_VALUE"""),1315.29)</f>
        <v>1315.29</v>
      </c>
      <c r="C6595" s="1">
        <f>IFERROR(__xludf.DUMMYFUNCTION("""COMPUTED_VALUE"""),1322.28)</f>
        <v>1322.28</v>
      </c>
      <c r="D6595" s="1">
        <f>IFERROR(__xludf.DUMMYFUNCTION("""COMPUTED_VALUE"""),1309.89)</f>
        <v>1309.89</v>
      </c>
      <c r="E6595" s="1">
        <f>IFERROR(__xludf.DUMMYFUNCTION("""COMPUTED_VALUE"""),1316.0)</f>
        <v>1316</v>
      </c>
      <c r="F6595" s="1">
        <f>IFERROR(__xludf.DUMMYFUNCTION("""COMPUTED_VALUE"""),0.0)</f>
        <v>0</v>
      </c>
    </row>
    <row r="6596">
      <c r="A6596" s="2">
        <f>IFERROR(__xludf.DUMMYFUNCTION("""COMPUTED_VALUE"""),40932.666666666664)</f>
        <v>40932.66667</v>
      </c>
      <c r="B6596" s="1">
        <f>IFERROR(__xludf.DUMMYFUNCTION("""COMPUTED_VALUE"""),1315.96)</f>
        <v>1315.96</v>
      </c>
      <c r="C6596" s="1">
        <f>IFERROR(__xludf.DUMMYFUNCTION("""COMPUTED_VALUE"""),1315.96)</f>
        <v>1315.96</v>
      </c>
      <c r="D6596" s="1">
        <f>IFERROR(__xludf.DUMMYFUNCTION("""COMPUTED_VALUE"""),1306.06)</f>
        <v>1306.06</v>
      </c>
      <c r="E6596" s="1">
        <f>IFERROR(__xludf.DUMMYFUNCTION("""COMPUTED_VALUE"""),1314.63)</f>
        <v>1314.63</v>
      </c>
      <c r="F6596" s="1">
        <f>IFERROR(__xludf.DUMMYFUNCTION("""COMPUTED_VALUE"""),0.0)</f>
        <v>0</v>
      </c>
    </row>
    <row r="6597">
      <c r="A6597" s="2">
        <f>IFERROR(__xludf.DUMMYFUNCTION("""COMPUTED_VALUE"""),40933.666666666664)</f>
        <v>40933.66667</v>
      </c>
      <c r="B6597" s="1">
        <f>IFERROR(__xludf.DUMMYFUNCTION("""COMPUTED_VALUE"""),1314.4)</f>
        <v>1314.4</v>
      </c>
      <c r="C6597" s="1">
        <f>IFERROR(__xludf.DUMMYFUNCTION("""COMPUTED_VALUE"""),1328.3)</f>
        <v>1328.3</v>
      </c>
      <c r="D6597" s="1">
        <f>IFERROR(__xludf.DUMMYFUNCTION("""COMPUTED_VALUE"""),1307.65)</f>
        <v>1307.65</v>
      </c>
      <c r="E6597" s="1">
        <f>IFERROR(__xludf.DUMMYFUNCTION("""COMPUTED_VALUE"""),1326.06)</f>
        <v>1326.06</v>
      </c>
      <c r="F6597" s="1">
        <f>IFERROR(__xludf.DUMMYFUNCTION("""COMPUTED_VALUE"""),0.0)</f>
        <v>0</v>
      </c>
    </row>
    <row r="6598">
      <c r="A6598" s="2">
        <f>IFERROR(__xludf.DUMMYFUNCTION("""COMPUTED_VALUE"""),40934.666666666664)</f>
        <v>40934.66667</v>
      </c>
      <c r="B6598" s="1">
        <f>IFERROR(__xludf.DUMMYFUNCTION("""COMPUTED_VALUE"""),1326.28)</f>
        <v>1326.28</v>
      </c>
      <c r="C6598" s="1">
        <f>IFERROR(__xludf.DUMMYFUNCTION("""COMPUTED_VALUE"""),1333.47)</f>
        <v>1333.47</v>
      </c>
      <c r="D6598" s="1">
        <f>IFERROR(__xludf.DUMMYFUNCTION("""COMPUTED_VALUE"""),1313.6)</f>
        <v>1313.6</v>
      </c>
      <c r="E6598" s="1">
        <f>IFERROR(__xludf.DUMMYFUNCTION("""COMPUTED_VALUE"""),1318.45)</f>
        <v>1318.45</v>
      </c>
      <c r="F6598" s="1">
        <f>IFERROR(__xludf.DUMMYFUNCTION("""COMPUTED_VALUE"""),0.0)</f>
        <v>0</v>
      </c>
    </row>
    <row r="6599">
      <c r="A6599" s="2">
        <f>IFERROR(__xludf.DUMMYFUNCTION("""COMPUTED_VALUE"""),40935.666666666664)</f>
        <v>40935.66667</v>
      </c>
      <c r="B6599" s="1">
        <f>IFERROR(__xludf.DUMMYFUNCTION("""COMPUTED_VALUE"""),1318.25)</f>
        <v>1318.25</v>
      </c>
      <c r="C6599" s="1">
        <f>IFERROR(__xludf.DUMMYFUNCTION("""COMPUTED_VALUE"""),1320.06)</f>
        <v>1320.06</v>
      </c>
      <c r="D6599" s="1">
        <f>IFERROR(__xludf.DUMMYFUNCTION("""COMPUTED_VALUE"""),1311.72)</f>
        <v>1311.72</v>
      </c>
      <c r="E6599" s="1">
        <f>IFERROR(__xludf.DUMMYFUNCTION("""COMPUTED_VALUE"""),1316.32)</f>
        <v>1316.32</v>
      </c>
      <c r="F6599" s="1">
        <f>IFERROR(__xludf.DUMMYFUNCTION("""COMPUTED_VALUE"""),0.0)</f>
        <v>0</v>
      </c>
    </row>
    <row r="6600">
      <c r="A6600" s="2">
        <f>IFERROR(__xludf.DUMMYFUNCTION("""COMPUTED_VALUE"""),40938.666666666664)</f>
        <v>40938.66667</v>
      </c>
      <c r="B6600" s="1">
        <f>IFERROR(__xludf.DUMMYFUNCTION("""COMPUTED_VALUE"""),1316.16)</f>
        <v>1316.16</v>
      </c>
      <c r="C6600" s="1">
        <f>IFERROR(__xludf.DUMMYFUNCTION("""COMPUTED_VALUE"""),1316.16)</f>
        <v>1316.16</v>
      </c>
      <c r="D6600" s="1">
        <f>IFERROR(__xludf.DUMMYFUNCTION("""COMPUTED_VALUE"""),1300.49)</f>
        <v>1300.49</v>
      </c>
      <c r="E6600" s="1">
        <f>IFERROR(__xludf.DUMMYFUNCTION("""COMPUTED_VALUE"""),1313.02)</f>
        <v>1313.02</v>
      </c>
      <c r="F6600" s="1">
        <f>IFERROR(__xludf.DUMMYFUNCTION("""COMPUTED_VALUE"""),0.0)</f>
        <v>0</v>
      </c>
    </row>
    <row r="6601">
      <c r="A6601" s="2">
        <f>IFERROR(__xludf.DUMMYFUNCTION("""COMPUTED_VALUE"""),40939.666666666664)</f>
        <v>40939.66667</v>
      </c>
      <c r="B6601" s="1">
        <f>IFERROR(__xludf.DUMMYFUNCTION("""COMPUTED_VALUE"""),1313.53)</f>
        <v>1313.53</v>
      </c>
      <c r="C6601" s="1">
        <f>IFERROR(__xludf.DUMMYFUNCTION("""COMPUTED_VALUE"""),1321.41)</f>
        <v>1321.41</v>
      </c>
      <c r="D6601" s="1">
        <f>IFERROR(__xludf.DUMMYFUNCTION("""COMPUTED_VALUE"""),1306.69)</f>
        <v>1306.69</v>
      </c>
      <c r="E6601" s="1">
        <f>IFERROR(__xludf.DUMMYFUNCTION("""COMPUTED_VALUE"""),1312.4)</f>
        <v>1312.4</v>
      </c>
      <c r="F6601" s="1">
        <f>IFERROR(__xludf.DUMMYFUNCTION("""COMPUTED_VALUE"""),0.0)</f>
        <v>0</v>
      </c>
    </row>
    <row r="6602">
      <c r="A6602" s="2">
        <f>IFERROR(__xludf.DUMMYFUNCTION("""COMPUTED_VALUE"""),40940.666666666664)</f>
        <v>40940.66667</v>
      </c>
      <c r="B6602" s="1">
        <f>IFERROR(__xludf.DUMMYFUNCTION("""COMPUTED_VALUE"""),1312.45)</f>
        <v>1312.45</v>
      </c>
      <c r="C6602" s="1">
        <f>IFERROR(__xludf.DUMMYFUNCTION("""COMPUTED_VALUE"""),1330.52)</f>
        <v>1330.52</v>
      </c>
      <c r="D6602" s="1">
        <f>IFERROR(__xludf.DUMMYFUNCTION("""COMPUTED_VALUE"""),1312.45)</f>
        <v>1312.45</v>
      </c>
      <c r="E6602" s="1">
        <f>IFERROR(__xludf.DUMMYFUNCTION("""COMPUTED_VALUE"""),1324.08)</f>
        <v>1324.08</v>
      </c>
      <c r="F6602" s="1">
        <f>IFERROR(__xludf.DUMMYFUNCTION("""COMPUTED_VALUE"""),0.0)</f>
        <v>0</v>
      </c>
    </row>
    <row r="6603">
      <c r="A6603" s="2">
        <f>IFERROR(__xludf.DUMMYFUNCTION("""COMPUTED_VALUE"""),40941.666666666664)</f>
        <v>40941.66667</v>
      </c>
      <c r="B6603" s="1">
        <f>IFERROR(__xludf.DUMMYFUNCTION("""COMPUTED_VALUE"""),1324.24)</f>
        <v>1324.24</v>
      </c>
      <c r="C6603" s="1">
        <f>IFERROR(__xludf.DUMMYFUNCTION("""COMPUTED_VALUE"""),1329.19)</f>
        <v>1329.19</v>
      </c>
      <c r="D6603" s="1">
        <f>IFERROR(__xludf.DUMMYFUNCTION("""COMPUTED_VALUE"""),1321.57)</f>
        <v>1321.57</v>
      </c>
      <c r="E6603" s="1">
        <f>IFERROR(__xludf.DUMMYFUNCTION("""COMPUTED_VALUE"""),1325.54)</f>
        <v>1325.54</v>
      </c>
      <c r="F6603" s="1">
        <f>IFERROR(__xludf.DUMMYFUNCTION("""COMPUTED_VALUE"""),0.0)</f>
        <v>0</v>
      </c>
    </row>
    <row r="6604">
      <c r="A6604" s="2">
        <f>IFERROR(__xludf.DUMMYFUNCTION("""COMPUTED_VALUE"""),40942.666666666664)</f>
        <v>40942.66667</v>
      </c>
      <c r="B6604" s="1">
        <f>IFERROR(__xludf.DUMMYFUNCTION("""COMPUTED_VALUE"""),1326.21)</f>
        <v>1326.21</v>
      </c>
      <c r="C6604" s="1">
        <f>IFERROR(__xludf.DUMMYFUNCTION("""COMPUTED_VALUE"""),1345.34)</f>
        <v>1345.34</v>
      </c>
      <c r="D6604" s="1">
        <f>IFERROR(__xludf.DUMMYFUNCTION("""COMPUTED_VALUE"""),1326.21)</f>
        <v>1326.21</v>
      </c>
      <c r="E6604" s="1">
        <f>IFERROR(__xludf.DUMMYFUNCTION("""COMPUTED_VALUE"""),1344.9)</f>
        <v>1344.9</v>
      </c>
      <c r="F6604" s="1">
        <f>IFERROR(__xludf.DUMMYFUNCTION("""COMPUTED_VALUE"""),0.0)</f>
        <v>0</v>
      </c>
    </row>
    <row r="6605">
      <c r="A6605" s="2">
        <f>IFERROR(__xludf.DUMMYFUNCTION("""COMPUTED_VALUE"""),40945.666666666664)</f>
        <v>40945.66667</v>
      </c>
      <c r="B6605" s="1">
        <f>IFERROR(__xludf.DUMMYFUNCTION("""COMPUTED_VALUE"""),1344.32)</f>
        <v>1344.32</v>
      </c>
      <c r="C6605" s="1">
        <f>IFERROR(__xludf.DUMMYFUNCTION("""COMPUTED_VALUE"""),1344.36)</f>
        <v>1344.36</v>
      </c>
      <c r="D6605" s="1">
        <f>IFERROR(__xludf.DUMMYFUNCTION("""COMPUTED_VALUE"""),1337.52)</f>
        <v>1337.52</v>
      </c>
      <c r="E6605" s="1">
        <f>IFERROR(__xludf.DUMMYFUNCTION("""COMPUTED_VALUE"""),1344.33)</f>
        <v>1344.33</v>
      </c>
      <c r="F6605" s="1">
        <f>IFERROR(__xludf.DUMMYFUNCTION("""COMPUTED_VALUE"""),0.0)</f>
        <v>0</v>
      </c>
    </row>
    <row r="6606">
      <c r="A6606" s="2">
        <f>IFERROR(__xludf.DUMMYFUNCTION("""COMPUTED_VALUE"""),40946.666666666664)</f>
        <v>40946.66667</v>
      </c>
      <c r="B6606" s="1">
        <f>IFERROR(__xludf.DUMMYFUNCTION("""COMPUTED_VALUE"""),1344.33)</f>
        <v>1344.33</v>
      </c>
      <c r="C6606" s="1">
        <f>IFERROR(__xludf.DUMMYFUNCTION("""COMPUTED_VALUE"""),1349.24)</f>
        <v>1349.24</v>
      </c>
      <c r="D6606" s="1">
        <f>IFERROR(__xludf.DUMMYFUNCTION("""COMPUTED_VALUE"""),1335.92)</f>
        <v>1335.92</v>
      </c>
      <c r="E6606" s="1">
        <f>IFERROR(__xludf.DUMMYFUNCTION("""COMPUTED_VALUE"""),1347.05)</f>
        <v>1347.05</v>
      </c>
      <c r="F6606" s="1">
        <f>IFERROR(__xludf.DUMMYFUNCTION("""COMPUTED_VALUE"""),0.0)</f>
        <v>0</v>
      </c>
    </row>
    <row r="6607">
      <c r="A6607" s="2">
        <f>IFERROR(__xludf.DUMMYFUNCTION("""COMPUTED_VALUE"""),40947.666666666664)</f>
        <v>40947.66667</v>
      </c>
      <c r="B6607" s="1">
        <f>IFERROR(__xludf.DUMMYFUNCTION("""COMPUTED_VALUE"""),1347.04)</f>
        <v>1347.04</v>
      </c>
      <c r="C6607" s="1">
        <f>IFERROR(__xludf.DUMMYFUNCTION("""COMPUTED_VALUE"""),1351.0)</f>
        <v>1351</v>
      </c>
      <c r="D6607" s="1">
        <f>IFERROR(__xludf.DUMMYFUNCTION("""COMPUTED_VALUE"""),1341.95)</f>
        <v>1341.95</v>
      </c>
      <c r="E6607" s="1">
        <f>IFERROR(__xludf.DUMMYFUNCTION("""COMPUTED_VALUE"""),1349.96)</f>
        <v>1349.96</v>
      </c>
      <c r="F6607" s="1">
        <f>IFERROR(__xludf.DUMMYFUNCTION("""COMPUTED_VALUE"""),0.0)</f>
        <v>0</v>
      </c>
    </row>
    <row r="6608">
      <c r="A6608" s="2">
        <f>IFERROR(__xludf.DUMMYFUNCTION("""COMPUTED_VALUE"""),40948.666666666664)</f>
        <v>40948.66667</v>
      </c>
      <c r="B6608" s="1">
        <f>IFERROR(__xludf.DUMMYFUNCTION("""COMPUTED_VALUE"""),1349.97)</f>
        <v>1349.97</v>
      </c>
      <c r="C6608" s="1">
        <f>IFERROR(__xludf.DUMMYFUNCTION("""COMPUTED_VALUE"""),1354.32)</f>
        <v>1354.32</v>
      </c>
      <c r="D6608" s="1">
        <f>IFERROR(__xludf.DUMMYFUNCTION("""COMPUTED_VALUE"""),1344.63)</f>
        <v>1344.63</v>
      </c>
      <c r="E6608" s="1">
        <f>IFERROR(__xludf.DUMMYFUNCTION("""COMPUTED_VALUE"""),1351.95)</f>
        <v>1351.95</v>
      </c>
      <c r="F6608" s="1">
        <f>IFERROR(__xludf.DUMMYFUNCTION("""COMPUTED_VALUE"""),0.0)</f>
        <v>0</v>
      </c>
    </row>
    <row r="6609">
      <c r="A6609" s="2">
        <f>IFERROR(__xludf.DUMMYFUNCTION("""COMPUTED_VALUE"""),40949.666666666664)</f>
        <v>40949.66667</v>
      </c>
      <c r="B6609" s="1">
        <f>IFERROR(__xludf.DUMMYFUNCTION("""COMPUTED_VALUE"""),1351.21)</f>
        <v>1351.21</v>
      </c>
      <c r="C6609" s="1">
        <f>IFERROR(__xludf.DUMMYFUNCTION("""COMPUTED_VALUE"""),1351.21)</f>
        <v>1351.21</v>
      </c>
      <c r="D6609" s="1">
        <f>IFERROR(__xludf.DUMMYFUNCTION("""COMPUTED_VALUE"""),1337.35)</f>
        <v>1337.35</v>
      </c>
      <c r="E6609" s="1">
        <f>IFERROR(__xludf.DUMMYFUNCTION("""COMPUTED_VALUE"""),1342.64)</f>
        <v>1342.64</v>
      </c>
      <c r="F6609" s="1">
        <f>IFERROR(__xludf.DUMMYFUNCTION("""COMPUTED_VALUE"""),0.0)</f>
        <v>0</v>
      </c>
    </row>
    <row r="6610">
      <c r="A6610" s="2">
        <f>IFERROR(__xludf.DUMMYFUNCTION("""COMPUTED_VALUE"""),40952.666666666664)</f>
        <v>40952.66667</v>
      </c>
      <c r="B6610" s="1">
        <f>IFERROR(__xludf.DUMMYFUNCTION("""COMPUTED_VALUE"""),1343.06)</f>
        <v>1343.06</v>
      </c>
      <c r="C6610" s="1">
        <f>IFERROR(__xludf.DUMMYFUNCTION("""COMPUTED_VALUE"""),1353.35)</f>
        <v>1353.35</v>
      </c>
      <c r="D6610" s="1">
        <f>IFERROR(__xludf.DUMMYFUNCTION("""COMPUTED_VALUE"""),1343.06)</f>
        <v>1343.06</v>
      </c>
      <c r="E6610" s="1">
        <f>IFERROR(__xludf.DUMMYFUNCTION("""COMPUTED_VALUE"""),1351.77)</f>
        <v>1351.77</v>
      </c>
      <c r="F6610" s="1">
        <f>IFERROR(__xludf.DUMMYFUNCTION("""COMPUTED_VALUE"""),0.0)</f>
        <v>0</v>
      </c>
    </row>
    <row r="6611">
      <c r="A6611" s="2">
        <f>IFERROR(__xludf.DUMMYFUNCTION("""COMPUTED_VALUE"""),40953.666666666664)</f>
        <v>40953.66667</v>
      </c>
      <c r="B6611" s="1">
        <f>IFERROR(__xludf.DUMMYFUNCTION("""COMPUTED_VALUE"""),1351.3)</f>
        <v>1351.3</v>
      </c>
      <c r="C6611" s="1">
        <f>IFERROR(__xludf.DUMMYFUNCTION("""COMPUTED_VALUE"""),1351.3)</f>
        <v>1351.3</v>
      </c>
      <c r="D6611" s="1">
        <f>IFERROR(__xludf.DUMMYFUNCTION("""COMPUTED_VALUE"""),1340.83)</f>
        <v>1340.83</v>
      </c>
      <c r="E6611" s="1">
        <f>IFERROR(__xludf.DUMMYFUNCTION("""COMPUTED_VALUE"""),1350.5)</f>
        <v>1350.5</v>
      </c>
      <c r="F6611" s="1">
        <f>IFERROR(__xludf.DUMMYFUNCTION("""COMPUTED_VALUE"""),0.0)</f>
        <v>0</v>
      </c>
    </row>
    <row r="6612">
      <c r="A6612" s="2">
        <f>IFERROR(__xludf.DUMMYFUNCTION("""COMPUTED_VALUE"""),40954.666666666664)</f>
        <v>40954.66667</v>
      </c>
      <c r="B6612" s="1">
        <f>IFERROR(__xludf.DUMMYFUNCTION("""COMPUTED_VALUE"""),1350.52)</f>
        <v>1350.52</v>
      </c>
      <c r="C6612" s="1">
        <f>IFERROR(__xludf.DUMMYFUNCTION("""COMPUTED_VALUE"""),1355.87)</f>
        <v>1355.87</v>
      </c>
      <c r="D6612" s="1">
        <f>IFERROR(__xludf.DUMMYFUNCTION("""COMPUTED_VALUE"""),1340.8)</f>
        <v>1340.8</v>
      </c>
      <c r="E6612" s="1">
        <f>IFERROR(__xludf.DUMMYFUNCTION("""COMPUTED_VALUE"""),1343.23)</f>
        <v>1343.23</v>
      </c>
      <c r="F6612" s="1">
        <f>IFERROR(__xludf.DUMMYFUNCTION("""COMPUTED_VALUE"""),0.0)</f>
        <v>0</v>
      </c>
    </row>
    <row r="6613">
      <c r="A6613" s="2">
        <f>IFERROR(__xludf.DUMMYFUNCTION("""COMPUTED_VALUE"""),40955.666666666664)</f>
        <v>40955.66667</v>
      </c>
      <c r="B6613" s="1">
        <f>IFERROR(__xludf.DUMMYFUNCTION("""COMPUTED_VALUE"""),1342.61)</f>
        <v>1342.61</v>
      </c>
      <c r="C6613" s="1">
        <f>IFERROR(__xludf.DUMMYFUNCTION("""COMPUTED_VALUE"""),1359.02)</f>
        <v>1359.02</v>
      </c>
      <c r="D6613" s="1">
        <f>IFERROR(__xludf.DUMMYFUNCTION("""COMPUTED_VALUE"""),1341.22)</f>
        <v>1341.22</v>
      </c>
      <c r="E6613" s="1">
        <f>IFERROR(__xludf.DUMMYFUNCTION("""COMPUTED_VALUE"""),1358.04)</f>
        <v>1358.04</v>
      </c>
      <c r="F6613" s="1">
        <f>IFERROR(__xludf.DUMMYFUNCTION("""COMPUTED_VALUE"""),0.0)</f>
        <v>0</v>
      </c>
    </row>
    <row r="6614">
      <c r="A6614" s="2">
        <f>IFERROR(__xludf.DUMMYFUNCTION("""COMPUTED_VALUE"""),40956.666666666664)</f>
        <v>40956.66667</v>
      </c>
      <c r="B6614" s="1">
        <f>IFERROR(__xludf.DUMMYFUNCTION("""COMPUTED_VALUE"""),1358.06)</f>
        <v>1358.06</v>
      </c>
      <c r="C6614" s="1">
        <f>IFERROR(__xludf.DUMMYFUNCTION("""COMPUTED_VALUE"""),1363.4)</f>
        <v>1363.4</v>
      </c>
      <c r="D6614" s="1">
        <f>IFERROR(__xludf.DUMMYFUNCTION("""COMPUTED_VALUE"""),1357.24)</f>
        <v>1357.24</v>
      </c>
      <c r="E6614" s="1">
        <f>IFERROR(__xludf.DUMMYFUNCTION("""COMPUTED_VALUE"""),1361.23)</f>
        <v>1361.23</v>
      </c>
      <c r="F6614" s="1">
        <f>IFERROR(__xludf.DUMMYFUNCTION("""COMPUTED_VALUE"""),0.0)</f>
        <v>0</v>
      </c>
    </row>
    <row r="6615">
      <c r="A6615" s="2">
        <f>IFERROR(__xludf.DUMMYFUNCTION("""COMPUTED_VALUE"""),40960.666666666664)</f>
        <v>40960.66667</v>
      </c>
      <c r="B6615" s="1">
        <f>IFERROR(__xludf.DUMMYFUNCTION("""COMPUTED_VALUE"""),1361.22)</f>
        <v>1361.22</v>
      </c>
      <c r="C6615" s="1">
        <f>IFERROR(__xludf.DUMMYFUNCTION("""COMPUTED_VALUE"""),1367.76)</f>
        <v>1367.76</v>
      </c>
      <c r="D6615" s="1">
        <f>IFERROR(__xludf.DUMMYFUNCTION("""COMPUTED_VALUE"""),1358.11)</f>
        <v>1358.11</v>
      </c>
      <c r="E6615" s="1">
        <f>IFERROR(__xludf.DUMMYFUNCTION("""COMPUTED_VALUE"""),1362.21)</f>
        <v>1362.21</v>
      </c>
      <c r="F6615" s="1">
        <f>IFERROR(__xludf.DUMMYFUNCTION("""COMPUTED_VALUE"""),0.0)</f>
        <v>0</v>
      </c>
    </row>
    <row r="6616">
      <c r="A6616" s="2">
        <f>IFERROR(__xludf.DUMMYFUNCTION("""COMPUTED_VALUE"""),40961.666666666664)</f>
        <v>40961.66667</v>
      </c>
      <c r="B6616" s="1">
        <f>IFERROR(__xludf.DUMMYFUNCTION("""COMPUTED_VALUE"""),1362.11)</f>
        <v>1362.11</v>
      </c>
      <c r="C6616" s="1">
        <f>IFERROR(__xludf.DUMMYFUNCTION("""COMPUTED_VALUE"""),1362.7)</f>
        <v>1362.7</v>
      </c>
      <c r="D6616" s="1">
        <f>IFERROR(__xludf.DUMMYFUNCTION("""COMPUTED_VALUE"""),1355.53)</f>
        <v>1355.53</v>
      </c>
      <c r="E6616" s="1">
        <f>IFERROR(__xludf.DUMMYFUNCTION("""COMPUTED_VALUE"""),1357.66)</f>
        <v>1357.66</v>
      </c>
      <c r="F6616" s="1">
        <f>IFERROR(__xludf.DUMMYFUNCTION("""COMPUTED_VALUE"""),0.0)</f>
        <v>0</v>
      </c>
    </row>
    <row r="6617">
      <c r="A6617" s="2">
        <f>IFERROR(__xludf.DUMMYFUNCTION("""COMPUTED_VALUE"""),40962.666666666664)</f>
        <v>40962.66667</v>
      </c>
      <c r="B6617" s="1">
        <f>IFERROR(__xludf.DUMMYFUNCTION("""COMPUTED_VALUE"""),1357.53)</f>
        <v>1357.53</v>
      </c>
      <c r="C6617" s="1">
        <f>IFERROR(__xludf.DUMMYFUNCTION("""COMPUTED_VALUE"""),1364.24)</f>
        <v>1364.24</v>
      </c>
      <c r="D6617" s="1">
        <f>IFERROR(__xludf.DUMMYFUNCTION("""COMPUTED_VALUE"""),1352.28)</f>
        <v>1352.28</v>
      </c>
      <c r="E6617" s="1">
        <f>IFERROR(__xludf.DUMMYFUNCTION("""COMPUTED_VALUE"""),1363.46)</f>
        <v>1363.46</v>
      </c>
      <c r="F6617" s="1">
        <f>IFERROR(__xludf.DUMMYFUNCTION("""COMPUTED_VALUE"""),0.0)</f>
        <v>0</v>
      </c>
    </row>
    <row r="6618">
      <c r="A6618" s="2">
        <f>IFERROR(__xludf.DUMMYFUNCTION("""COMPUTED_VALUE"""),40963.666666666664)</f>
        <v>40963.66667</v>
      </c>
      <c r="B6618" s="1">
        <f>IFERROR(__xludf.DUMMYFUNCTION("""COMPUTED_VALUE"""),1363.46)</f>
        <v>1363.46</v>
      </c>
      <c r="C6618" s="1">
        <f>IFERROR(__xludf.DUMMYFUNCTION("""COMPUTED_VALUE"""),1368.92)</f>
        <v>1368.92</v>
      </c>
      <c r="D6618" s="1">
        <f>IFERROR(__xludf.DUMMYFUNCTION("""COMPUTED_VALUE"""),1363.46)</f>
        <v>1363.46</v>
      </c>
      <c r="E6618" s="1">
        <f>IFERROR(__xludf.DUMMYFUNCTION("""COMPUTED_VALUE"""),1365.74)</f>
        <v>1365.74</v>
      </c>
      <c r="F6618" s="1">
        <f>IFERROR(__xludf.DUMMYFUNCTION("""COMPUTED_VALUE"""),0.0)</f>
        <v>0</v>
      </c>
    </row>
    <row r="6619">
      <c r="A6619" s="2">
        <f>IFERROR(__xludf.DUMMYFUNCTION("""COMPUTED_VALUE"""),40966.666666666664)</f>
        <v>40966.66667</v>
      </c>
      <c r="B6619" s="1">
        <f>IFERROR(__xludf.DUMMYFUNCTION("""COMPUTED_VALUE"""),1365.2)</f>
        <v>1365.2</v>
      </c>
      <c r="C6619" s="1">
        <f>IFERROR(__xludf.DUMMYFUNCTION("""COMPUTED_VALUE"""),1371.94)</f>
        <v>1371.94</v>
      </c>
      <c r="D6619" s="1">
        <f>IFERROR(__xludf.DUMMYFUNCTION("""COMPUTED_VALUE"""),1354.92)</f>
        <v>1354.92</v>
      </c>
      <c r="E6619" s="1">
        <f>IFERROR(__xludf.DUMMYFUNCTION("""COMPUTED_VALUE"""),1367.59)</f>
        <v>1367.59</v>
      </c>
      <c r="F6619" s="1">
        <f>IFERROR(__xludf.DUMMYFUNCTION("""COMPUTED_VALUE"""),0.0)</f>
        <v>0</v>
      </c>
    </row>
    <row r="6620">
      <c r="A6620" s="2">
        <f>IFERROR(__xludf.DUMMYFUNCTION("""COMPUTED_VALUE"""),40967.666666666664)</f>
        <v>40967.66667</v>
      </c>
      <c r="B6620" s="1">
        <f>IFERROR(__xludf.DUMMYFUNCTION("""COMPUTED_VALUE"""),1367.56)</f>
        <v>1367.56</v>
      </c>
      <c r="C6620" s="1">
        <f>IFERROR(__xludf.DUMMYFUNCTION("""COMPUTED_VALUE"""),1373.09)</f>
        <v>1373.09</v>
      </c>
      <c r="D6620" s="1">
        <f>IFERROR(__xludf.DUMMYFUNCTION("""COMPUTED_VALUE"""),1365.97)</f>
        <v>1365.97</v>
      </c>
      <c r="E6620" s="1">
        <f>IFERROR(__xludf.DUMMYFUNCTION("""COMPUTED_VALUE"""),1372.18)</f>
        <v>1372.18</v>
      </c>
      <c r="F6620" s="1">
        <f>IFERROR(__xludf.DUMMYFUNCTION("""COMPUTED_VALUE"""),0.0)</f>
        <v>0</v>
      </c>
    </row>
    <row r="6621">
      <c r="A6621" s="2">
        <f>IFERROR(__xludf.DUMMYFUNCTION("""COMPUTED_VALUE"""),40968.666666666664)</f>
        <v>40968.66667</v>
      </c>
      <c r="B6621" s="1">
        <f>IFERROR(__xludf.DUMMYFUNCTION("""COMPUTED_VALUE"""),1372.2)</f>
        <v>1372.2</v>
      </c>
      <c r="C6621" s="1">
        <f>IFERROR(__xludf.DUMMYFUNCTION("""COMPUTED_VALUE"""),1378.04)</f>
        <v>1378.04</v>
      </c>
      <c r="D6621" s="1">
        <f>IFERROR(__xludf.DUMMYFUNCTION("""COMPUTED_VALUE"""),1363.81)</f>
        <v>1363.81</v>
      </c>
      <c r="E6621" s="1">
        <f>IFERROR(__xludf.DUMMYFUNCTION("""COMPUTED_VALUE"""),1365.68)</f>
        <v>1365.68</v>
      </c>
      <c r="F6621" s="1">
        <f>IFERROR(__xludf.DUMMYFUNCTION("""COMPUTED_VALUE"""),0.0)</f>
        <v>0</v>
      </c>
    </row>
    <row r="6622">
      <c r="A6622" s="2">
        <f>IFERROR(__xludf.DUMMYFUNCTION("""COMPUTED_VALUE"""),40969.666666666664)</f>
        <v>40969.66667</v>
      </c>
      <c r="B6622" s="1">
        <f>IFERROR(__xludf.DUMMYFUNCTION("""COMPUTED_VALUE"""),1365.9)</f>
        <v>1365.9</v>
      </c>
      <c r="C6622" s="1">
        <f>IFERROR(__xludf.DUMMYFUNCTION("""COMPUTED_VALUE"""),1376.17)</f>
        <v>1376.17</v>
      </c>
      <c r="D6622" s="1">
        <f>IFERROR(__xludf.DUMMYFUNCTION("""COMPUTED_VALUE"""),1365.9)</f>
        <v>1365.9</v>
      </c>
      <c r="E6622" s="1">
        <f>IFERROR(__xludf.DUMMYFUNCTION("""COMPUTED_VALUE"""),1374.09)</f>
        <v>1374.09</v>
      </c>
      <c r="F6622" s="1">
        <f>IFERROR(__xludf.DUMMYFUNCTION("""COMPUTED_VALUE"""),0.0)</f>
        <v>0</v>
      </c>
    </row>
    <row r="6623">
      <c r="A6623" s="2">
        <f>IFERROR(__xludf.DUMMYFUNCTION("""COMPUTED_VALUE"""),40970.666666666664)</f>
        <v>40970.66667</v>
      </c>
      <c r="B6623" s="1">
        <f>IFERROR(__xludf.DUMMYFUNCTION("""COMPUTED_VALUE"""),1374.09)</f>
        <v>1374.09</v>
      </c>
      <c r="C6623" s="1">
        <f>IFERROR(__xludf.DUMMYFUNCTION("""COMPUTED_VALUE"""),1374.53)</f>
        <v>1374.53</v>
      </c>
      <c r="D6623" s="1">
        <f>IFERROR(__xludf.DUMMYFUNCTION("""COMPUTED_VALUE"""),1366.42)</f>
        <v>1366.42</v>
      </c>
      <c r="E6623" s="1">
        <f>IFERROR(__xludf.DUMMYFUNCTION("""COMPUTED_VALUE"""),1369.63)</f>
        <v>1369.63</v>
      </c>
      <c r="F6623" s="1">
        <f>IFERROR(__xludf.DUMMYFUNCTION("""COMPUTED_VALUE"""),0.0)</f>
        <v>0</v>
      </c>
    </row>
    <row r="6624">
      <c r="A6624" s="2">
        <f>IFERROR(__xludf.DUMMYFUNCTION("""COMPUTED_VALUE"""),40973.666666666664)</f>
        <v>40973.66667</v>
      </c>
      <c r="B6624" s="1">
        <f>IFERROR(__xludf.DUMMYFUNCTION("""COMPUTED_VALUE"""),1369.59)</f>
        <v>1369.59</v>
      </c>
      <c r="C6624" s="1">
        <f>IFERROR(__xludf.DUMMYFUNCTION("""COMPUTED_VALUE"""),1369.59)</f>
        <v>1369.59</v>
      </c>
      <c r="D6624" s="1">
        <f>IFERROR(__xludf.DUMMYFUNCTION("""COMPUTED_VALUE"""),1359.13)</f>
        <v>1359.13</v>
      </c>
      <c r="E6624" s="1">
        <f>IFERROR(__xludf.DUMMYFUNCTION("""COMPUTED_VALUE"""),1364.33)</f>
        <v>1364.33</v>
      </c>
      <c r="F6624" s="1">
        <f>IFERROR(__xludf.DUMMYFUNCTION("""COMPUTED_VALUE"""),0.0)</f>
        <v>0</v>
      </c>
    </row>
    <row r="6625">
      <c r="A6625" s="2">
        <f>IFERROR(__xludf.DUMMYFUNCTION("""COMPUTED_VALUE"""),40974.666666666664)</f>
        <v>40974.66667</v>
      </c>
      <c r="B6625" s="1">
        <f>IFERROR(__xludf.DUMMYFUNCTION("""COMPUTED_VALUE"""),1363.63)</f>
        <v>1363.63</v>
      </c>
      <c r="C6625" s="1">
        <f>IFERROR(__xludf.DUMMYFUNCTION("""COMPUTED_VALUE"""),1363.63)</f>
        <v>1363.63</v>
      </c>
      <c r="D6625" s="1">
        <f>IFERROR(__xludf.DUMMYFUNCTION("""COMPUTED_VALUE"""),1340.03)</f>
        <v>1340.03</v>
      </c>
      <c r="E6625" s="1">
        <f>IFERROR(__xludf.DUMMYFUNCTION("""COMPUTED_VALUE"""),1343.36)</f>
        <v>1343.36</v>
      </c>
      <c r="F6625" s="1">
        <f>IFERROR(__xludf.DUMMYFUNCTION("""COMPUTED_VALUE"""),0.0)</f>
        <v>0</v>
      </c>
    </row>
    <row r="6626">
      <c r="A6626" s="2">
        <f>IFERROR(__xludf.DUMMYFUNCTION("""COMPUTED_VALUE"""),40975.666666666664)</f>
        <v>40975.66667</v>
      </c>
      <c r="B6626" s="1">
        <f>IFERROR(__xludf.DUMMYFUNCTION("""COMPUTED_VALUE"""),1343.39)</f>
        <v>1343.39</v>
      </c>
      <c r="C6626" s="1">
        <f>IFERROR(__xludf.DUMMYFUNCTION("""COMPUTED_VALUE"""),1354.85)</f>
        <v>1354.85</v>
      </c>
      <c r="D6626" s="1">
        <f>IFERROR(__xludf.DUMMYFUNCTION("""COMPUTED_VALUE"""),1343.39)</f>
        <v>1343.39</v>
      </c>
      <c r="E6626" s="1">
        <f>IFERROR(__xludf.DUMMYFUNCTION("""COMPUTED_VALUE"""),1352.63)</f>
        <v>1352.63</v>
      </c>
      <c r="F6626" s="1">
        <f>IFERROR(__xludf.DUMMYFUNCTION("""COMPUTED_VALUE"""),0.0)</f>
        <v>0</v>
      </c>
    </row>
    <row r="6627">
      <c r="A6627" s="2">
        <f>IFERROR(__xludf.DUMMYFUNCTION("""COMPUTED_VALUE"""),40976.666666666664)</f>
        <v>40976.66667</v>
      </c>
      <c r="B6627" s="1">
        <f>IFERROR(__xludf.DUMMYFUNCTION("""COMPUTED_VALUE"""),1352.65)</f>
        <v>1352.65</v>
      </c>
      <c r="C6627" s="1">
        <f>IFERROR(__xludf.DUMMYFUNCTION("""COMPUTED_VALUE"""),1368.72)</f>
        <v>1368.72</v>
      </c>
      <c r="D6627" s="1">
        <f>IFERROR(__xludf.DUMMYFUNCTION("""COMPUTED_VALUE"""),1352.65)</f>
        <v>1352.65</v>
      </c>
      <c r="E6627" s="1">
        <f>IFERROR(__xludf.DUMMYFUNCTION("""COMPUTED_VALUE"""),1365.91)</f>
        <v>1365.91</v>
      </c>
      <c r="F6627" s="1">
        <f>IFERROR(__xludf.DUMMYFUNCTION("""COMPUTED_VALUE"""),0.0)</f>
        <v>0</v>
      </c>
    </row>
    <row r="6628">
      <c r="A6628" s="2">
        <f>IFERROR(__xludf.DUMMYFUNCTION("""COMPUTED_VALUE"""),40977.666666666664)</f>
        <v>40977.66667</v>
      </c>
      <c r="B6628" s="1">
        <f>IFERROR(__xludf.DUMMYFUNCTION("""COMPUTED_VALUE"""),1365.97)</f>
        <v>1365.97</v>
      </c>
      <c r="C6628" s="1">
        <f>IFERROR(__xludf.DUMMYFUNCTION("""COMPUTED_VALUE"""),1374.76)</f>
        <v>1374.76</v>
      </c>
      <c r="D6628" s="1">
        <f>IFERROR(__xludf.DUMMYFUNCTION("""COMPUTED_VALUE"""),1365.97)</f>
        <v>1365.97</v>
      </c>
      <c r="E6628" s="1">
        <f>IFERROR(__xludf.DUMMYFUNCTION("""COMPUTED_VALUE"""),1370.87)</f>
        <v>1370.87</v>
      </c>
      <c r="F6628" s="1">
        <f>IFERROR(__xludf.DUMMYFUNCTION("""COMPUTED_VALUE"""),0.0)</f>
        <v>0</v>
      </c>
    </row>
    <row r="6629">
      <c r="A6629" s="2">
        <f>IFERROR(__xludf.DUMMYFUNCTION("""COMPUTED_VALUE"""),40980.666666666664)</f>
        <v>40980.66667</v>
      </c>
      <c r="B6629" s="1">
        <f>IFERROR(__xludf.DUMMYFUNCTION("""COMPUTED_VALUE"""),1370.78)</f>
        <v>1370.78</v>
      </c>
      <c r="C6629" s="1">
        <f>IFERROR(__xludf.DUMMYFUNCTION("""COMPUTED_VALUE"""),1373.04)</f>
        <v>1373.04</v>
      </c>
      <c r="D6629" s="1">
        <f>IFERROR(__xludf.DUMMYFUNCTION("""COMPUTED_VALUE"""),1366.69)</f>
        <v>1366.69</v>
      </c>
      <c r="E6629" s="1">
        <f>IFERROR(__xludf.DUMMYFUNCTION("""COMPUTED_VALUE"""),1371.09)</f>
        <v>1371.09</v>
      </c>
      <c r="F6629" s="1">
        <f>IFERROR(__xludf.DUMMYFUNCTION("""COMPUTED_VALUE"""),0.0)</f>
        <v>0</v>
      </c>
    </row>
    <row r="6630">
      <c r="A6630" s="2">
        <f>IFERROR(__xludf.DUMMYFUNCTION("""COMPUTED_VALUE"""),40981.666666666664)</f>
        <v>40981.66667</v>
      </c>
      <c r="B6630" s="1">
        <f>IFERROR(__xludf.DUMMYFUNCTION("""COMPUTED_VALUE"""),1371.92)</f>
        <v>1371.92</v>
      </c>
      <c r="C6630" s="1">
        <f>IFERROR(__xludf.DUMMYFUNCTION("""COMPUTED_VALUE"""),1396.13)</f>
        <v>1396.13</v>
      </c>
      <c r="D6630" s="1">
        <f>IFERROR(__xludf.DUMMYFUNCTION("""COMPUTED_VALUE"""),1371.92)</f>
        <v>1371.92</v>
      </c>
      <c r="E6630" s="1">
        <f>IFERROR(__xludf.DUMMYFUNCTION("""COMPUTED_VALUE"""),1395.96)</f>
        <v>1395.96</v>
      </c>
      <c r="F6630" s="1">
        <f>IFERROR(__xludf.DUMMYFUNCTION("""COMPUTED_VALUE"""),0.0)</f>
        <v>0</v>
      </c>
    </row>
    <row r="6631">
      <c r="A6631" s="2">
        <f>IFERROR(__xludf.DUMMYFUNCTION("""COMPUTED_VALUE"""),40982.666666666664)</f>
        <v>40982.66667</v>
      </c>
      <c r="B6631" s="1">
        <f>IFERROR(__xludf.DUMMYFUNCTION("""COMPUTED_VALUE"""),1395.95)</f>
        <v>1395.95</v>
      </c>
      <c r="C6631" s="1">
        <f>IFERROR(__xludf.DUMMYFUNCTION("""COMPUTED_VALUE"""),1399.42)</f>
        <v>1399.42</v>
      </c>
      <c r="D6631" s="1">
        <f>IFERROR(__xludf.DUMMYFUNCTION("""COMPUTED_VALUE"""),1389.97)</f>
        <v>1389.97</v>
      </c>
      <c r="E6631" s="1">
        <f>IFERROR(__xludf.DUMMYFUNCTION("""COMPUTED_VALUE"""),1394.28)</f>
        <v>1394.28</v>
      </c>
      <c r="F6631" s="1">
        <f>IFERROR(__xludf.DUMMYFUNCTION("""COMPUTED_VALUE"""),0.0)</f>
        <v>0</v>
      </c>
    </row>
    <row r="6632">
      <c r="A6632" s="2">
        <f>IFERROR(__xludf.DUMMYFUNCTION("""COMPUTED_VALUE"""),40983.666666666664)</f>
        <v>40983.66667</v>
      </c>
      <c r="B6632" s="1">
        <f>IFERROR(__xludf.DUMMYFUNCTION("""COMPUTED_VALUE"""),1394.17)</f>
        <v>1394.17</v>
      </c>
      <c r="C6632" s="1">
        <f>IFERROR(__xludf.DUMMYFUNCTION("""COMPUTED_VALUE"""),1402.63)</f>
        <v>1402.63</v>
      </c>
      <c r="D6632" s="1">
        <f>IFERROR(__xludf.DUMMYFUNCTION("""COMPUTED_VALUE"""),1392.78)</f>
        <v>1392.78</v>
      </c>
      <c r="E6632" s="1">
        <f>IFERROR(__xludf.DUMMYFUNCTION("""COMPUTED_VALUE"""),1402.6)</f>
        <v>1402.6</v>
      </c>
      <c r="F6632" s="1">
        <f>IFERROR(__xludf.DUMMYFUNCTION("""COMPUTED_VALUE"""),0.0)</f>
        <v>0</v>
      </c>
    </row>
    <row r="6633">
      <c r="A6633" s="2">
        <f>IFERROR(__xludf.DUMMYFUNCTION("""COMPUTED_VALUE"""),40984.666666666664)</f>
        <v>40984.66667</v>
      </c>
      <c r="B6633" s="1">
        <f>IFERROR(__xludf.DUMMYFUNCTION("""COMPUTED_VALUE"""),1402.55)</f>
        <v>1402.55</v>
      </c>
      <c r="C6633" s="1">
        <f>IFERROR(__xludf.DUMMYFUNCTION("""COMPUTED_VALUE"""),1405.88)</f>
        <v>1405.88</v>
      </c>
      <c r="D6633" s="1">
        <f>IFERROR(__xludf.DUMMYFUNCTION("""COMPUTED_VALUE"""),1401.47)</f>
        <v>1401.47</v>
      </c>
      <c r="E6633" s="1">
        <f>IFERROR(__xludf.DUMMYFUNCTION("""COMPUTED_VALUE"""),1404.17)</f>
        <v>1404.17</v>
      </c>
      <c r="F6633" s="1">
        <f>IFERROR(__xludf.DUMMYFUNCTION("""COMPUTED_VALUE"""),0.0)</f>
        <v>0</v>
      </c>
    </row>
    <row r="6634">
      <c r="A6634" s="2">
        <f>IFERROR(__xludf.DUMMYFUNCTION("""COMPUTED_VALUE"""),40987.666666666664)</f>
        <v>40987.66667</v>
      </c>
      <c r="B6634" s="1">
        <f>IFERROR(__xludf.DUMMYFUNCTION("""COMPUTED_VALUE"""),1404.17)</f>
        <v>1404.17</v>
      </c>
      <c r="C6634" s="1">
        <f>IFERROR(__xludf.DUMMYFUNCTION("""COMPUTED_VALUE"""),1414.0)</f>
        <v>1414</v>
      </c>
      <c r="D6634" s="1">
        <f>IFERROR(__xludf.DUMMYFUNCTION("""COMPUTED_VALUE"""),1402.43)</f>
        <v>1402.43</v>
      </c>
      <c r="E6634" s="1">
        <f>IFERROR(__xludf.DUMMYFUNCTION("""COMPUTED_VALUE"""),1409.75)</f>
        <v>1409.75</v>
      </c>
      <c r="F6634" s="1">
        <f>IFERROR(__xludf.DUMMYFUNCTION("""COMPUTED_VALUE"""),0.0)</f>
        <v>0</v>
      </c>
    </row>
    <row r="6635">
      <c r="A6635" s="2">
        <f>IFERROR(__xludf.DUMMYFUNCTION("""COMPUTED_VALUE"""),40988.666666666664)</f>
        <v>40988.66667</v>
      </c>
      <c r="B6635" s="1">
        <f>IFERROR(__xludf.DUMMYFUNCTION("""COMPUTED_VALUE"""),1409.59)</f>
        <v>1409.59</v>
      </c>
      <c r="C6635" s="1">
        <f>IFERROR(__xludf.DUMMYFUNCTION("""COMPUTED_VALUE"""),1409.59)</f>
        <v>1409.59</v>
      </c>
      <c r="D6635" s="1">
        <f>IFERROR(__xludf.DUMMYFUNCTION("""COMPUTED_VALUE"""),1397.68)</f>
        <v>1397.68</v>
      </c>
      <c r="E6635" s="1">
        <f>IFERROR(__xludf.DUMMYFUNCTION("""COMPUTED_VALUE"""),1405.52)</f>
        <v>1405.52</v>
      </c>
      <c r="F6635" s="1">
        <f>IFERROR(__xludf.DUMMYFUNCTION("""COMPUTED_VALUE"""),0.0)</f>
        <v>0</v>
      </c>
    </row>
    <row r="6636">
      <c r="A6636" s="2">
        <f>IFERROR(__xludf.DUMMYFUNCTION("""COMPUTED_VALUE"""),40989.666666666664)</f>
        <v>40989.66667</v>
      </c>
      <c r="B6636" s="1">
        <f>IFERROR(__xludf.DUMMYFUNCTION("""COMPUTED_VALUE"""),1405.52)</f>
        <v>1405.52</v>
      </c>
      <c r="C6636" s="1">
        <f>IFERROR(__xludf.DUMMYFUNCTION("""COMPUTED_VALUE"""),1407.75)</f>
        <v>1407.75</v>
      </c>
      <c r="D6636" s="1">
        <f>IFERROR(__xludf.DUMMYFUNCTION("""COMPUTED_VALUE"""),1400.64)</f>
        <v>1400.64</v>
      </c>
      <c r="E6636" s="1">
        <f>IFERROR(__xludf.DUMMYFUNCTION("""COMPUTED_VALUE"""),1402.89)</f>
        <v>1402.89</v>
      </c>
      <c r="F6636" s="1">
        <f>IFERROR(__xludf.DUMMYFUNCTION("""COMPUTED_VALUE"""),0.0)</f>
        <v>0</v>
      </c>
    </row>
    <row r="6637">
      <c r="A6637" s="2">
        <f>IFERROR(__xludf.DUMMYFUNCTION("""COMPUTED_VALUE"""),40990.666666666664)</f>
        <v>40990.66667</v>
      </c>
      <c r="B6637" s="1">
        <f>IFERROR(__xludf.DUMMYFUNCTION("""COMPUTED_VALUE"""),1402.89)</f>
        <v>1402.89</v>
      </c>
      <c r="C6637" s="1">
        <f>IFERROR(__xludf.DUMMYFUNCTION("""COMPUTED_VALUE"""),1402.89)</f>
        <v>1402.89</v>
      </c>
      <c r="D6637" s="1">
        <f>IFERROR(__xludf.DUMMYFUNCTION("""COMPUTED_VALUE"""),1388.73)</f>
        <v>1388.73</v>
      </c>
      <c r="E6637" s="1">
        <f>IFERROR(__xludf.DUMMYFUNCTION("""COMPUTED_VALUE"""),1392.78)</f>
        <v>1392.78</v>
      </c>
      <c r="F6637" s="1">
        <f>IFERROR(__xludf.DUMMYFUNCTION("""COMPUTED_VALUE"""),0.0)</f>
        <v>0</v>
      </c>
    </row>
    <row r="6638">
      <c r="A6638" s="2">
        <f>IFERROR(__xludf.DUMMYFUNCTION("""COMPUTED_VALUE"""),40991.666666666664)</f>
        <v>40991.66667</v>
      </c>
      <c r="B6638" s="1">
        <f>IFERROR(__xludf.DUMMYFUNCTION("""COMPUTED_VALUE"""),1392.78)</f>
        <v>1392.78</v>
      </c>
      <c r="C6638" s="1">
        <f>IFERROR(__xludf.DUMMYFUNCTION("""COMPUTED_VALUE"""),1399.18)</f>
        <v>1399.18</v>
      </c>
      <c r="D6638" s="1">
        <f>IFERROR(__xludf.DUMMYFUNCTION("""COMPUTED_VALUE"""),1386.87)</f>
        <v>1386.87</v>
      </c>
      <c r="E6638" s="1">
        <f>IFERROR(__xludf.DUMMYFUNCTION("""COMPUTED_VALUE"""),1397.11)</f>
        <v>1397.11</v>
      </c>
      <c r="F6638" s="1">
        <f>IFERROR(__xludf.DUMMYFUNCTION("""COMPUTED_VALUE"""),0.0)</f>
        <v>0</v>
      </c>
    </row>
    <row r="6639">
      <c r="A6639" s="2">
        <f>IFERROR(__xludf.DUMMYFUNCTION("""COMPUTED_VALUE"""),40994.666666666664)</f>
        <v>40994.66667</v>
      </c>
      <c r="B6639" s="1">
        <f>IFERROR(__xludf.DUMMYFUNCTION("""COMPUTED_VALUE"""),1397.11)</f>
        <v>1397.11</v>
      </c>
      <c r="C6639" s="1">
        <f>IFERROR(__xludf.DUMMYFUNCTION("""COMPUTED_VALUE"""),1416.58)</f>
        <v>1416.58</v>
      </c>
      <c r="D6639" s="1">
        <f>IFERROR(__xludf.DUMMYFUNCTION("""COMPUTED_VALUE"""),1397.11)</f>
        <v>1397.11</v>
      </c>
      <c r="E6639" s="1">
        <f>IFERROR(__xludf.DUMMYFUNCTION("""COMPUTED_VALUE"""),1416.51)</f>
        <v>1416.51</v>
      </c>
      <c r="F6639" s="1">
        <f>IFERROR(__xludf.DUMMYFUNCTION("""COMPUTED_VALUE"""),0.0)</f>
        <v>0</v>
      </c>
    </row>
    <row r="6640">
      <c r="A6640" s="2">
        <f>IFERROR(__xludf.DUMMYFUNCTION("""COMPUTED_VALUE"""),40995.666666666664)</f>
        <v>40995.66667</v>
      </c>
      <c r="B6640" s="1">
        <f>IFERROR(__xludf.DUMMYFUNCTION("""COMPUTED_VALUE"""),1416.55)</f>
        <v>1416.55</v>
      </c>
      <c r="C6640" s="1">
        <f>IFERROR(__xludf.DUMMYFUNCTION("""COMPUTED_VALUE"""),1419.15)</f>
        <v>1419.15</v>
      </c>
      <c r="D6640" s="1">
        <f>IFERROR(__xludf.DUMMYFUNCTION("""COMPUTED_VALUE"""),1411.95)</f>
        <v>1411.95</v>
      </c>
      <c r="E6640" s="1">
        <f>IFERROR(__xludf.DUMMYFUNCTION("""COMPUTED_VALUE"""),1412.52)</f>
        <v>1412.52</v>
      </c>
      <c r="F6640" s="1">
        <f>IFERROR(__xludf.DUMMYFUNCTION("""COMPUTED_VALUE"""),0.0)</f>
        <v>0</v>
      </c>
    </row>
    <row r="6641">
      <c r="A6641" s="2">
        <f>IFERROR(__xludf.DUMMYFUNCTION("""COMPUTED_VALUE"""),40996.666666666664)</f>
        <v>40996.66667</v>
      </c>
      <c r="B6641" s="1">
        <f>IFERROR(__xludf.DUMMYFUNCTION("""COMPUTED_VALUE"""),1412.52)</f>
        <v>1412.52</v>
      </c>
      <c r="C6641" s="1">
        <f>IFERROR(__xludf.DUMMYFUNCTION("""COMPUTED_VALUE"""),1413.65)</f>
        <v>1413.65</v>
      </c>
      <c r="D6641" s="1">
        <f>IFERROR(__xludf.DUMMYFUNCTION("""COMPUTED_VALUE"""),1397.2)</f>
        <v>1397.2</v>
      </c>
      <c r="E6641" s="1">
        <f>IFERROR(__xludf.DUMMYFUNCTION("""COMPUTED_VALUE"""),1405.54)</f>
        <v>1405.54</v>
      </c>
      <c r="F6641" s="1">
        <f>IFERROR(__xludf.DUMMYFUNCTION("""COMPUTED_VALUE"""),0.0)</f>
        <v>0</v>
      </c>
    </row>
    <row r="6642">
      <c r="A6642" s="2">
        <f>IFERROR(__xludf.DUMMYFUNCTION("""COMPUTED_VALUE"""),40997.666666666664)</f>
        <v>40997.66667</v>
      </c>
      <c r="B6642" s="1">
        <f>IFERROR(__xludf.DUMMYFUNCTION("""COMPUTED_VALUE"""),1405.39)</f>
        <v>1405.39</v>
      </c>
      <c r="C6642" s="1">
        <f>IFERROR(__xludf.DUMMYFUNCTION("""COMPUTED_VALUE"""),1405.39)</f>
        <v>1405.39</v>
      </c>
      <c r="D6642" s="1">
        <f>IFERROR(__xludf.DUMMYFUNCTION("""COMPUTED_VALUE"""),1391.56)</f>
        <v>1391.56</v>
      </c>
      <c r="E6642" s="1">
        <f>IFERROR(__xludf.DUMMYFUNCTION("""COMPUTED_VALUE"""),1403.28)</f>
        <v>1403.28</v>
      </c>
      <c r="F6642" s="1">
        <f>IFERROR(__xludf.DUMMYFUNCTION("""COMPUTED_VALUE"""),0.0)</f>
        <v>0</v>
      </c>
    </row>
    <row r="6643">
      <c r="A6643" s="2">
        <f>IFERROR(__xludf.DUMMYFUNCTION("""COMPUTED_VALUE"""),40998.666666666664)</f>
        <v>40998.66667</v>
      </c>
      <c r="B6643" s="1">
        <f>IFERROR(__xludf.DUMMYFUNCTION("""COMPUTED_VALUE"""),1403.31)</f>
        <v>1403.31</v>
      </c>
      <c r="C6643" s="1">
        <f>IFERROR(__xludf.DUMMYFUNCTION("""COMPUTED_VALUE"""),1410.89)</f>
        <v>1410.89</v>
      </c>
      <c r="D6643" s="1">
        <f>IFERROR(__xludf.DUMMYFUNCTION("""COMPUTED_VALUE"""),1401.42)</f>
        <v>1401.42</v>
      </c>
      <c r="E6643" s="1">
        <f>IFERROR(__xludf.DUMMYFUNCTION("""COMPUTED_VALUE"""),1408.47)</f>
        <v>1408.47</v>
      </c>
      <c r="F6643" s="1">
        <f>IFERROR(__xludf.DUMMYFUNCTION("""COMPUTED_VALUE"""),0.0)</f>
        <v>0</v>
      </c>
    </row>
    <row r="6644">
      <c r="A6644" s="2">
        <f>IFERROR(__xludf.DUMMYFUNCTION("""COMPUTED_VALUE"""),41001.666666666664)</f>
        <v>41001.66667</v>
      </c>
      <c r="B6644" s="1">
        <f>IFERROR(__xludf.DUMMYFUNCTION("""COMPUTED_VALUE"""),1408.47)</f>
        <v>1408.47</v>
      </c>
      <c r="C6644" s="1">
        <f>IFERROR(__xludf.DUMMYFUNCTION("""COMPUTED_VALUE"""),1422.38)</f>
        <v>1422.38</v>
      </c>
      <c r="D6644" s="1">
        <f>IFERROR(__xludf.DUMMYFUNCTION("""COMPUTED_VALUE"""),1404.46)</f>
        <v>1404.46</v>
      </c>
      <c r="E6644" s="1">
        <f>IFERROR(__xludf.DUMMYFUNCTION("""COMPUTED_VALUE"""),1418.9)</f>
        <v>1418.9</v>
      </c>
      <c r="F6644" s="1">
        <f>IFERROR(__xludf.DUMMYFUNCTION("""COMPUTED_VALUE"""),0.0)</f>
        <v>0</v>
      </c>
    </row>
    <row r="6645">
      <c r="A6645" s="2">
        <f>IFERROR(__xludf.DUMMYFUNCTION("""COMPUTED_VALUE"""),41002.666666666664)</f>
        <v>41002.66667</v>
      </c>
      <c r="B6645" s="1">
        <f>IFERROR(__xludf.DUMMYFUNCTION("""COMPUTED_VALUE"""),1418.98)</f>
        <v>1418.98</v>
      </c>
      <c r="C6645" s="1">
        <f>IFERROR(__xludf.DUMMYFUNCTION("""COMPUTED_VALUE"""),1419.0)</f>
        <v>1419</v>
      </c>
      <c r="D6645" s="1">
        <f>IFERROR(__xludf.DUMMYFUNCTION("""COMPUTED_VALUE"""),1404.62)</f>
        <v>1404.62</v>
      </c>
      <c r="E6645" s="1">
        <f>IFERROR(__xludf.DUMMYFUNCTION("""COMPUTED_VALUE"""),1413.31)</f>
        <v>1413.31</v>
      </c>
      <c r="F6645" s="1">
        <f>IFERROR(__xludf.DUMMYFUNCTION("""COMPUTED_VALUE"""),0.0)</f>
        <v>0</v>
      </c>
    </row>
    <row r="6646">
      <c r="A6646" s="2">
        <f>IFERROR(__xludf.DUMMYFUNCTION("""COMPUTED_VALUE"""),41003.666666666664)</f>
        <v>41003.66667</v>
      </c>
      <c r="B6646" s="1">
        <f>IFERROR(__xludf.DUMMYFUNCTION("""COMPUTED_VALUE"""),1413.09)</f>
        <v>1413.09</v>
      </c>
      <c r="C6646" s="1">
        <f>IFERROR(__xludf.DUMMYFUNCTION("""COMPUTED_VALUE"""),1413.09)</f>
        <v>1413.09</v>
      </c>
      <c r="D6646" s="1">
        <f>IFERROR(__xludf.DUMMYFUNCTION("""COMPUTED_VALUE"""),1394.09)</f>
        <v>1394.09</v>
      </c>
      <c r="E6646" s="1">
        <f>IFERROR(__xludf.DUMMYFUNCTION("""COMPUTED_VALUE"""),1398.96)</f>
        <v>1398.96</v>
      </c>
      <c r="F6646" s="1">
        <f>IFERROR(__xludf.DUMMYFUNCTION("""COMPUTED_VALUE"""),0.0)</f>
        <v>0</v>
      </c>
    </row>
    <row r="6647">
      <c r="A6647" s="2">
        <f>IFERROR(__xludf.DUMMYFUNCTION("""COMPUTED_VALUE"""),41004.666666666664)</f>
        <v>41004.66667</v>
      </c>
      <c r="B6647" s="1">
        <f>IFERROR(__xludf.DUMMYFUNCTION("""COMPUTED_VALUE"""),1398.79)</f>
        <v>1398.79</v>
      </c>
      <c r="C6647" s="1">
        <f>IFERROR(__xludf.DUMMYFUNCTION("""COMPUTED_VALUE"""),1401.6)</f>
        <v>1401.6</v>
      </c>
      <c r="D6647" s="1">
        <f>IFERROR(__xludf.DUMMYFUNCTION("""COMPUTED_VALUE"""),1392.92)</f>
        <v>1392.92</v>
      </c>
      <c r="E6647" s="1">
        <f>IFERROR(__xludf.DUMMYFUNCTION("""COMPUTED_VALUE"""),1398.08)</f>
        <v>1398.08</v>
      </c>
      <c r="F6647" s="1">
        <f>IFERROR(__xludf.DUMMYFUNCTION("""COMPUTED_VALUE"""),0.0)</f>
        <v>0</v>
      </c>
    </row>
    <row r="6648">
      <c r="A6648" s="2">
        <f>IFERROR(__xludf.DUMMYFUNCTION("""COMPUTED_VALUE"""),41008.666666666664)</f>
        <v>41008.66667</v>
      </c>
      <c r="B6648" s="1">
        <f>IFERROR(__xludf.DUMMYFUNCTION("""COMPUTED_VALUE"""),1397.45)</f>
        <v>1397.45</v>
      </c>
      <c r="C6648" s="1">
        <f>IFERROR(__xludf.DUMMYFUNCTION("""COMPUTED_VALUE"""),1397.45)</f>
        <v>1397.45</v>
      </c>
      <c r="D6648" s="1">
        <f>IFERROR(__xludf.DUMMYFUNCTION("""COMPUTED_VALUE"""),1378.24)</f>
        <v>1378.24</v>
      </c>
      <c r="E6648" s="1">
        <f>IFERROR(__xludf.DUMMYFUNCTION("""COMPUTED_VALUE"""),1382.2)</f>
        <v>1382.2</v>
      </c>
      <c r="F6648" s="1">
        <f>IFERROR(__xludf.DUMMYFUNCTION("""COMPUTED_VALUE"""),0.0)</f>
        <v>0</v>
      </c>
    </row>
    <row r="6649">
      <c r="A6649" s="2">
        <f>IFERROR(__xludf.DUMMYFUNCTION("""COMPUTED_VALUE"""),41009.666666666664)</f>
        <v>41009.66667</v>
      </c>
      <c r="B6649" s="1">
        <f>IFERROR(__xludf.DUMMYFUNCTION("""COMPUTED_VALUE"""),1382.18)</f>
        <v>1382.18</v>
      </c>
      <c r="C6649" s="1">
        <f>IFERROR(__xludf.DUMMYFUNCTION("""COMPUTED_VALUE"""),1383.01)</f>
        <v>1383.01</v>
      </c>
      <c r="D6649" s="1">
        <f>IFERROR(__xludf.DUMMYFUNCTION("""COMPUTED_VALUE"""),1357.38)</f>
        <v>1357.38</v>
      </c>
      <c r="E6649" s="1">
        <f>IFERROR(__xludf.DUMMYFUNCTION("""COMPUTED_VALUE"""),1358.59)</f>
        <v>1358.59</v>
      </c>
      <c r="F6649" s="1">
        <f>IFERROR(__xludf.DUMMYFUNCTION("""COMPUTED_VALUE"""),0.0)</f>
        <v>0</v>
      </c>
    </row>
    <row r="6650">
      <c r="A6650" s="2">
        <f>IFERROR(__xludf.DUMMYFUNCTION("""COMPUTED_VALUE"""),41010.666666666664)</f>
        <v>41010.66667</v>
      </c>
      <c r="B6650" s="1">
        <f>IFERROR(__xludf.DUMMYFUNCTION("""COMPUTED_VALUE"""),1358.98)</f>
        <v>1358.98</v>
      </c>
      <c r="C6650" s="1">
        <f>IFERROR(__xludf.DUMMYFUNCTION("""COMPUTED_VALUE"""),1374.71)</f>
        <v>1374.71</v>
      </c>
      <c r="D6650" s="1">
        <f>IFERROR(__xludf.DUMMYFUNCTION("""COMPUTED_VALUE"""),1358.98)</f>
        <v>1358.98</v>
      </c>
      <c r="E6650" s="1">
        <f>IFERROR(__xludf.DUMMYFUNCTION("""COMPUTED_VALUE"""),1368.71)</f>
        <v>1368.71</v>
      </c>
      <c r="F6650" s="1">
        <f>IFERROR(__xludf.DUMMYFUNCTION("""COMPUTED_VALUE"""),0.0)</f>
        <v>0</v>
      </c>
    </row>
    <row r="6651">
      <c r="A6651" s="2">
        <f>IFERROR(__xludf.DUMMYFUNCTION("""COMPUTED_VALUE"""),41011.666666666664)</f>
        <v>41011.66667</v>
      </c>
      <c r="B6651" s="1">
        <f>IFERROR(__xludf.DUMMYFUNCTION("""COMPUTED_VALUE"""),1368.77)</f>
        <v>1368.77</v>
      </c>
      <c r="C6651" s="1">
        <f>IFERROR(__xludf.DUMMYFUNCTION("""COMPUTED_VALUE"""),1388.13)</f>
        <v>1388.13</v>
      </c>
      <c r="D6651" s="1">
        <f>IFERROR(__xludf.DUMMYFUNCTION("""COMPUTED_VALUE"""),1368.77)</f>
        <v>1368.77</v>
      </c>
      <c r="E6651" s="1">
        <f>IFERROR(__xludf.DUMMYFUNCTION("""COMPUTED_VALUE"""),1387.57)</f>
        <v>1387.57</v>
      </c>
      <c r="F6651" s="1">
        <f>IFERROR(__xludf.DUMMYFUNCTION("""COMPUTED_VALUE"""),0.0)</f>
        <v>0</v>
      </c>
    </row>
    <row r="6652">
      <c r="A6652" s="2">
        <f>IFERROR(__xludf.DUMMYFUNCTION("""COMPUTED_VALUE"""),41012.666666666664)</f>
        <v>41012.66667</v>
      </c>
      <c r="B6652" s="1">
        <f>IFERROR(__xludf.DUMMYFUNCTION("""COMPUTED_VALUE"""),1387.61)</f>
        <v>1387.61</v>
      </c>
      <c r="C6652" s="1">
        <f>IFERROR(__xludf.DUMMYFUNCTION("""COMPUTED_VALUE"""),1387.61)</f>
        <v>1387.61</v>
      </c>
      <c r="D6652" s="1">
        <f>IFERROR(__xludf.DUMMYFUNCTION("""COMPUTED_VALUE"""),1369.85)</f>
        <v>1369.85</v>
      </c>
      <c r="E6652" s="1">
        <f>IFERROR(__xludf.DUMMYFUNCTION("""COMPUTED_VALUE"""),1370.26)</f>
        <v>1370.26</v>
      </c>
      <c r="F6652" s="1">
        <f>IFERROR(__xludf.DUMMYFUNCTION("""COMPUTED_VALUE"""),0.0)</f>
        <v>0</v>
      </c>
    </row>
    <row r="6653">
      <c r="A6653" s="2">
        <f>IFERROR(__xludf.DUMMYFUNCTION("""COMPUTED_VALUE"""),41015.666666666664)</f>
        <v>41015.66667</v>
      </c>
      <c r="B6653" s="1">
        <f>IFERROR(__xludf.DUMMYFUNCTION("""COMPUTED_VALUE"""),1370.27)</f>
        <v>1370.27</v>
      </c>
      <c r="C6653" s="1">
        <f>IFERROR(__xludf.DUMMYFUNCTION("""COMPUTED_VALUE"""),1379.66)</f>
        <v>1379.66</v>
      </c>
      <c r="D6653" s="1">
        <f>IFERROR(__xludf.DUMMYFUNCTION("""COMPUTED_VALUE"""),1365.38)</f>
        <v>1365.38</v>
      </c>
      <c r="E6653" s="1">
        <f>IFERROR(__xludf.DUMMYFUNCTION("""COMPUTED_VALUE"""),1369.57)</f>
        <v>1369.57</v>
      </c>
      <c r="F6653" s="1">
        <f>IFERROR(__xludf.DUMMYFUNCTION("""COMPUTED_VALUE"""),0.0)</f>
        <v>0</v>
      </c>
    </row>
    <row r="6654">
      <c r="A6654" s="2">
        <f>IFERROR(__xludf.DUMMYFUNCTION("""COMPUTED_VALUE"""),41016.666666666664)</f>
        <v>41016.66667</v>
      </c>
      <c r="B6654" s="1">
        <f>IFERROR(__xludf.DUMMYFUNCTION("""COMPUTED_VALUE"""),1369.57)</f>
        <v>1369.57</v>
      </c>
      <c r="C6654" s="1">
        <f>IFERROR(__xludf.DUMMYFUNCTION("""COMPUTED_VALUE"""),1392.76)</f>
        <v>1392.76</v>
      </c>
      <c r="D6654" s="1">
        <f>IFERROR(__xludf.DUMMYFUNCTION("""COMPUTED_VALUE"""),1369.57)</f>
        <v>1369.57</v>
      </c>
      <c r="E6654" s="1">
        <f>IFERROR(__xludf.DUMMYFUNCTION("""COMPUTED_VALUE"""),1390.78)</f>
        <v>1390.78</v>
      </c>
      <c r="F6654" s="1">
        <f>IFERROR(__xludf.DUMMYFUNCTION("""COMPUTED_VALUE"""),0.0)</f>
        <v>0</v>
      </c>
    </row>
    <row r="6655">
      <c r="A6655" s="2">
        <f>IFERROR(__xludf.DUMMYFUNCTION("""COMPUTED_VALUE"""),41017.666666666664)</f>
        <v>41017.66667</v>
      </c>
      <c r="B6655" s="1">
        <f>IFERROR(__xludf.DUMMYFUNCTION("""COMPUTED_VALUE"""),1390.78)</f>
        <v>1390.78</v>
      </c>
      <c r="C6655" s="1">
        <f>IFERROR(__xludf.DUMMYFUNCTION("""COMPUTED_VALUE"""),1390.78)</f>
        <v>1390.78</v>
      </c>
      <c r="D6655" s="1">
        <f>IFERROR(__xludf.DUMMYFUNCTION("""COMPUTED_VALUE"""),1383.29)</f>
        <v>1383.29</v>
      </c>
      <c r="E6655" s="1">
        <f>IFERROR(__xludf.DUMMYFUNCTION("""COMPUTED_VALUE"""),1385.14)</f>
        <v>1385.14</v>
      </c>
      <c r="F6655" s="1">
        <f>IFERROR(__xludf.DUMMYFUNCTION("""COMPUTED_VALUE"""),0.0)</f>
        <v>0</v>
      </c>
    </row>
    <row r="6656">
      <c r="A6656" s="2">
        <f>IFERROR(__xludf.DUMMYFUNCTION("""COMPUTED_VALUE"""),41018.666666666664)</f>
        <v>41018.66667</v>
      </c>
      <c r="B6656" s="1">
        <f>IFERROR(__xludf.DUMMYFUNCTION("""COMPUTED_VALUE"""),1385.08)</f>
        <v>1385.08</v>
      </c>
      <c r="C6656" s="1">
        <f>IFERROR(__xludf.DUMMYFUNCTION("""COMPUTED_VALUE"""),1390.46)</f>
        <v>1390.46</v>
      </c>
      <c r="D6656" s="1">
        <f>IFERROR(__xludf.DUMMYFUNCTION("""COMPUTED_VALUE"""),1370.3)</f>
        <v>1370.3</v>
      </c>
      <c r="E6656" s="1">
        <f>IFERROR(__xludf.DUMMYFUNCTION("""COMPUTED_VALUE"""),1376.92)</f>
        <v>1376.92</v>
      </c>
      <c r="F6656" s="1">
        <f>IFERROR(__xludf.DUMMYFUNCTION("""COMPUTED_VALUE"""),0.0)</f>
        <v>0</v>
      </c>
    </row>
    <row r="6657">
      <c r="A6657" s="2">
        <f>IFERROR(__xludf.DUMMYFUNCTION("""COMPUTED_VALUE"""),41019.666666666664)</f>
        <v>41019.66667</v>
      </c>
      <c r="B6657" s="1">
        <f>IFERROR(__xludf.DUMMYFUNCTION("""COMPUTED_VALUE"""),1376.96)</f>
        <v>1376.96</v>
      </c>
      <c r="C6657" s="1">
        <f>IFERROR(__xludf.DUMMYFUNCTION("""COMPUTED_VALUE"""),1387.4)</f>
        <v>1387.4</v>
      </c>
      <c r="D6657" s="1">
        <f>IFERROR(__xludf.DUMMYFUNCTION("""COMPUTED_VALUE"""),1376.96)</f>
        <v>1376.96</v>
      </c>
      <c r="E6657" s="1">
        <f>IFERROR(__xludf.DUMMYFUNCTION("""COMPUTED_VALUE"""),1378.53)</f>
        <v>1378.53</v>
      </c>
      <c r="F6657" s="1">
        <f>IFERROR(__xludf.DUMMYFUNCTION("""COMPUTED_VALUE"""),0.0)</f>
        <v>0</v>
      </c>
    </row>
    <row r="6658">
      <c r="A6658" s="2">
        <f>IFERROR(__xludf.DUMMYFUNCTION("""COMPUTED_VALUE"""),41022.666666666664)</f>
        <v>41022.66667</v>
      </c>
      <c r="B6658" s="1">
        <f>IFERROR(__xludf.DUMMYFUNCTION("""COMPUTED_VALUE"""),1378.53)</f>
        <v>1378.53</v>
      </c>
      <c r="C6658" s="1">
        <f>IFERROR(__xludf.DUMMYFUNCTION("""COMPUTED_VALUE"""),1378.53)</f>
        <v>1378.53</v>
      </c>
      <c r="D6658" s="1">
        <f>IFERROR(__xludf.DUMMYFUNCTION("""COMPUTED_VALUE"""),1358.79)</f>
        <v>1358.79</v>
      </c>
      <c r="E6658" s="1">
        <f>IFERROR(__xludf.DUMMYFUNCTION("""COMPUTED_VALUE"""),1366.94)</f>
        <v>1366.94</v>
      </c>
      <c r="F6658" s="1">
        <f>IFERROR(__xludf.DUMMYFUNCTION("""COMPUTED_VALUE"""),0.0)</f>
        <v>0</v>
      </c>
    </row>
    <row r="6659">
      <c r="A6659" s="2">
        <f>IFERROR(__xludf.DUMMYFUNCTION("""COMPUTED_VALUE"""),41023.666666666664)</f>
        <v>41023.66667</v>
      </c>
      <c r="B6659" s="1">
        <f>IFERROR(__xludf.DUMMYFUNCTION("""COMPUTED_VALUE"""),1366.97)</f>
        <v>1366.97</v>
      </c>
      <c r="C6659" s="1">
        <f>IFERROR(__xludf.DUMMYFUNCTION("""COMPUTED_VALUE"""),1375.57)</f>
        <v>1375.57</v>
      </c>
      <c r="D6659" s="1">
        <f>IFERROR(__xludf.DUMMYFUNCTION("""COMPUTED_VALUE"""),1366.82)</f>
        <v>1366.82</v>
      </c>
      <c r="E6659" s="1">
        <f>IFERROR(__xludf.DUMMYFUNCTION("""COMPUTED_VALUE"""),1371.97)</f>
        <v>1371.97</v>
      </c>
      <c r="F6659" s="1">
        <f>IFERROR(__xludf.DUMMYFUNCTION("""COMPUTED_VALUE"""),0.0)</f>
        <v>0</v>
      </c>
    </row>
    <row r="6660">
      <c r="A6660" s="2">
        <f>IFERROR(__xludf.DUMMYFUNCTION("""COMPUTED_VALUE"""),41024.666666666664)</f>
        <v>41024.66667</v>
      </c>
      <c r="B6660" s="1">
        <f>IFERROR(__xludf.DUMMYFUNCTION("""COMPUTED_VALUE"""),1372.11)</f>
        <v>1372.11</v>
      </c>
      <c r="C6660" s="1">
        <f>IFERROR(__xludf.DUMMYFUNCTION("""COMPUTED_VALUE"""),1391.37)</f>
        <v>1391.37</v>
      </c>
      <c r="D6660" s="1">
        <f>IFERROR(__xludf.DUMMYFUNCTION("""COMPUTED_VALUE"""),1372.11)</f>
        <v>1372.11</v>
      </c>
      <c r="E6660" s="1">
        <f>IFERROR(__xludf.DUMMYFUNCTION("""COMPUTED_VALUE"""),1390.69)</f>
        <v>1390.69</v>
      </c>
      <c r="F6660" s="1">
        <f>IFERROR(__xludf.DUMMYFUNCTION("""COMPUTED_VALUE"""),0.0)</f>
        <v>0</v>
      </c>
    </row>
    <row r="6661">
      <c r="A6661" s="2">
        <f>IFERROR(__xludf.DUMMYFUNCTION("""COMPUTED_VALUE"""),41025.666666666664)</f>
        <v>41025.66667</v>
      </c>
      <c r="B6661" s="1">
        <f>IFERROR(__xludf.DUMMYFUNCTION("""COMPUTED_VALUE"""),1390.64)</f>
        <v>1390.64</v>
      </c>
      <c r="C6661" s="1">
        <f>IFERROR(__xludf.DUMMYFUNCTION("""COMPUTED_VALUE"""),1402.09)</f>
        <v>1402.09</v>
      </c>
      <c r="D6661" s="1">
        <f>IFERROR(__xludf.DUMMYFUNCTION("""COMPUTED_VALUE"""),1387.28)</f>
        <v>1387.28</v>
      </c>
      <c r="E6661" s="1">
        <f>IFERROR(__xludf.DUMMYFUNCTION("""COMPUTED_VALUE"""),1399.98)</f>
        <v>1399.98</v>
      </c>
      <c r="F6661" s="1">
        <f>IFERROR(__xludf.DUMMYFUNCTION("""COMPUTED_VALUE"""),0.0)</f>
        <v>0</v>
      </c>
    </row>
    <row r="6662">
      <c r="A6662" s="2">
        <f>IFERROR(__xludf.DUMMYFUNCTION("""COMPUTED_VALUE"""),41026.666666666664)</f>
        <v>41026.66667</v>
      </c>
      <c r="B6662" s="1">
        <f>IFERROR(__xludf.DUMMYFUNCTION("""COMPUTED_VALUE"""),1400.19)</f>
        <v>1400.19</v>
      </c>
      <c r="C6662" s="1">
        <f>IFERROR(__xludf.DUMMYFUNCTION("""COMPUTED_VALUE"""),1406.64)</f>
        <v>1406.64</v>
      </c>
      <c r="D6662" s="1">
        <f>IFERROR(__xludf.DUMMYFUNCTION("""COMPUTED_VALUE"""),1397.31)</f>
        <v>1397.31</v>
      </c>
      <c r="E6662" s="1">
        <f>IFERROR(__xludf.DUMMYFUNCTION("""COMPUTED_VALUE"""),1403.36)</f>
        <v>1403.36</v>
      </c>
      <c r="F6662" s="1">
        <f>IFERROR(__xludf.DUMMYFUNCTION("""COMPUTED_VALUE"""),0.0)</f>
        <v>0</v>
      </c>
    </row>
    <row r="6663">
      <c r="A6663" s="2">
        <f>IFERROR(__xludf.DUMMYFUNCTION("""COMPUTED_VALUE"""),41029.666666666664)</f>
        <v>41029.66667</v>
      </c>
      <c r="B6663" s="1">
        <f>IFERROR(__xludf.DUMMYFUNCTION("""COMPUTED_VALUE"""),1403.26)</f>
        <v>1403.26</v>
      </c>
      <c r="C6663" s="1">
        <f>IFERROR(__xludf.DUMMYFUNCTION("""COMPUTED_VALUE"""),1403.26)</f>
        <v>1403.26</v>
      </c>
      <c r="D6663" s="1">
        <f>IFERROR(__xludf.DUMMYFUNCTION("""COMPUTED_VALUE"""),1394.0)</f>
        <v>1394</v>
      </c>
      <c r="E6663" s="1">
        <f>IFERROR(__xludf.DUMMYFUNCTION("""COMPUTED_VALUE"""),1397.91)</f>
        <v>1397.91</v>
      </c>
      <c r="F6663" s="1">
        <f>IFERROR(__xludf.DUMMYFUNCTION("""COMPUTED_VALUE"""),0.0)</f>
        <v>0</v>
      </c>
    </row>
    <row r="6664">
      <c r="A6664" s="2">
        <f>IFERROR(__xludf.DUMMYFUNCTION("""COMPUTED_VALUE"""),41030.666666666664)</f>
        <v>41030.66667</v>
      </c>
      <c r="B6664" s="1">
        <f>IFERROR(__xludf.DUMMYFUNCTION("""COMPUTED_VALUE"""),1397.86)</f>
        <v>1397.86</v>
      </c>
      <c r="C6664" s="1">
        <f>IFERROR(__xludf.DUMMYFUNCTION("""COMPUTED_VALUE"""),1415.32)</f>
        <v>1415.32</v>
      </c>
      <c r="D6664" s="1">
        <f>IFERROR(__xludf.DUMMYFUNCTION("""COMPUTED_VALUE"""),1395.73)</f>
        <v>1395.73</v>
      </c>
      <c r="E6664" s="1">
        <f>IFERROR(__xludf.DUMMYFUNCTION("""COMPUTED_VALUE"""),1405.82)</f>
        <v>1405.82</v>
      </c>
      <c r="F6664" s="1">
        <f>IFERROR(__xludf.DUMMYFUNCTION("""COMPUTED_VALUE"""),0.0)</f>
        <v>0</v>
      </c>
    </row>
    <row r="6665">
      <c r="A6665" s="2">
        <f>IFERROR(__xludf.DUMMYFUNCTION("""COMPUTED_VALUE"""),41031.666666666664)</f>
        <v>41031.66667</v>
      </c>
      <c r="B6665" s="1">
        <f>IFERROR(__xludf.DUMMYFUNCTION("""COMPUTED_VALUE"""),1397.86)</f>
        <v>1397.86</v>
      </c>
      <c r="C6665" s="1">
        <f>IFERROR(__xludf.DUMMYFUNCTION("""COMPUTED_VALUE"""),1415.32)</f>
        <v>1415.32</v>
      </c>
      <c r="D6665" s="1">
        <f>IFERROR(__xludf.DUMMYFUNCTION("""COMPUTED_VALUE"""),1395.73)</f>
        <v>1395.73</v>
      </c>
      <c r="E6665" s="1">
        <f>IFERROR(__xludf.DUMMYFUNCTION("""COMPUTED_VALUE"""),1402.31)</f>
        <v>1402.31</v>
      </c>
      <c r="F6665" s="1">
        <f>IFERROR(__xludf.DUMMYFUNCTION("""COMPUTED_VALUE"""),0.0)</f>
        <v>0</v>
      </c>
    </row>
    <row r="6666">
      <c r="A6666" s="2">
        <f>IFERROR(__xludf.DUMMYFUNCTION("""COMPUTED_VALUE"""),41032.666666666664)</f>
        <v>41032.66667</v>
      </c>
      <c r="B6666" s="1">
        <f>IFERROR(__xludf.DUMMYFUNCTION("""COMPUTED_VALUE"""),1402.32)</f>
        <v>1402.32</v>
      </c>
      <c r="C6666" s="1">
        <f>IFERROR(__xludf.DUMMYFUNCTION("""COMPUTED_VALUE"""),1403.07)</f>
        <v>1403.07</v>
      </c>
      <c r="D6666" s="1">
        <f>IFERROR(__xludf.DUMMYFUNCTION("""COMPUTED_VALUE"""),1388.71)</f>
        <v>1388.71</v>
      </c>
      <c r="E6666" s="1">
        <f>IFERROR(__xludf.DUMMYFUNCTION("""COMPUTED_VALUE"""),1391.57)</f>
        <v>1391.57</v>
      </c>
      <c r="F6666" s="1">
        <f>IFERROR(__xludf.DUMMYFUNCTION("""COMPUTED_VALUE"""),0.0)</f>
        <v>0</v>
      </c>
    </row>
    <row r="6667">
      <c r="A6667" s="2">
        <f>IFERROR(__xludf.DUMMYFUNCTION("""COMPUTED_VALUE"""),41033.666666666664)</f>
        <v>41033.66667</v>
      </c>
      <c r="B6667" s="1">
        <f>IFERROR(__xludf.DUMMYFUNCTION("""COMPUTED_VALUE"""),1391.51)</f>
        <v>1391.51</v>
      </c>
      <c r="C6667" s="1">
        <f>IFERROR(__xludf.DUMMYFUNCTION("""COMPUTED_VALUE"""),1391.51)</f>
        <v>1391.51</v>
      </c>
      <c r="D6667" s="1">
        <f>IFERROR(__xludf.DUMMYFUNCTION("""COMPUTED_VALUE"""),1367.96)</f>
        <v>1367.96</v>
      </c>
      <c r="E6667" s="1">
        <f>IFERROR(__xludf.DUMMYFUNCTION("""COMPUTED_VALUE"""),1369.1)</f>
        <v>1369.1</v>
      </c>
      <c r="F6667" s="1">
        <f>IFERROR(__xludf.DUMMYFUNCTION("""COMPUTED_VALUE"""),0.0)</f>
        <v>0</v>
      </c>
    </row>
    <row r="6668">
      <c r="A6668" s="2">
        <f>IFERROR(__xludf.DUMMYFUNCTION("""COMPUTED_VALUE"""),41036.666666666664)</f>
        <v>41036.66667</v>
      </c>
      <c r="B6668" s="1">
        <f>IFERROR(__xludf.DUMMYFUNCTION("""COMPUTED_VALUE"""),1368.79)</f>
        <v>1368.79</v>
      </c>
      <c r="C6668" s="1">
        <f>IFERROR(__xludf.DUMMYFUNCTION("""COMPUTED_VALUE"""),1373.91)</f>
        <v>1373.91</v>
      </c>
      <c r="D6668" s="1">
        <f>IFERROR(__xludf.DUMMYFUNCTION("""COMPUTED_VALUE"""),1363.94)</f>
        <v>1363.94</v>
      </c>
      <c r="E6668" s="1">
        <f>IFERROR(__xludf.DUMMYFUNCTION("""COMPUTED_VALUE"""),1369.58)</f>
        <v>1369.58</v>
      </c>
      <c r="F6668" s="1">
        <f>IFERROR(__xludf.DUMMYFUNCTION("""COMPUTED_VALUE"""),0.0)</f>
        <v>0</v>
      </c>
    </row>
    <row r="6669">
      <c r="A6669" s="2">
        <f>IFERROR(__xludf.DUMMYFUNCTION("""COMPUTED_VALUE"""),41037.666666666664)</f>
        <v>41037.66667</v>
      </c>
      <c r="B6669" s="1">
        <f>IFERROR(__xludf.DUMMYFUNCTION("""COMPUTED_VALUE"""),1369.16)</f>
        <v>1369.16</v>
      </c>
      <c r="C6669" s="1">
        <f>IFERROR(__xludf.DUMMYFUNCTION("""COMPUTED_VALUE"""),1369.16)</f>
        <v>1369.16</v>
      </c>
      <c r="D6669" s="1">
        <f>IFERROR(__xludf.DUMMYFUNCTION("""COMPUTED_VALUE"""),1347.75)</f>
        <v>1347.75</v>
      </c>
      <c r="E6669" s="1">
        <f>IFERROR(__xludf.DUMMYFUNCTION("""COMPUTED_VALUE"""),1363.72)</f>
        <v>1363.72</v>
      </c>
      <c r="F6669" s="1">
        <f>IFERROR(__xludf.DUMMYFUNCTION("""COMPUTED_VALUE"""),0.0)</f>
        <v>0</v>
      </c>
    </row>
    <row r="6670">
      <c r="A6670" s="2">
        <f>IFERROR(__xludf.DUMMYFUNCTION("""COMPUTED_VALUE"""),41038.666666666664)</f>
        <v>41038.66667</v>
      </c>
      <c r="B6670" s="1">
        <f>IFERROR(__xludf.DUMMYFUNCTION("""COMPUTED_VALUE"""),1363.2)</f>
        <v>1363.2</v>
      </c>
      <c r="C6670" s="1">
        <f>IFERROR(__xludf.DUMMYFUNCTION("""COMPUTED_VALUE"""),1363.73)</f>
        <v>1363.73</v>
      </c>
      <c r="D6670" s="1">
        <f>IFERROR(__xludf.DUMMYFUNCTION("""COMPUTED_VALUE"""),1343.13)</f>
        <v>1343.13</v>
      </c>
      <c r="E6670" s="1">
        <f>IFERROR(__xludf.DUMMYFUNCTION("""COMPUTED_VALUE"""),1354.58)</f>
        <v>1354.58</v>
      </c>
      <c r="F6670" s="1">
        <f>IFERROR(__xludf.DUMMYFUNCTION("""COMPUTED_VALUE"""),0.0)</f>
        <v>0</v>
      </c>
    </row>
    <row r="6671">
      <c r="A6671" s="2">
        <f>IFERROR(__xludf.DUMMYFUNCTION("""COMPUTED_VALUE"""),41039.666666666664)</f>
        <v>41039.66667</v>
      </c>
      <c r="B6671" s="1">
        <f>IFERROR(__xludf.DUMMYFUNCTION("""COMPUTED_VALUE"""),1354.58)</f>
        <v>1354.58</v>
      </c>
      <c r="C6671" s="1">
        <f>IFERROR(__xludf.DUMMYFUNCTION("""COMPUTED_VALUE"""),1365.88)</f>
        <v>1365.88</v>
      </c>
      <c r="D6671" s="1">
        <f>IFERROR(__xludf.DUMMYFUNCTION("""COMPUTED_VALUE"""),1354.58)</f>
        <v>1354.58</v>
      </c>
      <c r="E6671" s="1">
        <f>IFERROR(__xludf.DUMMYFUNCTION("""COMPUTED_VALUE"""),1357.99)</f>
        <v>1357.99</v>
      </c>
      <c r="F6671" s="1">
        <f>IFERROR(__xludf.DUMMYFUNCTION("""COMPUTED_VALUE"""),0.0)</f>
        <v>0</v>
      </c>
    </row>
    <row r="6672">
      <c r="A6672" s="2">
        <f>IFERROR(__xludf.DUMMYFUNCTION("""COMPUTED_VALUE"""),41040.666666666664)</f>
        <v>41040.66667</v>
      </c>
      <c r="B6672" s="1">
        <f>IFERROR(__xludf.DUMMYFUNCTION("""COMPUTED_VALUE"""),1358.11)</f>
        <v>1358.11</v>
      </c>
      <c r="C6672" s="1">
        <f>IFERROR(__xludf.DUMMYFUNCTION("""COMPUTED_VALUE"""),1365.66)</f>
        <v>1365.66</v>
      </c>
      <c r="D6672" s="1">
        <f>IFERROR(__xludf.DUMMYFUNCTION("""COMPUTED_VALUE"""),1348.89)</f>
        <v>1348.89</v>
      </c>
      <c r="E6672" s="1">
        <f>IFERROR(__xludf.DUMMYFUNCTION("""COMPUTED_VALUE"""),1353.39)</f>
        <v>1353.39</v>
      </c>
      <c r="F6672" s="1">
        <f>IFERROR(__xludf.DUMMYFUNCTION("""COMPUTED_VALUE"""),0.0)</f>
        <v>0</v>
      </c>
    </row>
    <row r="6673">
      <c r="A6673" s="2">
        <f>IFERROR(__xludf.DUMMYFUNCTION("""COMPUTED_VALUE"""),41043.666666666664)</f>
        <v>41043.66667</v>
      </c>
      <c r="B6673" s="1">
        <f>IFERROR(__xludf.DUMMYFUNCTION("""COMPUTED_VALUE"""),1351.93)</f>
        <v>1351.93</v>
      </c>
      <c r="C6673" s="1">
        <f>IFERROR(__xludf.DUMMYFUNCTION("""COMPUTED_VALUE"""),1351.93)</f>
        <v>1351.93</v>
      </c>
      <c r="D6673" s="1">
        <f>IFERROR(__xludf.DUMMYFUNCTION("""COMPUTED_VALUE"""),1336.61)</f>
        <v>1336.61</v>
      </c>
      <c r="E6673" s="1">
        <f>IFERROR(__xludf.DUMMYFUNCTION("""COMPUTED_VALUE"""),1338.35)</f>
        <v>1338.35</v>
      </c>
      <c r="F6673" s="1">
        <f>IFERROR(__xludf.DUMMYFUNCTION("""COMPUTED_VALUE"""),0.0)</f>
        <v>0</v>
      </c>
    </row>
    <row r="6674">
      <c r="A6674" s="2">
        <f>IFERROR(__xludf.DUMMYFUNCTION("""COMPUTED_VALUE"""),41044.666666666664)</f>
        <v>41044.66667</v>
      </c>
      <c r="B6674" s="1">
        <f>IFERROR(__xludf.DUMMYFUNCTION("""COMPUTED_VALUE"""),1338.36)</f>
        <v>1338.36</v>
      </c>
      <c r="C6674" s="1">
        <f>IFERROR(__xludf.DUMMYFUNCTION("""COMPUTED_VALUE"""),1344.94)</f>
        <v>1344.94</v>
      </c>
      <c r="D6674" s="1">
        <f>IFERROR(__xludf.DUMMYFUNCTION("""COMPUTED_VALUE"""),1328.41)</f>
        <v>1328.41</v>
      </c>
      <c r="E6674" s="1">
        <f>IFERROR(__xludf.DUMMYFUNCTION("""COMPUTED_VALUE"""),1330.66)</f>
        <v>1330.66</v>
      </c>
      <c r="F6674" s="1">
        <f>IFERROR(__xludf.DUMMYFUNCTION("""COMPUTED_VALUE"""),0.0)</f>
        <v>0</v>
      </c>
    </row>
    <row r="6675">
      <c r="A6675" s="2">
        <f>IFERROR(__xludf.DUMMYFUNCTION("""COMPUTED_VALUE"""),41045.666666666664)</f>
        <v>41045.66667</v>
      </c>
      <c r="B6675" s="1">
        <f>IFERROR(__xludf.DUMMYFUNCTION("""COMPUTED_VALUE"""),1330.78)</f>
        <v>1330.78</v>
      </c>
      <c r="C6675" s="1">
        <f>IFERROR(__xludf.DUMMYFUNCTION("""COMPUTED_VALUE"""),1341.78)</f>
        <v>1341.78</v>
      </c>
      <c r="D6675" s="1">
        <f>IFERROR(__xludf.DUMMYFUNCTION("""COMPUTED_VALUE"""),1324.79)</f>
        <v>1324.79</v>
      </c>
      <c r="E6675" s="1">
        <f>IFERROR(__xludf.DUMMYFUNCTION("""COMPUTED_VALUE"""),1324.8)</f>
        <v>1324.8</v>
      </c>
      <c r="F6675" s="1">
        <f>IFERROR(__xludf.DUMMYFUNCTION("""COMPUTED_VALUE"""),0.0)</f>
        <v>0</v>
      </c>
    </row>
    <row r="6676">
      <c r="A6676" s="2">
        <f>IFERROR(__xludf.DUMMYFUNCTION("""COMPUTED_VALUE"""),41046.666666666664)</f>
        <v>41046.66667</v>
      </c>
      <c r="B6676" s="1">
        <f>IFERROR(__xludf.DUMMYFUNCTION("""COMPUTED_VALUE"""),1324.82)</f>
        <v>1324.82</v>
      </c>
      <c r="C6676" s="1">
        <f>IFERROR(__xludf.DUMMYFUNCTION("""COMPUTED_VALUE"""),1326.36)</f>
        <v>1326.36</v>
      </c>
      <c r="D6676" s="1">
        <f>IFERROR(__xludf.DUMMYFUNCTION("""COMPUTED_VALUE"""),1304.86)</f>
        <v>1304.86</v>
      </c>
      <c r="E6676" s="1">
        <f>IFERROR(__xludf.DUMMYFUNCTION("""COMPUTED_VALUE"""),1304.86)</f>
        <v>1304.86</v>
      </c>
      <c r="F6676" s="1">
        <f>IFERROR(__xludf.DUMMYFUNCTION("""COMPUTED_VALUE"""),0.0)</f>
        <v>0</v>
      </c>
    </row>
    <row r="6677">
      <c r="A6677" s="2">
        <f>IFERROR(__xludf.DUMMYFUNCTION("""COMPUTED_VALUE"""),41047.666666666664)</f>
        <v>41047.66667</v>
      </c>
      <c r="B6677" s="1">
        <f>IFERROR(__xludf.DUMMYFUNCTION("""COMPUTED_VALUE"""),1305.05)</f>
        <v>1305.05</v>
      </c>
      <c r="C6677" s="1">
        <f>IFERROR(__xludf.DUMMYFUNCTION("""COMPUTED_VALUE"""),1312.24)</f>
        <v>1312.24</v>
      </c>
      <c r="D6677" s="1">
        <f>IFERROR(__xludf.DUMMYFUNCTION("""COMPUTED_VALUE"""),1291.98)</f>
        <v>1291.98</v>
      </c>
      <c r="E6677" s="1">
        <f>IFERROR(__xludf.DUMMYFUNCTION("""COMPUTED_VALUE"""),1295.22)</f>
        <v>1295.22</v>
      </c>
      <c r="F6677" s="1">
        <f>IFERROR(__xludf.DUMMYFUNCTION("""COMPUTED_VALUE"""),0.0)</f>
        <v>0</v>
      </c>
    </row>
    <row r="6678">
      <c r="A6678" s="2">
        <f>IFERROR(__xludf.DUMMYFUNCTION("""COMPUTED_VALUE"""),41050.666666666664)</f>
        <v>41050.66667</v>
      </c>
      <c r="B6678" s="1">
        <f>IFERROR(__xludf.DUMMYFUNCTION("""COMPUTED_VALUE"""),1295.73)</f>
        <v>1295.73</v>
      </c>
      <c r="C6678" s="1">
        <f>IFERROR(__xludf.DUMMYFUNCTION("""COMPUTED_VALUE"""),1316.39)</f>
        <v>1316.39</v>
      </c>
      <c r="D6678" s="1">
        <f>IFERROR(__xludf.DUMMYFUNCTION("""COMPUTED_VALUE"""),1295.73)</f>
        <v>1295.73</v>
      </c>
      <c r="E6678" s="1">
        <f>IFERROR(__xludf.DUMMYFUNCTION("""COMPUTED_VALUE"""),1315.99)</f>
        <v>1315.99</v>
      </c>
      <c r="F6678" s="1">
        <f>IFERROR(__xludf.DUMMYFUNCTION("""COMPUTED_VALUE"""),0.0)</f>
        <v>0</v>
      </c>
    </row>
    <row r="6679">
      <c r="A6679" s="2">
        <f>IFERROR(__xludf.DUMMYFUNCTION("""COMPUTED_VALUE"""),41051.666666666664)</f>
        <v>41051.66667</v>
      </c>
      <c r="B6679" s="1">
        <f>IFERROR(__xludf.DUMMYFUNCTION("""COMPUTED_VALUE"""),1316.09)</f>
        <v>1316.09</v>
      </c>
      <c r="C6679" s="1">
        <f>IFERROR(__xludf.DUMMYFUNCTION("""COMPUTED_VALUE"""),1328.49)</f>
        <v>1328.49</v>
      </c>
      <c r="D6679" s="1">
        <f>IFERROR(__xludf.DUMMYFUNCTION("""COMPUTED_VALUE"""),1310.04)</f>
        <v>1310.04</v>
      </c>
      <c r="E6679" s="1">
        <f>IFERROR(__xludf.DUMMYFUNCTION("""COMPUTED_VALUE"""),1316.63)</f>
        <v>1316.63</v>
      </c>
      <c r="F6679" s="1">
        <f>IFERROR(__xludf.DUMMYFUNCTION("""COMPUTED_VALUE"""),0.0)</f>
        <v>0</v>
      </c>
    </row>
    <row r="6680">
      <c r="A6680" s="2">
        <f>IFERROR(__xludf.DUMMYFUNCTION("""COMPUTED_VALUE"""),41052.666666666664)</f>
        <v>41052.66667</v>
      </c>
      <c r="B6680" s="1">
        <f>IFERROR(__xludf.DUMMYFUNCTION("""COMPUTED_VALUE"""),1316.02)</f>
        <v>1316.02</v>
      </c>
      <c r="C6680" s="1">
        <f>IFERROR(__xludf.DUMMYFUNCTION("""COMPUTED_VALUE"""),1320.71)</f>
        <v>1320.71</v>
      </c>
      <c r="D6680" s="1">
        <f>IFERROR(__xludf.DUMMYFUNCTION("""COMPUTED_VALUE"""),1296.53)</f>
        <v>1296.53</v>
      </c>
      <c r="E6680" s="1">
        <f>IFERROR(__xludf.DUMMYFUNCTION("""COMPUTED_VALUE"""),1318.86)</f>
        <v>1318.86</v>
      </c>
      <c r="F6680" s="1">
        <f>IFERROR(__xludf.DUMMYFUNCTION("""COMPUTED_VALUE"""),0.0)</f>
        <v>0</v>
      </c>
    </row>
    <row r="6681">
      <c r="A6681" s="2">
        <f>IFERROR(__xludf.DUMMYFUNCTION("""COMPUTED_VALUE"""),41053.666666666664)</f>
        <v>41053.66667</v>
      </c>
      <c r="B6681" s="1">
        <f>IFERROR(__xludf.DUMMYFUNCTION("""COMPUTED_VALUE"""),1318.72)</f>
        <v>1318.72</v>
      </c>
      <c r="C6681" s="1">
        <f>IFERROR(__xludf.DUMMYFUNCTION("""COMPUTED_VALUE"""),1324.14)</f>
        <v>1324.14</v>
      </c>
      <c r="D6681" s="1">
        <f>IFERROR(__xludf.DUMMYFUNCTION("""COMPUTED_VALUE"""),1310.5)</f>
        <v>1310.5</v>
      </c>
      <c r="E6681" s="1">
        <f>IFERROR(__xludf.DUMMYFUNCTION("""COMPUTED_VALUE"""),1320.68)</f>
        <v>1320.68</v>
      </c>
      <c r="F6681" s="1">
        <f>IFERROR(__xludf.DUMMYFUNCTION("""COMPUTED_VALUE"""),0.0)</f>
        <v>0</v>
      </c>
    </row>
    <row r="6682">
      <c r="A6682" s="2">
        <f>IFERROR(__xludf.DUMMYFUNCTION("""COMPUTED_VALUE"""),41054.666666666664)</f>
        <v>41054.66667</v>
      </c>
      <c r="B6682" s="1">
        <f>IFERROR(__xludf.DUMMYFUNCTION("""COMPUTED_VALUE"""),1320.81)</f>
        <v>1320.81</v>
      </c>
      <c r="C6682" s="1">
        <f>IFERROR(__xludf.DUMMYFUNCTION("""COMPUTED_VALUE"""),1324.2)</f>
        <v>1324.2</v>
      </c>
      <c r="D6682" s="1">
        <f>IFERROR(__xludf.DUMMYFUNCTION("""COMPUTED_VALUE"""),1314.23)</f>
        <v>1314.23</v>
      </c>
      <c r="E6682" s="1">
        <f>IFERROR(__xludf.DUMMYFUNCTION("""COMPUTED_VALUE"""),1317.82)</f>
        <v>1317.82</v>
      </c>
      <c r="F6682" s="1">
        <f>IFERROR(__xludf.DUMMYFUNCTION("""COMPUTED_VALUE"""),0.0)</f>
        <v>0</v>
      </c>
    </row>
    <row r="6683">
      <c r="A6683" s="2">
        <f>IFERROR(__xludf.DUMMYFUNCTION("""COMPUTED_VALUE"""),41058.666666666664)</f>
        <v>41058.66667</v>
      </c>
      <c r="B6683" s="1">
        <f>IFERROR(__xludf.DUMMYFUNCTION("""COMPUTED_VALUE"""),1318.9)</f>
        <v>1318.9</v>
      </c>
      <c r="C6683" s="1">
        <f>IFERROR(__xludf.DUMMYFUNCTION("""COMPUTED_VALUE"""),1334.93)</f>
        <v>1334.93</v>
      </c>
      <c r="D6683" s="1">
        <f>IFERROR(__xludf.DUMMYFUNCTION("""COMPUTED_VALUE"""),1318.9)</f>
        <v>1318.9</v>
      </c>
      <c r="E6683" s="1">
        <f>IFERROR(__xludf.DUMMYFUNCTION("""COMPUTED_VALUE"""),1332.42)</f>
        <v>1332.42</v>
      </c>
      <c r="F6683" s="1">
        <f>IFERROR(__xludf.DUMMYFUNCTION("""COMPUTED_VALUE"""),0.0)</f>
        <v>0</v>
      </c>
    </row>
    <row r="6684">
      <c r="A6684" s="2">
        <f>IFERROR(__xludf.DUMMYFUNCTION("""COMPUTED_VALUE"""),41059.666666666664)</f>
        <v>41059.66667</v>
      </c>
      <c r="B6684" s="1">
        <f>IFERROR(__xludf.DUMMYFUNCTION("""COMPUTED_VALUE"""),1331.25)</f>
        <v>1331.25</v>
      </c>
      <c r="C6684" s="1">
        <f>IFERROR(__xludf.DUMMYFUNCTION("""COMPUTED_VALUE"""),1331.25)</f>
        <v>1331.25</v>
      </c>
      <c r="D6684" s="1">
        <f>IFERROR(__xludf.DUMMYFUNCTION("""COMPUTED_VALUE"""),1310.76)</f>
        <v>1310.76</v>
      </c>
      <c r="E6684" s="1">
        <f>IFERROR(__xludf.DUMMYFUNCTION("""COMPUTED_VALUE"""),1313.32)</f>
        <v>1313.32</v>
      </c>
      <c r="F6684" s="1">
        <f>IFERROR(__xludf.DUMMYFUNCTION("""COMPUTED_VALUE"""),0.0)</f>
        <v>0</v>
      </c>
    </row>
    <row r="6685">
      <c r="A6685" s="2">
        <f>IFERROR(__xludf.DUMMYFUNCTION("""COMPUTED_VALUE"""),41060.666666666664)</f>
        <v>41060.66667</v>
      </c>
      <c r="B6685" s="1">
        <f>IFERROR(__xludf.DUMMYFUNCTION("""COMPUTED_VALUE"""),1313.09)</f>
        <v>1313.09</v>
      </c>
      <c r="C6685" s="1">
        <f>IFERROR(__xludf.DUMMYFUNCTION("""COMPUTED_VALUE"""),1319.74)</f>
        <v>1319.74</v>
      </c>
      <c r="D6685" s="1">
        <f>IFERROR(__xludf.DUMMYFUNCTION("""COMPUTED_VALUE"""),1298.9)</f>
        <v>1298.9</v>
      </c>
      <c r="E6685" s="1">
        <f>IFERROR(__xludf.DUMMYFUNCTION("""COMPUTED_VALUE"""),1310.33)</f>
        <v>1310.33</v>
      </c>
      <c r="F6685" s="1">
        <f>IFERROR(__xludf.DUMMYFUNCTION("""COMPUTED_VALUE"""),0.0)</f>
        <v>0</v>
      </c>
    </row>
    <row r="6686">
      <c r="A6686" s="2">
        <f>IFERROR(__xludf.DUMMYFUNCTION("""COMPUTED_VALUE"""),41061.666666666664)</f>
        <v>41061.66667</v>
      </c>
      <c r="B6686" s="1">
        <f>IFERROR(__xludf.DUMMYFUNCTION("""COMPUTED_VALUE"""),1309.87)</f>
        <v>1309.87</v>
      </c>
      <c r="C6686" s="1">
        <f>IFERROR(__xludf.DUMMYFUNCTION("""COMPUTED_VALUE"""),1309.87)</f>
        <v>1309.87</v>
      </c>
      <c r="D6686" s="1">
        <f>IFERROR(__xludf.DUMMYFUNCTION("""COMPUTED_VALUE"""),1277.25)</f>
        <v>1277.25</v>
      </c>
      <c r="E6686" s="1">
        <f>IFERROR(__xludf.DUMMYFUNCTION("""COMPUTED_VALUE"""),1278.04)</f>
        <v>1278.04</v>
      </c>
      <c r="F6686" s="1">
        <f>IFERROR(__xludf.DUMMYFUNCTION("""COMPUTED_VALUE"""),0.0)</f>
        <v>0</v>
      </c>
    </row>
    <row r="6687">
      <c r="A6687" s="2">
        <f>IFERROR(__xludf.DUMMYFUNCTION("""COMPUTED_VALUE"""),41064.666666666664)</f>
        <v>41064.66667</v>
      </c>
      <c r="B6687" s="1">
        <f>IFERROR(__xludf.DUMMYFUNCTION("""COMPUTED_VALUE"""),1278.29)</f>
        <v>1278.29</v>
      </c>
      <c r="C6687" s="1">
        <f>IFERROR(__xludf.DUMMYFUNCTION("""COMPUTED_VALUE"""),1282.55)</f>
        <v>1282.55</v>
      </c>
      <c r="D6687" s="1">
        <f>IFERROR(__xludf.DUMMYFUNCTION("""COMPUTED_VALUE"""),1266.74)</f>
        <v>1266.74</v>
      </c>
      <c r="E6687" s="1">
        <f>IFERROR(__xludf.DUMMYFUNCTION("""COMPUTED_VALUE"""),1278.18)</f>
        <v>1278.18</v>
      </c>
      <c r="F6687" s="1">
        <f>IFERROR(__xludf.DUMMYFUNCTION("""COMPUTED_VALUE"""),0.0)</f>
        <v>0</v>
      </c>
    </row>
    <row r="6688">
      <c r="A6688" s="2">
        <f>IFERROR(__xludf.DUMMYFUNCTION("""COMPUTED_VALUE"""),41065.666666666664)</f>
        <v>41065.66667</v>
      </c>
      <c r="B6688" s="1">
        <f>IFERROR(__xludf.DUMMYFUNCTION("""COMPUTED_VALUE"""),1277.82)</f>
        <v>1277.82</v>
      </c>
      <c r="C6688" s="1">
        <f>IFERROR(__xludf.DUMMYFUNCTION("""COMPUTED_VALUE"""),1287.62)</f>
        <v>1287.62</v>
      </c>
      <c r="D6688" s="1">
        <f>IFERROR(__xludf.DUMMYFUNCTION("""COMPUTED_VALUE"""),1274.16)</f>
        <v>1274.16</v>
      </c>
      <c r="E6688" s="1">
        <f>IFERROR(__xludf.DUMMYFUNCTION("""COMPUTED_VALUE"""),1285.5)</f>
        <v>1285.5</v>
      </c>
      <c r="F6688" s="1">
        <f>IFERROR(__xludf.DUMMYFUNCTION("""COMPUTED_VALUE"""),0.0)</f>
        <v>0</v>
      </c>
    </row>
    <row r="6689">
      <c r="A6689" s="2">
        <f>IFERROR(__xludf.DUMMYFUNCTION("""COMPUTED_VALUE"""),41066.666666666664)</f>
        <v>41066.66667</v>
      </c>
      <c r="B6689" s="1">
        <f>IFERROR(__xludf.DUMMYFUNCTION("""COMPUTED_VALUE"""),1285.61)</f>
        <v>1285.61</v>
      </c>
      <c r="C6689" s="1">
        <f>IFERROR(__xludf.DUMMYFUNCTION("""COMPUTED_VALUE"""),1315.13)</f>
        <v>1315.13</v>
      </c>
      <c r="D6689" s="1">
        <f>IFERROR(__xludf.DUMMYFUNCTION("""COMPUTED_VALUE"""),1285.61)</f>
        <v>1285.61</v>
      </c>
      <c r="E6689" s="1">
        <f>IFERROR(__xludf.DUMMYFUNCTION("""COMPUTED_VALUE"""),1315.13)</f>
        <v>1315.13</v>
      </c>
      <c r="F6689" s="1">
        <f>IFERROR(__xludf.DUMMYFUNCTION("""COMPUTED_VALUE"""),0.0)</f>
        <v>0</v>
      </c>
    </row>
    <row r="6690">
      <c r="A6690" s="2">
        <f>IFERROR(__xludf.DUMMYFUNCTION("""COMPUTED_VALUE"""),41067.666666666664)</f>
        <v>41067.66667</v>
      </c>
      <c r="B6690" s="1">
        <f>IFERROR(__xludf.DUMMYFUNCTION("""COMPUTED_VALUE"""),1316.15)</f>
        <v>1316.15</v>
      </c>
      <c r="C6690" s="1">
        <f>IFERROR(__xludf.DUMMYFUNCTION("""COMPUTED_VALUE"""),1329.05)</f>
        <v>1329.05</v>
      </c>
      <c r="D6690" s="1">
        <f>IFERROR(__xludf.DUMMYFUNCTION("""COMPUTED_VALUE"""),1312.68)</f>
        <v>1312.68</v>
      </c>
      <c r="E6690" s="1">
        <f>IFERROR(__xludf.DUMMYFUNCTION("""COMPUTED_VALUE"""),1314.99)</f>
        <v>1314.99</v>
      </c>
      <c r="F6690" s="1">
        <f>IFERROR(__xludf.DUMMYFUNCTION("""COMPUTED_VALUE"""),0.0)</f>
        <v>0</v>
      </c>
    </row>
    <row r="6691">
      <c r="A6691" s="2">
        <f>IFERROR(__xludf.DUMMYFUNCTION("""COMPUTED_VALUE"""),41068.666666666664)</f>
        <v>41068.66667</v>
      </c>
      <c r="B6691" s="1">
        <f>IFERROR(__xludf.DUMMYFUNCTION("""COMPUTED_VALUE"""),1314.99)</f>
        <v>1314.99</v>
      </c>
      <c r="C6691" s="1">
        <f>IFERROR(__xludf.DUMMYFUNCTION("""COMPUTED_VALUE"""),1325.81)</f>
        <v>1325.81</v>
      </c>
      <c r="D6691" s="1">
        <f>IFERROR(__xludf.DUMMYFUNCTION("""COMPUTED_VALUE"""),1307.77)</f>
        <v>1307.77</v>
      </c>
      <c r="E6691" s="1">
        <f>IFERROR(__xludf.DUMMYFUNCTION("""COMPUTED_VALUE"""),1325.66)</f>
        <v>1325.66</v>
      </c>
      <c r="F6691" s="1">
        <f>IFERROR(__xludf.DUMMYFUNCTION("""COMPUTED_VALUE"""),0.0)</f>
        <v>0</v>
      </c>
    </row>
    <row r="6692">
      <c r="A6692" s="2">
        <f>IFERROR(__xludf.DUMMYFUNCTION("""COMPUTED_VALUE"""),41071.666666666664)</f>
        <v>41071.66667</v>
      </c>
      <c r="B6692" s="1">
        <f>IFERROR(__xludf.DUMMYFUNCTION("""COMPUTED_VALUE"""),1325.72)</f>
        <v>1325.72</v>
      </c>
      <c r="C6692" s="1">
        <f>IFERROR(__xludf.DUMMYFUNCTION("""COMPUTED_VALUE"""),1335.52)</f>
        <v>1335.52</v>
      </c>
      <c r="D6692" s="1">
        <f>IFERROR(__xludf.DUMMYFUNCTION("""COMPUTED_VALUE"""),1307.73)</f>
        <v>1307.73</v>
      </c>
      <c r="E6692" s="1">
        <f>IFERROR(__xludf.DUMMYFUNCTION("""COMPUTED_VALUE"""),1308.93)</f>
        <v>1308.93</v>
      </c>
      <c r="F6692" s="1">
        <f>IFERROR(__xludf.DUMMYFUNCTION("""COMPUTED_VALUE"""),0.0)</f>
        <v>0</v>
      </c>
    </row>
    <row r="6693">
      <c r="A6693" s="2">
        <f>IFERROR(__xludf.DUMMYFUNCTION("""COMPUTED_VALUE"""),41072.666666666664)</f>
        <v>41072.66667</v>
      </c>
      <c r="B6693" s="1">
        <f>IFERROR(__xludf.DUMMYFUNCTION("""COMPUTED_VALUE"""),1309.4)</f>
        <v>1309.4</v>
      </c>
      <c r="C6693" s="1">
        <f>IFERROR(__xludf.DUMMYFUNCTION("""COMPUTED_VALUE"""),1324.31)</f>
        <v>1324.31</v>
      </c>
      <c r="D6693" s="1">
        <f>IFERROR(__xludf.DUMMYFUNCTION("""COMPUTED_VALUE"""),1306.62)</f>
        <v>1306.62</v>
      </c>
      <c r="E6693" s="1">
        <f>IFERROR(__xludf.DUMMYFUNCTION("""COMPUTED_VALUE"""),1324.18)</f>
        <v>1324.18</v>
      </c>
      <c r="F6693" s="1">
        <f>IFERROR(__xludf.DUMMYFUNCTION("""COMPUTED_VALUE"""),0.0)</f>
        <v>0</v>
      </c>
    </row>
    <row r="6694">
      <c r="A6694" s="2">
        <f>IFERROR(__xludf.DUMMYFUNCTION("""COMPUTED_VALUE"""),41073.666666666664)</f>
        <v>41073.66667</v>
      </c>
      <c r="B6694" s="1">
        <f>IFERROR(__xludf.DUMMYFUNCTION("""COMPUTED_VALUE"""),1324.02)</f>
        <v>1324.02</v>
      </c>
      <c r="C6694" s="1">
        <f>IFERROR(__xludf.DUMMYFUNCTION("""COMPUTED_VALUE"""),1327.28)</f>
        <v>1327.28</v>
      </c>
      <c r="D6694" s="1">
        <f>IFERROR(__xludf.DUMMYFUNCTION("""COMPUTED_VALUE"""),1310.51)</f>
        <v>1310.51</v>
      </c>
      <c r="E6694" s="1">
        <f>IFERROR(__xludf.DUMMYFUNCTION("""COMPUTED_VALUE"""),1314.88)</f>
        <v>1314.88</v>
      </c>
      <c r="F6694" s="1">
        <f>IFERROR(__xludf.DUMMYFUNCTION("""COMPUTED_VALUE"""),0.0)</f>
        <v>0</v>
      </c>
    </row>
    <row r="6695">
      <c r="A6695" s="2">
        <f>IFERROR(__xludf.DUMMYFUNCTION("""COMPUTED_VALUE"""),41074.666666666664)</f>
        <v>41074.66667</v>
      </c>
      <c r="B6695" s="1">
        <f>IFERROR(__xludf.DUMMYFUNCTION("""COMPUTED_VALUE"""),1314.88)</f>
        <v>1314.88</v>
      </c>
      <c r="C6695" s="1">
        <f>IFERROR(__xludf.DUMMYFUNCTION("""COMPUTED_VALUE"""),1333.68)</f>
        <v>1333.68</v>
      </c>
      <c r="D6695" s="1">
        <f>IFERROR(__xludf.DUMMYFUNCTION("""COMPUTED_VALUE"""),1314.14)</f>
        <v>1314.14</v>
      </c>
      <c r="E6695" s="1">
        <f>IFERROR(__xludf.DUMMYFUNCTION("""COMPUTED_VALUE"""),1329.1)</f>
        <v>1329.1</v>
      </c>
      <c r="F6695" s="1">
        <f>IFERROR(__xludf.DUMMYFUNCTION("""COMPUTED_VALUE"""),0.0)</f>
        <v>0</v>
      </c>
    </row>
    <row r="6696">
      <c r="A6696" s="2">
        <f>IFERROR(__xludf.DUMMYFUNCTION("""COMPUTED_VALUE"""),41075.666666666664)</f>
        <v>41075.66667</v>
      </c>
      <c r="B6696" s="1">
        <f>IFERROR(__xludf.DUMMYFUNCTION("""COMPUTED_VALUE"""),1329.19)</f>
        <v>1329.19</v>
      </c>
      <c r="C6696" s="1">
        <f>IFERROR(__xludf.DUMMYFUNCTION("""COMPUTED_VALUE"""),1343.32)</f>
        <v>1343.32</v>
      </c>
      <c r="D6696" s="1">
        <f>IFERROR(__xludf.DUMMYFUNCTION("""COMPUTED_VALUE"""),1329.19)</f>
        <v>1329.19</v>
      </c>
      <c r="E6696" s="1">
        <f>IFERROR(__xludf.DUMMYFUNCTION("""COMPUTED_VALUE"""),1342.84)</f>
        <v>1342.84</v>
      </c>
      <c r="F6696" s="1">
        <f>IFERROR(__xludf.DUMMYFUNCTION("""COMPUTED_VALUE"""),0.0)</f>
        <v>0</v>
      </c>
    </row>
    <row r="6697">
      <c r="A6697" s="2">
        <f>IFERROR(__xludf.DUMMYFUNCTION("""COMPUTED_VALUE"""),41078.666666666664)</f>
        <v>41078.66667</v>
      </c>
      <c r="B6697" s="1">
        <f>IFERROR(__xludf.DUMMYFUNCTION("""COMPUTED_VALUE"""),1342.42)</f>
        <v>1342.42</v>
      </c>
      <c r="C6697" s="1">
        <f>IFERROR(__xludf.DUMMYFUNCTION("""COMPUTED_VALUE"""),1348.22)</f>
        <v>1348.22</v>
      </c>
      <c r="D6697" s="1">
        <f>IFERROR(__xludf.DUMMYFUNCTION("""COMPUTED_VALUE"""),1334.46)</f>
        <v>1334.46</v>
      </c>
      <c r="E6697" s="1">
        <f>IFERROR(__xludf.DUMMYFUNCTION("""COMPUTED_VALUE"""),1344.78)</f>
        <v>1344.78</v>
      </c>
      <c r="F6697" s="1">
        <f>IFERROR(__xludf.DUMMYFUNCTION("""COMPUTED_VALUE"""),0.0)</f>
        <v>0</v>
      </c>
    </row>
    <row r="6698">
      <c r="A6698" s="2">
        <f>IFERROR(__xludf.DUMMYFUNCTION("""COMPUTED_VALUE"""),41079.666666666664)</f>
        <v>41079.66667</v>
      </c>
      <c r="B6698" s="1">
        <f>IFERROR(__xludf.DUMMYFUNCTION("""COMPUTED_VALUE"""),1344.83)</f>
        <v>1344.83</v>
      </c>
      <c r="C6698" s="1">
        <f>IFERROR(__xludf.DUMMYFUNCTION("""COMPUTED_VALUE"""),1363.46)</f>
        <v>1363.46</v>
      </c>
      <c r="D6698" s="1">
        <f>IFERROR(__xludf.DUMMYFUNCTION("""COMPUTED_VALUE"""),1344.83)</f>
        <v>1344.83</v>
      </c>
      <c r="E6698" s="1">
        <f>IFERROR(__xludf.DUMMYFUNCTION("""COMPUTED_VALUE"""),1357.98)</f>
        <v>1357.98</v>
      </c>
      <c r="F6698" s="1">
        <f>IFERROR(__xludf.DUMMYFUNCTION("""COMPUTED_VALUE"""),0.0)</f>
        <v>0</v>
      </c>
    </row>
    <row r="6699">
      <c r="A6699" s="2">
        <f>IFERROR(__xludf.DUMMYFUNCTION("""COMPUTED_VALUE"""),41080.666666666664)</f>
        <v>41080.66667</v>
      </c>
      <c r="B6699" s="1">
        <f>IFERROR(__xludf.DUMMYFUNCTION("""COMPUTED_VALUE"""),1358.04)</f>
        <v>1358.04</v>
      </c>
      <c r="C6699" s="1">
        <f>IFERROR(__xludf.DUMMYFUNCTION("""COMPUTED_VALUE"""),1361.57)</f>
        <v>1361.57</v>
      </c>
      <c r="D6699" s="1">
        <f>IFERROR(__xludf.DUMMYFUNCTION("""COMPUTED_VALUE"""),1346.45)</f>
        <v>1346.45</v>
      </c>
      <c r="E6699" s="1">
        <f>IFERROR(__xludf.DUMMYFUNCTION("""COMPUTED_VALUE"""),1355.69)</f>
        <v>1355.69</v>
      </c>
      <c r="F6699" s="1">
        <f>IFERROR(__xludf.DUMMYFUNCTION("""COMPUTED_VALUE"""),0.0)</f>
        <v>0</v>
      </c>
    </row>
    <row r="6700">
      <c r="A6700" s="2">
        <f>IFERROR(__xludf.DUMMYFUNCTION("""COMPUTED_VALUE"""),41081.666666666664)</f>
        <v>41081.66667</v>
      </c>
      <c r="B6700" s="1">
        <f>IFERROR(__xludf.DUMMYFUNCTION("""COMPUTED_VALUE"""),1355.43)</f>
        <v>1355.43</v>
      </c>
      <c r="C6700" s="1">
        <f>IFERROR(__xludf.DUMMYFUNCTION("""COMPUTED_VALUE"""),1358.27)</f>
        <v>1358.27</v>
      </c>
      <c r="D6700" s="1">
        <f>IFERROR(__xludf.DUMMYFUNCTION("""COMPUTED_VALUE"""),1324.41)</f>
        <v>1324.41</v>
      </c>
      <c r="E6700" s="1">
        <f>IFERROR(__xludf.DUMMYFUNCTION("""COMPUTED_VALUE"""),1325.51)</f>
        <v>1325.51</v>
      </c>
      <c r="F6700" s="1">
        <f>IFERROR(__xludf.DUMMYFUNCTION("""COMPUTED_VALUE"""),0.0)</f>
        <v>0</v>
      </c>
    </row>
    <row r="6701">
      <c r="A6701" s="2">
        <f>IFERROR(__xludf.DUMMYFUNCTION("""COMPUTED_VALUE"""),41082.666666666664)</f>
        <v>41082.66667</v>
      </c>
      <c r="B6701" s="1">
        <f>IFERROR(__xludf.DUMMYFUNCTION("""COMPUTED_VALUE"""),1325.92)</f>
        <v>1325.92</v>
      </c>
      <c r="C6701" s="1">
        <f>IFERROR(__xludf.DUMMYFUNCTION("""COMPUTED_VALUE"""),1337.82)</f>
        <v>1337.82</v>
      </c>
      <c r="D6701" s="1">
        <f>IFERROR(__xludf.DUMMYFUNCTION("""COMPUTED_VALUE"""),1325.92)</f>
        <v>1325.92</v>
      </c>
      <c r="E6701" s="1">
        <f>IFERROR(__xludf.DUMMYFUNCTION("""COMPUTED_VALUE"""),1335.02)</f>
        <v>1335.02</v>
      </c>
      <c r="F6701" s="1">
        <f>IFERROR(__xludf.DUMMYFUNCTION("""COMPUTED_VALUE"""),0.0)</f>
        <v>0</v>
      </c>
    </row>
    <row r="6702">
      <c r="A6702" s="2">
        <f>IFERROR(__xludf.DUMMYFUNCTION("""COMPUTED_VALUE"""),41085.666666666664)</f>
        <v>41085.66667</v>
      </c>
      <c r="B6702" s="1">
        <f>IFERROR(__xludf.DUMMYFUNCTION("""COMPUTED_VALUE"""),1334.9)</f>
        <v>1334.9</v>
      </c>
      <c r="C6702" s="1">
        <f>IFERROR(__xludf.DUMMYFUNCTION("""COMPUTED_VALUE"""),1334.9)</f>
        <v>1334.9</v>
      </c>
      <c r="D6702" s="1">
        <f>IFERROR(__xludf.DUMMYFUNCTION("""COMPUTED_VALUE"""),1309.27)</f>
        <v>1309.27</v>
      </c>
      <c r="E6702" s="1">
        <f>IFERROR(__xludf.DUMMYFUNCTION("""COMPUTED_VALUE"""),1313.72)</f>
        <v>1313.72</v>
      </c>
      <c r="F6702" s="1">
        <f>IFERROR(__xludf.DUMMYFUNCTION("""COMPUTED_VALUE"""),0.0)</f>
        <v>0</v>
      </c>
    </row>
    <row r="6703">
      <c r="A6703" s="2">
        <f>IFERROR(__xludf.DUMMYFUNCTION("""COMPUTED_VALUE"""),41086.666666666664)</f>
        <v>41086.66667</v>
      </c>
      <c r="B6703" s="1">
        <f>IFERROR(__xludf.DUMMYFUNCTION("""COMPUTED_VALUE"""),1314.09)</f>
        <v>1314.09</v>
      </c>
      <c r="C6703" s="1">
        <f>IFERROR(__xludf.DUMMYFUNCTION("""COMPUTED_VALUE"""),1324.24)</f>
        <v>1324.24</v>
      </c>
      <c r="D6703" s="1">
        <f>IFERROR(__xludf.DUMMYFUNCTION("""COMPUTED_VALUE"""),1310.3)</f>
        <v>1310.3</v>
      </c>
      <c r="E6703" s="1">
        <f>IFERROR(__xludf.DUMMYFUNCTION("""COMPUTED_VALUE"""),1319.99)</f>
        <v>1319.99</v>
      </c>
      <c r="F6703" s="1">
        <f>IFERROR(__xludf.DUMMYFUNCTION("""COMPUTED_VALUE"""),0.0)</f>
        <v>0</v>
      </c>
    </row>
    <row r="6704">
      <c r="A6704" s="2">
        <f>IFERROR(__xludf.DUMMYFUNCTION("""COMPUTED_VALUE"""),41087.666666666664)</f>
        <v>41087.66667</v>
      </c>
      <c r="B6704" s="1">
        <f>IFERROR(__xludf.DUMMYFUNCTION("""COMPUTED_VALUE"""),1320.71)</f>
        <v>1320.71</v>
      </c>
      <c r="C6704" s="1">
        <f>IFERROR(__xludf.DUMMYFUNCTION("""COMPUTED_VALUE"""),1334.4)</f>
        <v>1334.4</v>
      </c>
      <c r="D6704" s="1">
        <f>IFERROR(__xludf.DUMMYFUNCTION("""COMPUTED_VALUE"""),1320.71)</f>
        <v>1320.71</v>
      </c>
      <c r="E6704" s="1">
        <f>IFERROR(__xludf.DUMMYFUNCTION("""COMPUTED_VALUE"""),1331.85)</f>
        <v>1331.85</v>
      </c>
      <c r="F6704" s="1">
        <f>IFERROR(__xludf.DUMMYFUNCTION("""COMPUTED_VALUE"""),0.0)</f>
        <v>0</v>
      </c>
    </row>
    <row r="6705">
      <c r="A6705" s="2">
        <f>IFERROR(__xludf.DUMMYFUNCTION("""COMPUTED_VALUE"""),41088.666666666664)</f>
        <v>41088.66667</v>
      </c>
      <c r="B6705" s="1">
        <f>IFERROR(__xludf.DUMMYFUNCTION("""COMPUTED_VALUE"""),1331.52)</f>
        <v>1331.52</v>
      </c>
      <c r="C6705" s="1">
        <f>IFERROR(__xludf.DUMMYFUNCTION("""COMPUTED_VALUE"""),1331.52)</f>
        <v>1331.52</v>
      </c>
      <c r="D6705" s="1">
        <f>IFERROR(__xludf.DUMMYFUNCTION("""COMPUTED_VALUE"""),1313.29)</f>
        <v>1313.29</v>
      </c>
      <c r="E6705" s="1">
        <f>IFERROR(__xludf.DUMMYFUNCTION("""COMPUTED_VALUE"""),1329.04)</f>
        <v>1329.04</v>
      </c>
      <c r="F6705" s="1">
        <f>IFERROR(__xludf.DUMMYFUNCTION("""COMPUTED_VALUE"""),0.0)</f>
        <v>0</v>
      </c>
    </row>
    <row r="6706">
      <c r="A6706" s="2">
        <f>IFERROR(__xludf.DUMMYFUNCTION("""COMPUTED_VALUE"""),41089.666666666664)</f>
        <v>41089.66667</v>
      </c>
      <c r="B6706" s="1">
        <f>IFERROR(__xludf.DUMMYFUNCTION("""COMPUTED_VALUE"""),1330.12)</f>
        <v>1330.12</v>
      </c>
      <c r="C6706" s="1">
        <f>IFERROR(__xludf.DUMMYFUNCTION("""COMPUTED_VALUE"""),1362.17)</f>
        <v>1362.17</v>
      </c>
      <c r="D6706" s="1">
        <f>IFERROR(__xludf.DUMMYFUNCTION("""COMPUTED_VALUE"""),1330.12)</f>
        <v>1330.12</v>
      </c>
      <c r="E6706" s="1">
        <f>IFERROR(__xludf.DUMMYFUNCTION("""COMPUTED_VALUE"""),1362.16)</f>
        <v>1362.16</v>
      </c>
      <c r="F6706" s="1">
        <f>IFERROR(__xludf.DUMMYFUNCTION("""COMPUTED_VALUE"""),0.0)</f>
        <v>0</v>
      </c>
    </row>
    <row r="6707">
      <c r="A6707" s="2">
        <f>IFERROR(__xludf.DUMMYFUNCTION("""COMPUTED_VALUE"""),41092.666666666664)</f>
        <v>41092.66667</v>
      </c>
      <c r="B6707" s="1">
        <f>IFERROR(__xludf.DUMMYFUNCTION("""COMPUTED_VALUE"""),1362.33)</f>
        <v>1362.33</v>
      </c>
      <c r="C6707" s="1">
        <f>IFERROR(__xludf.DUMMYFUNCTION("""COMPUTED_VALUE"""),1366.35)</f>
        <v>1366.35</v>
      </c>
      <c r="D6707" s="1">
        <f>IFERROR(__xludf.DUMMYFUNCTION("""COMPUTED_VALUE"""),1355.7)</f>
        <v>1355.7</v>
      </c>
      <c r="E6707" s="1">
        <f>IFERROR(__xludf.DUMMYFUNCTION("""COMPUTED_VALUE"""),1365.51)</f>
        <v>1365.51</v>
      </c>
      <c r="F6707" s="1">
        <f>IFERROR(__xludf.DUMMYFUNCTION("""COMPUTED_VALUE"""),0.0)</f>
        <v>0</v>
      </c>
    </row>
    <row r="6708">
      <c r="A6708" s="2">
        <f>IFERROR(__xludf.DUMMYFUNCTION("""COMPUTED_VALUE"""),41093.666666666664)</f>
        <v>41093.66667</v>
      </c>
      <c r="B6708" s="1">
        <f>IFERROR(__xludf.DUMMYFUNCTION("""COMPUTED_VALUE"""),1365.75)</f>
        <v>1365.75</v>
      </c>
      <c r="C6708" s="1">
        <f>IFERROR(__xludf.DUMMYFUNCTION("""COMPUTED_VALUE"""),1374.81)</f>
        <v>1374.81</v>
      </c>
      <c r="D6708" s="1">
        <f>IFERROR(__xludf.DUMMYFUNCTION("""COMPUTED_VALUE"""),1363.53)</f>
        <v>1363.53</v>
      </c>
      <c r="E6708" s="1">
        <f>IFERROR(__xludf.DUMMYFUNCTION("""COMPUTED_VALUE"""),1374.02)</f>
        <v>1374.02</v>
      </c>
      <c r="F6708" s="1">
        <f>IFERROR(__xludf.DUMMYFUNCTION("""COMPUTED_VALUE"""),0.0)</f>
        <v>0</v>
      </c>
    </row>
    <row r="6709">
      <c r="A6709" s="2">
        <f>IFERROR(__xludf.DUMMYFUNCTION("""COMPUTED_VALUE"""),41094.666666666664)</f>
        <v>41094.66667</v>
      </c>
      <c r="B6709" s="1">
        <f>IFERROR(__xludf.DUMMYFUNCTION("""COMPUTED_VALUE"""),1374.02)</f>
        <v>1374.02</v>
      </c>
      <c r="C6709" s="1">
        <f>IFERROR(__xludf.DUMMYFUNCTION("""COMPUTED_VALUE"""),1374.02)</f>
        <v>1374.02</v>
      </c>
      <c r="D6709" s="1">
        <f>IFERROR(__xludf.DUMMYFUNCTION("""COMPUTED_VALUE"""),1374.02)</f>
        <v>1374.02</v>
      </c>
      <c r="E6709" s="1">
        <f>IFERROR(__xludf.DUMMYFUNCTION("""COMPUTED_VALUE"""),1374.02)</f>
        <v>1374.02</v>
      </c>
      <c r="F6709" s="1">
        <f>IFERROR(__xludf.DUMMYFUNCTION("""COMPUTED_VALUE"""),0.0)</f>
        <v>0</v>
      </c>
    </row>
    <row r="6710">
      <c r="A6710" s="2">
        <f>IFERROR(__xludf.DUMMYFUNCTION("""COMPUTED_VALUE"""),41095.666666666664)</f>
        <v>41095.66667</v>
      </c>
      <c r="B6710" s="1">
        <f>IFERROR(__xludf.DUMMYFUNCTION("""COMPUTED_VALUE"""),1373.72)</f>
        <v>1373.72</v>
      </c>
      <c r="C6710" s="1">
        <f>IFERROR(__xludf.DUMMYFUNCTION("""COMPUTED_VALUE"""),1373.85)</f>
        <v>1373.85</v>
      </c>
      <c r="D6710" s="1">
        <f>IFERROR(__xludf.DUMMYFUNCTION("""COMPUTED_VALUE"""),1363.02)</f>
        <v>1363.02</v>
      </c>
      <c r="E6710" s="1">
        <f>IFERROR(__xludf.DUMMYFUNCTION("""COMPUTED_VALUE"""),1367.58)</f>
        <v>1367.58</v>
      </c>
      <c r="F6710" s="1">
        <f>IFERROR(__xludf.DUMMYFUNCTION("""COMPUTED_VALUE"""),0.0)</f>
        <v>0</v>
      </c>
    </row>
    <row r="6711">
      <c r="A6711" s="2">
        <f>IFERROR(__xludf.DUMMYFUNCTION("""COMPUTED_VALUE"""),41096.666666666664)</f>
        <v>41096.66667</v>
      </c>
      <c r="B6711" s="1">
        <f>IFERROR(__xludf.DUMMYFUNCTION("""COMPUTED_VALUE"""),1367.09)</f>
        <v>1367.09</v>
      </c>
      <c r="C6711" s="1">
        <f>IFERROR(__xludf.DUMMYFUNCTION("""COMPUTED_VALUE"""),1367.09)</f>
        <v>1367.09</v>
      </c>
      <c r="D6711" s="1">
        <f>IFERROR(__xludf.DUMMYFUNCTION("""COMPUTED_VALUE"""),1348.03)</f>
        <v>1348.03</v>
      </c>
      <c r="E6711" s="1">
        <f>IFERROR(__xludf.DUMMYFUNCTION("""COMPUTED_VALUE"""),1354.68)</f>
        <v>1354.68</v>
      </c>
      <c r="F6711" s="1">
        <f>IFERROR(__xludf.DUMMYFUNCTION("""COMPUTED_VALUE"""),0.0)</f>
        <v>0</v>
      </c>
    </row>
    <row r="6712">
      <c r="A6712" s="2">
        <f>IFERROR(__xludf.DUMMYFUNCTION("""COMPUTED_VALUE"""),41099.666666666664)</f>
        <v>41099.66667</v>
      </c>
      <c r="B6712" s="1">
        <f>IFERROR(__xludf.DUMMYFUNCTION("""COMPUTED_VALUE"""),1354.66)</f>
        <v>1354.66</v>
      </c>
      <c r="C6712" s="1">
        <f>IFERROR(__xludf.DUMMYFUNCTION("""COMPUTED_VALUE"""),1354.87)</f>
        <v>1354.87</v>
      </c>
      <c r="D6712" s="1">
        <f>IFERROR(__xludf.DUMMYFUNCTION("""COMPUTED_VALUE"""),1346.65)</f>
        <v>1346.65</v>
      </c>
      <c r="E6712" s="1">
        <f>IFERROR(__xludf.DUMMYFUNCTION("""COMPUTED_VALUE"""),1352.46)</f>
        <v>1352.46</v>
      </c>
      <c r="F6712" s="1">
        <f>IFERROR(__xludf.DUMMYFUNCTION("""COMPUTED_VALUE"""),0.0)</f>
        <v>0</v>
      </c>
    </row>
    <row r="6713">
      <c r="A6713" s="2">
        <f>IFERROR(__xludf.DUMMYFUNCTION("""COMPUTED_VALUE"""),41100.666666666664)</f>
        <v>41100.66667</v>
      </c>
      <c r="B6713" s="1">
        <f>IFERROR(__xludf.DUMMYFUNCTION("""COMPUTED_VALUE"""),1352.96)</f>
        <v>1352.96</v>
      </c>
      <c r="C6713" s="1">
        <f>IFERROR(__xludf.DUMMYFUNCTION("""COMPUTED_VALUE"""),1361.54)</f>
        <v>1361.54</v>
      </c>
      <c r="D6713" s="1">
        <f>IFERROR(__xludf.DUMMYFUNCTION("""COMPUTED_VALUE"""),1336.27)</f>
        <v>1336.27</v>
      </c>
      <c r="E6713" s="1">
        <f>IFERROR(__xludf.DUMMYFUNCTION("""COMPUTED_VALUE"""),1341.47)</f>
        <v>1341.47</v>
      </c>
      <c r="F6713" s="1">
        <f>IFERROR(__xludf.DUMMYFUNCTION("""COMPUTED_VALUE"""),0.0)</f>
        <v>0</v>
      </c>
    </row>
    <row r="6714">
      <c r="A6714" s="2">
        <f>IFERROR(__xludf.DUMMYFUNCTION("""COMPUTED_VALUE"""),41101.666666666664)</f>
        <v>41101.66667</v>
      </c>
      <c r="B6714" s="1">
        <f>IFERROR(__xludf.DUMMYFUNCTION("""COMPUTED_VALUE"""),1341.4)</f>
        <v>1341.4</v>
      </c>
      <c r="C6714" s="1">
        <f>IFERROR(__xludf.DUMMYFUNCTION("""COMPUTED_VALUE"""),1345.0)</f>
        <v>1345</v>
      </c>
      <c r="D6714" s="1">
        <f>IFERROR(__xludf.DUMMYFUNCTION("""COMPUTED_VALUE"""),1333.25)</f>
        <v>1333.25</v>
      </c>
      <c r="E6714" s="1">
        <f>IFERROR(__xludf.DUMMYFUNCTION("""COMPUTED_VALUE"""),1341.45)</f>
        <v>1341.45</v>
      </c>
      <c r="F6714" s="1">
        <f>IFERROR(__xludf.DUMMYFUNCTION("""COMPUTED_VALUE"""),0.0)</f>
        <v>0</v>
      </c>
    </row>
    <row r="6715">
      <c r="A6715" s="2">
        <f>IFERROR(__xludf.DUMMYFUNCTION("""COMPUTED_VALUE"""),41102.666666666664)</f>
        <v>41102.66667</v>
      </c>
      <c r="B6715" s="1">
        <f>IFERROR(__xludf.DUMMYFUNCTION("""COMPUTED_VALUE"""),1341.29)</f>
        <v>1341.29</v>
      </c>
      <c r="C6715" s="1">
        <f>IFERROR(__xludf.DUMMYFUNCTION("""COMPUTED_VALUE"""),1341.29)</f>
        <v>1341.29</v>
      </c>
      <c r="D6715" s="1">
        <f>IFERROR(__xludf.DUMMYFUNCTION("""COMPUTED_VALUE"""),1325.41)</f>
        <v>1325.41</v>
      </c>
      <c r="E6715" s="1">
        <f>IFERROR(__xludf.DUMMYFUNCTION("""COMPUTED_VALUE"""),1334.76)</f>
        <v>1334.76</v>
      </c>
      <c r="F6715" s="1">
        <f>IFERROR(__xludf.DUMMYFUNCTION("""COMPUTED_VALUE"""),0.0)</f>
        <v>0</v>
      </c>
    </row>
    <row r="6716">
      <c r="A6716" s="2">
        <f>IFERROR(__xludf.DUMMYFUNCTION("""COMPUTED_VALUE"""),41103.666666666664)</f>
        <v>41103.66667</v>
      </c>
      <c r="B6716" s="1">
        <f>IFERROR(__xludf.DUMMYFUNCTION("""COMPUTED_VALUE"""),1334.81)</f>
        <v>1334.81</v>
      </c>
      <c r="C6716" s="1">
        <f>IFERROR(__xludf.DUMMYFUNCTION("""COMPUTED_VALUE"""),1357.7)</f>
        <v>1357.7</v>
      </c>
      <c r="D6716" s="1">
        <f>IFERROR(__xludf.DUMMYFUNCTION("""COMPUTED_VALUE"""),1334.81)</f>
        <v>1334.81</v>
      </c>
      <c r="E6716" s="1">
        <f>IFERROR(__xludf.DUMMYFUNCTION("""COMPUTED_VALUE"""),1356.78)</f>
        <v>1356.78</v>
      </c>
      <c r="F6716" s="1">
        <f>IFERROR(__xludf.DUMMYFUNCTION("""COMPUTED_VALUE"""),0.0)</f>
        <v>0</v>
      </c>
    </row>
    <row r="6717">
      <c r="A6717" s="2">
        <f>IFERROR(__xludf.DUMMYFUNCTION("""COMPUTED_VALUE"""),41106.666666666664)</f>
        <v>41106.66667</v>
      </c>
      <c r="B6717" s="1">
        <f>IFERROR(__xludf.DUMMYFUNCTION("""COMPUTED_VALUE"""),1356.5)</f>
        <v>1356.5</v>
      </c>
      <c r="C6717" s="1">
        <f>IFERROR(__xludf.DUMMYFUNCTION("""COMPUTED_VALUE"""),1357.26)</f>
        <v>1357.26</v>
      </c>
      <c r="D6717" s="1">
        <f>IFERROR(__xludf.DUMMYFUNCTION("""COMPUTED_VALUE"""),1348.51)</f>
        <v>1348.51</v>
      </c>
      <c r="E6717" s="1">
        <f>IFERROR(__xludf.DUMMYFUNCTION("""COMPUTED_VALUE"""),1353.64)</f>
        <v>1353.64</v>
      </c>
      <c r="F6717" s="1">
        <f>IFERROR(__xludf.DUMMYFUNCTION("""COMPUTED_VALUE"""),0.0)</f>
        <v>0</v>
      </c>
    </row>
    <row r="6718">
      <c r="A6718" s="2">
        <f>IFERROR(__xludf.DUMMYFUNCTION("""COMPUTED_VALUE"""),41107.666666666664)</f>
        <v>41107.66667</v>
      </c>
      <c r="B6718" s="1">
        <f>IFERROR(__xludf.DUMMYFUNCTION("""COMPUTED_VALUE"""),1353.68)</f>
        <v>1353.68</v>
      </c>
      <c r="C6718" s="1">
        <f>IFERROR(__xludf.DUMMYFUNCTION("""COMPUTED_VALUE"""),1365.36)</f>
        <v>1365.36</v>
      </c>
      <c r="D6718" s="1">
        <f>IFERROR(__xludf.DUMMYFUNCTION("""COMPUTED_VALUE"""),1345.07)</f>
        <v>1345.07</v>
      </c>
      <c r="E6718" s="1">
        <f>IFERROR(__xludf.DUMMYFUNCTION("""COMPUTED_VALUE"""),1363.67)</f>
        <v>1363.67</v>
      </c>
      <c r="F6718" s="1">
        <f>IFERROR(__xludf.DUMMYFUNCTION("""COMPUTED_VALUE"""),0.0)</f>
        <v>0</v>
      </c>
    </row>
    <row r="6719">
      <c r="A6719" s="2">
        <f>IFERROR(__xludf.DUMMYFUNCTION("""COMPUTED_VALUE"""),41108.666666666664)</f>
        <v>41108.66667</v>
      </c>
      <c r="B6719" s="1">
        <f>IFERROR(__xludf.DUMMYFUNCTION("""COMPUTED_VALUE"""),1363.58)</f>
        <v>1363.58</v>
      </c>
      <c r="C6719" s="1">
        <f>IFERROR(__xludf.DUMMYFUNCTION("""COMPUTED_VALUE"""),1375.26)</f>
        <v>1375.26</v>
      </c>
      <c r="D6719" s="1">
        <f>IFERROR(__xludf.DUMMYFUNCTION("""COMPUTED_VALUE"""),1358.96)</f>
        <v>1358.96</v>
      </c>
      <c r="E6719" s="1">
        <f>IFERROR(__xludf.DUMMYFUNCTION("""COMPUTED_VALUE"""),1372.78)</f>
        <v>1372.78</v>
      </c>
      <c r="F6719" s="1">
        <f>IFERROR(__xludf.DUMMYFUNCTION("""COMPUTED_VALUE"""),0.0)</f>
        <v>0</v>
      </c>
    </row>
    <row r="6720">
      <c r="A6720" s="2">
        <f>IFERROR(__xludf.DUMMYFUNCTION("""COMPUTED_VALUE"""),41109.666666666664)</f>
        <v>41109.66667</v>
      </c>
      <c r="B6720" s="1">
        <f>IFERROR(__xludf.DUMMYFUNCTION("""COMPUTED_VALUE"""),1373.01)</f>
        <v>1373.01</v>
      </c>
      <c r="C6720" s="1">
        <f>IFERROR(__xludf.DUMMYFUNCTION("""COMPUTED_VALUE"""),1380.39)</f>
        <v>1380.39</v>
      </c>
      <c r="D6720" s="1">
        <f>IFERROR(__xludf.DUMMYFUNCTION("""COMPUTED_VALUE"""),1371.21)</f>
        <v>1371.21</v>
      </c>
      <c r="E6720" s="1">
        <f>IFERROR(__xludf.DUMMYFUNCTION("""COMPUTED_VALUE"""),1376.51)</f>
        <v>1376.51</v>
      </c>
      <c r="F6720" s="1">
        <f>IFERROR(__xludf.DUMMYFUNCTION("""COMPUTED_VALUE"""),0.0)</f>
        <v>0</v>
      </c>
    </row>
    <row r="6721">
      <c r="A6721" s="2">
        <f>IFERROR(__xludf.DUMMYFUNCTION("""COMPUTED_VALUE"""),41110.666666666664)</f>
        <v>41110.66667</v>
      </c>
      <c r="B6721" s="1">
        <f>IFERROR(__xludf.DUMMYFUNCTION("""COMPUTED_VALUE"""),1376.51)</f>
        <v>1376.51</v>
      </c>
      <c r="C6721" s="1">
        <f>IFERROR(__xludf.DUMMYFUNCTION("""COMPUTED_VALUE"""),1376.51)</f>
        <v>1376.51</v>
      </c>
      <c r="D6721" s="1">
        <f>IFERROR(__xludf.DUMMYFUNCTION("""COMPUTED_VALUE"""),1362.19)</f>
        <v>1362.19</v>
      </c>
      <c r="E6721" s="1">
        <f>IFERROR(__xludf.DUMMYFUNCTION("""COMPUTED_VALUE"""),1362.66)</f>
        <v>1362.66</v>
      </c>
      <c r="F6721" s="1">
        <f>IFERROR(__xludf.DUMMYFUNCTION("""COMPUTED_VALUE"""),0.0)</f>
        <v>0</v>
      </c>
    </row>
    <row r="6722">
      <c r="A6722" s="2">
        <f>IFERROR(__xludf.DUMMYFUNCTION("""COMPUTED_VALUE"""),41113.666666666664)</f>
        <v>41113.66667</v>
      </c>
      <c r="B6722" s="1">
        <f>IFERROR(__xludf.DUMMYFUNCTION("""COMPUTED_VALUE"""),1362.34)</f>
        <v>1362.34</v>
      </c>
      <c r="C6722" s="1">
        <f>IFERROR(__xludf.DUMMYFUNCTION("""COMPUTED_VALUE"""),1362.34)</f>
        <v>1362.34</v>
      </c>
      <c r="D6722" s="1">
        <f>IFERROR(__xludf.DUMMYFUNCTION("""COMPUTED_VALUE"""),1337.56)</f>
        <v>1337.56</v>
      </c>
      <c r="E6722" s="1">
        <f>IFERROR(__xludf.DUMMYFUNCTION("""COMPUTED_VALUE"""),1350.52)</f>
        <v>1350.52</v>
      </c>
      <c r="F6722" s="1">
        <f>IFERROR(__xludf.DUMMYFUNCTION("""COMPUTED_VALUE"""),0.0)</f>
        <v>0</v>
      </c>
    </row>
    <row r="6723">
      <c r="A6723" s="2">
        <f>IFERROR(__xludf.DUMMYFUNCTION("""COMPUTED_VALUE"""),41114.666666666664)</f>
        <v>41114.66667</v>
      </c>
      <c r="B6723" s="1">
        <f>IFERROR(__xludf.DUMMYFUNCTION("""COMPUTED_VALUE"""),1350.52)</f>
        <v>1350.52</v>
      </c>
      <c r="C6723" s="1">
        <f>IFERROR(__xludf.DUMMYFUNCTION("""COMPUTED_VALUE"""),1351.53)</f>
        <v>1351.53</v>
      </c>
      <c r="D6723" s="1">
        <f>IFERROR(__xludf.DUMMYFUNCTION("""COMPUTED_VALUE"""),1329.24)</f>
        <v>1329.24</v>
      </c>
      <c r="E6723" s="1">
        <f>IFERROR(__xludf.DUMMYFUNCTION("""COMPUTED_VALUE"""),1338.31)</f>
        <v>1338.31</v>
      </c>
      <c r="F6723" s="1">
        <f>IFERROR(__xludf.DUMMYFUNCTION("""COMPUTED_VALUE"""),0.0)</f>
        <v>0</v>
      </c>
    </row>
    <row r="6724">
      <c r="A6724" s="2">
        <f>IFERROR(__xludf.DUMMYFUNCTION("""COMPUTED_VALUE"""),41115.666666666664)</f>
        <v>41115.66667</v>
      </c>
      <c r="B6724" s="1">
        <f>IFERROR(__xludf.DUMMYFUNCTION("""COMPUTED_VALUE"""),1338.35)</f>
        <v>1338.35</v>
      </c>
      <c r="C6724" s="1">
        <f>IFERROR(__xludf.DUMMYFUNCTION("""COMPUTED_VALUE"""),1343.98)</f>
        <v>1343.98</v>
      </c>
      <c r="D6724" s="1">
        <f>IFERROR(__xludf.DUMMYFUNCTION("""COMPUTED_VALUE"""),1331.5)</f>
        <v>1331.5</v>
      </c>
      <c r="E6724" s="1">
        <f>IFERROR(__xludf.DUMMYFUNCTION("""COMPUTED_VALUE"""),1337.89)</f>
        <v>1337.89</v>
      </c>
      <c r="F6724" s="1">
        <f>IFERROR(__xludf.DUMMYFUNCTION("""COMPUTED_VALUE"""),0.0)</f>
        <v>0</v>
      </c>
    </row>
    <row r="6725">
      <c r="A6725" s="2">
        <f>IFERROR(__xludf.DUMMYFUNCTION("""COMPUTED_VALUE"""),41116.666666666664)</f>
        <v>41116.66667</v>
      </c>
      <c r="B6725" s="1">
        <f>IFERROR(__xludf.DUMMYFUNCTION("""COMPUTED_VALUE"""),1338.17)</f>
        <v>1338.17</v>
      </c>
      <c r="C6725" s="1">
        <f>IFERROR(__xludf.DUMMYFUNCTION("""COMPUTED_VALUE"""),1363.13)</f>
        <v>1363.13</v>
      </c>
      <c r="D6725" s="1">
        <f>IFERROR(__xludf.DUMMYFUNCTION("""COMPUTED_VALUE"""),1338.17)</f>
        <v>1338.17</v>
      </c>
      <c r="E6725" s="1">
        <f>IFERROR(__xludf.DUMMYFUNCTION("""COMPUTED_VALUE"""),1360.02)</f>
        <v>1360.02</v>
      </c>
      <c r="F6725" s="1">
        <f>IFERROR(__xludf.DUMMYFUNCTION("""COMPUTED_VALUE"""),0.0)</f>
        <v>0</v>
      </c>
    </row>
    <row r="6726">
      <c r="A6726" s="2">
        <f>IFERROR(__xludf.DUMMYFUNCTION("""COMPUTED_VALUE"""),41117.666666666664)</f>
        <v>41117.66667</v>
      </c>
      <c r="B6726" s="1">
        <f>IFERROR(__xludf.DUMMYFUNCTION("""COMPUTED_VALUE"""),1360.05)</f>
        <v>1360.05</v>
      </c>
      <c r="C6726" s="1">
        <f>IFERROR(__xludf.DUMMYFUNCTION("""COMPUTED_VALUE"""),1389.19)</f>
        <v>1389.19</v>
      </c>
      <c r="D6726" s="1">
        <f>IFERROR(__xludf.DUMMYFUNCTION("""COMPUTED_VALUE"""),1360.05)</f>
        <v>1360.05</v>
      </c>
      <c r="E6726" s="1">
        <f>IFERROR(__xludf.DUMMYFUNCTION("""COMPUTED_VALUE"""),1385.97)</f>
        <v>1385.97</v>
      </c>
      <c r="F6726" s="1">
        <f>IFERROR(__xludf.DUMMYFUNCTION("""COMPUTED_VALUE"""),0.0)</f>
        <v>0</v>
      </c>
    </row>
    <row r="6727">
      <c r="A6727" s="2">
        <f>IFERROR(__xludf.DUMMYFUNCTION("""COMPUTED_VALUE"""),41120.666666666664)</f>
        <v>41120.66667</v>
      </c>
      <c r="B6727" s="1">
        <f>IFERROR(__xludf.DUMMYFUNCTION("""COMPUTED_VALUE"""),1385.94)</f>
        <v>1385.94</v>
      </c>
      <c r="C6727" s="1">
        <f>IFERROR(__xludf.DUMMYFUNCTION("""COMPUTED_VALUE"""),1391.74)</f>
        <v>1391.74</v>
      </c>
      <c r="D6727" s="1">
        <f>IFERROR(__xludf.DUMMYFUNCTION("""COMPUTED_VALUE"""),1381.37)</f>
        <v>1381.37</v>
      </c>
      <c r="E6727" s="1">
        <f>IFERROR(__xludf.DUMMYFUNCTION("""COMPUTED_VALUE"""),1385.3)</f>
        <v>1385.3</v>
      </c>
      <c r="F6727" s="1">
        <f>IFERROR(__xludf.DUMMYFUNCTION("""COMPUTED_VALUE"""),0.0)</f>
        <v>0</v>
      </c>
    </row>
    <row r="6728">
      <c r="A6728" s="2">
        <f>IFERROR(__xludf.DUMMYFUNCTION("""COMPUTED_VALUE"""),41121.666666666664)</f>
        <v>41121.66667</v>
      </c>
      <c r="B6728" s="1">
        <f>IFERROR(__xludf.DUMMYFUNCTION("""COMPUTED_VALUE"""),1385.27)</f>
        <v>1385.27</v>
      </c>
      <c r="C6728" s="1">
        <f>IFERROR(__xludf.DUMMYFUNCTION("""COMPUTED_VALUE"""),1387.16)</f>
        <v>1387.16</v>
      </c>
      <c r="D6728" s="1">
        <f>IFERROR(__xludf.DUMMYFUNCTION("""COMPUTED_VALUE"""),1379.17)</f>
        <v>1379.17</v>
      </c>
      <c r="E6728" s="1">
        <f>IFERROR(__xludf.DUMMYFUNCTION("""COMPUTED_VALUE"""),1379.32)</f>
        <v>1379.32</v>
      </c>
      <c r="F6728" s="1">
        <f>IFERROR(__xludf.DUMMYFUNCTION("""COMPUTED_VALUE"""),0.0)</f>
        <v>0</v>
      </c>
    </row>
    <row r="6729">
      <c r="A6729" s="2">
        <f>IFERROR(__xludf.DUMMYFUNCTION("""COMPUTED_VALUE"""),41122.666666666664)</f>
        <v>41122.66667</v>
      </c>
      <c r="B6729" s="1">
        <f>IFERROR(__xludf.DUMMYFUNCTION("""COMPUTED_VALUE"""),1379.32)</f>
        <v>1379.32</v>
      </c>
      <c r="C6729" s="1">
        <f>IFERROR(__xludf.DUMMYFUNCTION("""COMPUTED_VALUE"""),1385.03)</f>
        <v>1385.03</v>
      </c>
      <c r="D6729" s="1">
        <f>IFERROR(__xludf.DUMMYFUNCTION("""COMPUTED_VALUE"""),1373.35)</f>
        <v>1373.35</v>
      </c>
      <c r="E6729" s="1">
        <f>IFERROR(__xludf.DUMMYFUNCTION("""COMPUTED_VALUE"""),1375.32)</f>
        <v>1375.32</v>
      </c>
      <c r="F6729" s="1">
        <f>IFERROR(__xludf.DUMMYFUNCTION("""COMPUTED_VALUE"""),0.0)</f>
        <v>0</v>
      </c>
    </row>
    <row r="6730">
      <c r="A6730" s="2">
        <f>IFERROR(__xludf.DUMMYFUNCTION("""COMPUTED_VALUE"""),41123.666666666664)</f>
        <v>41123.66667</v>
      </c>
      <c r="B6730" s="1">
        <f>IFERROR(__xludf.DUMMYFUNCTION("""COMPUTED_VALUE"""),1375.13)</f>
        <v>1375.13</v>
      </c>
      <c r="C6730" s="1">
        <f>IFERROR(__xludf.DUMMYFUNCTION("""COMPUTED_VALUE"""),1375.13)</f>
        <v>1375.13</v>
      </c>
      <c r="D6730" s="1">
        <f>IFERROR(__xludf.DUMMYFUNCTION("""COMPUTED_VALUE"""),1354.65)</f>
        <v>1354.65</v>
      </c>
      <c r="E6730" s="1">
        <f>IFERROR(__xludf.DUMMYFUNCTION("""COMPUTED_VALUE"""),1365.0)</f>
        <v>1365</v>
      </c>
      <c r="F6730" s="1">
        <f>IFERROR(__xludf.DUMMYFUNCTION("""COMPUTED_VALUE"""),0.0)</f>
        <v>0</v>
      </c>
    </row>
    <row r="6731">
      <c r="A6731" s="2">
        <f>IFERROR(__xludf.DUMMYFUNCTION("""COMPUTED_VALUE"""),41124.666666666664)</f>
        <v>41124.66667</v>
      </c>
      <c r="B6731" s="1">
        <f>IFERROR(__xludf.DUMMYFUNCTION("""COMPUTED_VALUE"""),1365.45)</f>
        <v>1365.45</v>
      </c>
      <c r="C6731" s="1">
        <f>IFERROR(__xludf.DUMMYFUNCTION("""COMPUTED_VALUE"""),1394.16)</f>
        <v>1394.16</v>
      </c>
      <c r="D6731" s="1">
        <f>IFERROR(__xludf.DUMMYFUNCTION("""COMPUTED_VALUE"""),1365.45)</f>
        <v>1365.45</v>
      </c>
      <c r="E6731" s="1">
        <f>IFERROR(__xludf.DUMMYFUNCTION("""COMPUTED_VALUE"""),1390.99)</f>
        <v>1390.99</v>
      </c>
      <c r="F6731" s="1">
        <f>IFERROR(__xludf.DUMMYFUNCTION("""COMPUTED_VALUE"""),0.0)</f>
        <v>0</v>
      </c>
    </row>
    <row r="6732">
      <c r="A6732" s="2">
        <f>IFERROR(__xludf.DUMMYFUNCTION("""COMPUTED_VALUE"""),41127.666666666664)</f>
        <v>41127.66667</v>
      </c>
      <c r="B6732" s="1">
        <f>IFERROR(__xludf.DUMMYFUNCTION("""COMPUTED_VALUE"""),1391.04)</f>
        <v>1391.04</v>
      </c>
      <c r="C6732" s="1">
        <f>IFERROR(__xludf.DUMMYFUNCTION("""COMPUTED_VALUE"""),1399.63)</f>
        <v>1399.63</v>
      </c>
      <c r="D6732" s="1">
        <f>IFERROR(__xludf.DUMMYFUNCTION("""COMPUTED_VALUE"""),1391.04)</f>
        <v>1391.04</v>
      </c>
      <c r="E6732" s="1">
        <f>IFERROR(__xludf.DUMMYFUNCTION("""COMPUTED_VALUE"""),1394.23)</f>
        <v>1394.23</v>
      </c>
      <c r="F6732" s="1">
        <f>IFERROR(__xludf.DUMMYFUNCTION("""COMPUTED_VALUE"""),0.0)</f>
        <v>0</v>
      </c>
    </row>
    <row r="6733">
      <c r="A6733" s="2">
        <f>IFERROR(__xludf.DUMMYFUNCTION("""COMPUTED_VALUE"""),41128.666666666664)</f>
        <v>41128.66667</v>
      </c>
      <c r="B6733" s="1">
        <f>IFERROR(__xludf.DUMMYFUNCTION("""COMPUTED_VALUE"""),1394.46)</f>
        <v>1394.46</v>
      </c>
      <c r="C6733" s="1">
        <f>IFERROR(__xludf.DUMMYFUNCTION("""COMPUTED_VALUE"""),1407.14)</f>
        <v>1407.14</v>
      </c>
      <c r="D6733" s="1">
        <f>IFERROR(__xludf.DUMMYFUNCTION("""COMPUTED_VALUE"""),1394.46)</f>
        <v>1394.46</v>
      </c>
      <c r="E6733" s="1">
        <f>IFERROR(__xludf.DUMMYFUNCTION("""COMPUTED_VALUE"""),1401.35)</f>
        <v>1401.35</v>
      </c>
      <c r="F6733" s="1">
        <f>IFERROR(__xludf.DUMMYFUNCTION("""COMPUTED_VALUE"""),0.0)</f>
        <v>0</v>
      </c>
    </row>
    <row r="6734">
      <c r="A6734" s="2">
        <f>IFERROR(__xludf.DUMMYFUNCTION("""COMPUTED_VALUE"""),41129.666666666664)</f>
        <v>41129.66667</v>
      </c>
      <c r="B6734" s="1">
        <f>IFERROR(__xludf.DUMMYFUNCTION("""COMPUTED_VALUE"""),1401.23)</f>
        <v>1401.23</v>
      </c>
      <c r="C6734" s="1">
        <f>IFERROR(__xludf.DUMMYFUNCTION("""COMPUTED_VALUE"""),1404.14)</f>
        <v>1404.14</v>
      </c>
      <c r="D6734" s="1">
        <f>IFERROR(__xludf.DUMMYFUNCTION("""COMPUTED_VALUE"""),1396.13)</f>
        <v>1396.13</v>
      </c>
      <c r="E6734" s="1">
        <f>IFERROR(__xludf.DUMMYFUNCTION("""COMPUTED_VALUE"""),1402.22)</f>
        <v>1402.22</v>
      </c>
      <c r="F6734" s="1">
        <f>IFERROR(__xludf.DUMMYFUNCTION("""COMPUTED_VALUE"""),0.0)</f>
        <v>0</v>
      </c>
    </row>
    <row r="6735">
      <c r="A6735" s="2">
        <f>IFERROR(__xludf.DUMMYFUNCTION("""COMPUTED_VALUE"""),41130.666666666664)</f>
        <v>41130.66667</v>
      </c>
      <c r="B6735" s="1">
        <f>IFERROR(__xludf.DUMMYFUNCTION("""COMPUTED_VALUE"""),1402.26)</f>
        <v>1402.26</v>
      </c>
      <c r="C6735" s="1">
        <f>IFERROR(__xludf.DUMMYFUNCTION("""COMPUTED_VALUE"""),1405.95)</f>
        <v>1405.95</v>
      </c>
      <c r="D6735" s="1">
        <f>IFERROR(__xludf.DUMMYFUNCTION("""COMPUTED_VALUE"""),1398.8)</f>
        <v>1398.8</v>
      </c>
      <c r="E6735" s="1">
        <f>IFERROR(__xludf.DUMMYFUNCTION("""COMPUTED_VALUE"""),1402.8)</f>
        <v>1402.8</v>
      </c>
      <c r="F6735" s="1">
        <f>IFERROR(__xludf.DUMMYFUNCTION("""COMPUTED_VALUE"""),0.0)</f>
        <v>0</v>
      </c>
    </row>
    <row r="6736">
      <c r="A6736" s="2">
        <f>IFERROR(__xludf.DUMMYFUNCTION("""COMPUTED_VALUE"""),41131.666666666664)</f>
        <v>41131.66667</v>
      </c>
      <c r="B6736" s="1">
        <f>IFERROR(__xludf.DUMMYFUNCTION("""COMPUTED_VALUE"""),1402.58)</f>
        <v>1402.58</v>
      </c>
      <c r="C6736" s="1">
        <f>IFERROR(__xludf.DUMMYFUNCTION("""COMPUTED_VALUE"""),1405.98)</f>
        <v>1405.98</v>
      </c>
      <c r="D6736" s="1">
        <f>IFERROR(__xludf.DUMMYFUNCTION("""COMPUTED_VALUE"""),1395.62)</f>
        <v>1395.62</v>
      </c>
      <c r="E6736" s="1">
        <f>IFERROR(__xludf.DUMMYFUNCTION("""COMPUTED_VALUE"""),1405.87)</f>
        <v>1405.87</v>
      </c>
      <c r="F6736" s="1">
        <f>IFERROR(__xludf.DUMMYFUNCTION("""COMPUTED_VALUE"""),0.0)</f>
        <v>0</v>
      </c>
    </row>
    <row r="6737">
      <c r="A6737" s="2">
        <f>IFERROR(__xludf.DUMMYFUNCTION("""COMPUTED_VALUE"""),41134.666666666664)</f>
        <v>41134.66667</v>
      </c>
      <c r="B6737" s="1">
        <f>IFERROR(__xludf.DUMMYFUNCTION("""COMPUTED_VALUE"""),1405.87)</f>
        <v>1405.87</v>
      </c>
      <c r="C6737" s="1">
        <f>IFERROR(__xludf.DUMMYFUNCTION("""COMPUTED_VALUE"""),1405.87)</f>
        <v>1405.87</v>
      </c>
      <c r="D6737" s="1">
        <f>IFERROR(__xludf.DUMMYFUNCTION("""COMPUTED_VALUE"""),1397.32)</f>
        <v>1397.32</v>
      </c>
      <c r="E6737" s="1">
        <f>IFERROR(__xludf.DUMMYFUNCTION("""COMPUTED_VALUE"""),1404.11)</f>
        <v>1404.11</v>
      </c>
      <c r="F6737" s="1">
        <f>IFERROR(__xludf.DUMMYFUNCTION("""COMPUTED_VALUE"""),0.0)</f>
        <v>0</v>
      </c>
    </row>
    <row r="6738">
      <c r="A6738" s="2">
        <f>IFERROR(__xludf.DUMMYFUNCTION("""COMPUTED_VALUE"""),41135.666666666664)</f>
        <v>41135.66667</v>
      </c>
      <c r="B6738" s="1">
        <f>IFERROR(__xludf.DUMMYFUNCTION("""COMPUTED_VALUE"""),1404.36)</f>
        <v>1404.36</v>
      </c>
      <c r="C6738" s="1">
        <f>IFERROR(__xludf.DUMMYFUNCTION("""COMPUTED_VALUE"""),1410.03)</f>
        <v>1410.03</v>
      </c>
      <c r="D6738" s="1">
        <f>IFERROR(__xludf.DUMMYFUNCTION("""COMPUTED_VALUE"""),1400.6)</f>
        <v>1400.6</v>
      </c>
      <c r="E6738" s="1">
        <f>IFERROR(__xludf.DUMMYFUNCTION("""COMPUTED_VALUE"""),1403.93)</f>
        <v>1403.93</v>
      </c>
      <c r="F6738" s="1">
        <f>IFERROR(__xludf.DUMMYFUNCTION("""COMPUTED_VALUE"""),0.0)</f>
        <v>0</v>
      </c>
    </row>
    <row r="6739">
      <c r="A6739" s="2">
        <f>IFERROR(__xludf.DUMMYFUNCTION("""COMPUTED_VALUE"""),41136.666666666664)</f>
        <v>41136.66667</v>
      </c>
      <c r="B6739" s="1">
        <f>IFERROR(__xludf.DUMMYFUNCTION("""COMPUTED_VALUE"""),1403.89)</f>
        <v>1403.89</v>
      </c>
      <c r="C6739" s="1">
        <f>IFERROR(__xludf.DUMMYFUNCTION("""COMPUTED_VALUE"""),1407.73)</f>
        <v>1407.73</v>
      </c>
      <c r="D6739" s="1">
        <f>IFERROR(__xludf.DUMMYFUNCTION("""COMPUTED_VALUE"""),1401.83)</f>
        <v>1401.83</v>
      </c>
      <c r="E6739" s="1">
        <f>IFERROR(__xludf.DUMMYFUNCTION("""COMPUTED_VALUE"""),1405.53)</f>
        <v>1405.53</v>
      </c>
      <c r="F6739" s="1">
        <f>IFERROR(__xludf.DUMMYFUNCTION("""COMPUTED_VALUE"""),0.0)</f>
        <v>0</v>
      </c>
    </row>
    <row r="6740">
      <c r="A6740" s="2">
        <f>IFERROR(__xludf.DUMMYFUNCTION("""COMPUTED_VALUE"""),41137.666666666664)</f>
        <v>41137.66667</v>
      </c>
      <c r="B6740" s="1">
        <f>IFERROR(__xludf.DUMMYFUNCTION("""COMPUTED_VALUE"""),1405.57)</f>
        <v>1405.57</v>
      </c>
      <c r="C6740" s="1">
        <f>IFERROR(__xludf.DUMMYFUNCTION("""COMPUTED_VALUE"""),1417.44)</f>
        <v>1417.44</v>
      </c>
      <c r="D6740" s="1">
        <f>IFERROR(__xludf.DUMMYFUNCTION("""COMPUTED_VALUE"""),1404.15)</f>
        <v>1404.15</v>
      </c>
      <c r="E6740" s="1">
        <f>IFERROR(__xludf.DUMMYFUNCTION("""COMPUTED_VALUE"""),1415.51)</f>
        <v>1415.51</v>
      </c>
      <c r="F6740" s="1">
        <f>IFERROR(__xludf.DUMMYFUNCTION("""COMPUTED_VALUE"""),0.0)</f>
        <v>0</v>
      </c>
    </row>
    <row r="6741">
      <c r="A6741" s="2">
        <f>IFERROR(__xludf.DUMMYFUNCTION("""COMPUTED_VALUE"""),41138.666666666664)</f>
        <v>41138.66667</v>
      </c>
      <c r="B6741" s="1">
        <f>IFERROR(__xludf.DUMMYFUNCTION("""COMPUTED_VALUE"""),1415.84)</f>
        <v>1415.84</v>
      </c>
      <c r="C6741" s="1">
        <f>IFERROR(__xludf.DUMMYFUNCTION("""COMPUTED_VALUE"""),1418.71)</f>
        <v>1418.71</v>
      </c>
      <c r="D6741" s="1">
        <f>IFERROR(__xludf.DUMMYFUNCTION("""COMPUTED_VALUE"""),1414.67)</f>
        <v>1414.67</v>
      </c>
      <c r="E6741" s="1">
        <f>IFERROR(__xludf.DUMMYFUNCTION("""COMPUTED_VALUE"""),1418.16)</f>
        <v>1418.16</v>
      </c>
      <c r="F6741" s="1">
        <f>IFERROR(__xludf.DUMMYFUNCTION("""COMPUTED_VALUE"""),0.0)</f>
        <v>0</v>
      </c>
    </row>
    <row r="6742">
      <c r="A6742" s="2">
        <f>IFERROR(__xludf.DUMMYFUNCTION("""COMPUTED_VALUE"""),41141.666666666664)</f>
        <v>41141.66667</v>
      </c>
      <c r="B6742" s="1">
        <f>IFERROR(__xludf.DUMMYFUNCTION("""COMPUTED_VALUE"""),1417.85)</f>
        <v>1417.85</v>
      </c>
      <c r="C6742" s="1">
        <f>IFERROR(__xludf.DUMMYFUNCTION("""COMPUTED_VALUE"""),1418.13)</f>
        <v>1418.13</v>
      </c>
      <c r="D6742" s="1">
        <f>IFERROR(__xludf.DUMMYFUNCTION("""COMPUTED_VALUE"""),1412.12)</f>
        <v>1412.12</v>
      </c>
      <c r="E6742" s="1">
        <f>IFERROR(__xludf.DUMMYFUNCTION("""COMPUTED_VALUE"""),1418.13)</f>
        <v>1418.13</v>
      </c>
      <c r="F6742" s="1">
        <f>IFERROR(__xludf.DUMMYFUNCTION("""COMPUTED_VALUE"""),0.0)</f>
        <v>0</v>
      </c>
    </row>
    <row r="6743">
      <c r="A6743" s="2">
        <f>IFERROR(__xludf.DUMMYFUNCTION("""COMPUTED_VALUE"""),41142.666666666664)</f>
        <v>41142.66667</v>
      </c>
      <c r="B6743" s="1">
        <f>IFERROR(__xludf.DUMMYFUNCTION("""COMPUTED_VALUE"""),1418.13)</f>
        <v>1418.13</v>
      </c>
      <c r="C6743" s="1">
        <f>IFERROR(__xludf.DUMMYFUNCTION("""COMPUTED_VALUE"""),1426.68)</f>
        <v>1426.68</v>
      </c>
      <c r="D6743" s="1">
        <f>IFERROR(__xludf.DUMMYFUNCTION("""COMPUTED_VALUE"""),1410.86)</f>
        <v>1410.86</v>
      </c>
      <c r="E6743" s="1">
        <f>IFERROR(__xludf.DUMMYFUNCTION("""COMPUTED_VALUE"""),1413.17)</f>
        <v>1413.17</v>
      </c>
      <c r="F6743" s="1">
        <f>IFERROR(__xludf.DUMMYFUNCTION("""COMPUTED_VALUE"""),0.0)</f>
        <v>0</v>
      </c>
    </row>
    <row r="6744">
      <c r="A6744" s="2">
        <f>IFERROR(__xludf.DUMMYFUNCTION("""COMPUTED_VALUE"""),41143.666666666664)</f>
        <v>41143.66667</v>
      </c>
      <c r="B6744" s="1">
        <f>IFERROR(__xludf.DUMMYFUNCTION("""COMPUTED_VALUE"""),1413.09)</f>
        <v>1413.09</v>
      </c>
      <c r="C6744" s="1">
        <f>IFERROR(__xludf.DUMMYFUNCTION("""COMPUTED_VALUE"""),1416.12)</f>
        <v>1416.12</v>
      </c>
      <c r="D6744" s="1">
        <f>IFERROR(__xludf.DUMMYFUNCTION("""COMPUTED_VALUE"""),1406.78)</f>
        <v>1406.78</v>
      </c>
      <c r="E6744" s="1">
        <f>IFERROR(__xludf.DUMMYFUNCTION("""COMPUTED_VALUE"""),1413.49)</f>
        <v>1413.49</v>
      </c>
      <c r="F6744" s="1">
        <f>IFERROR(__xludf.DUMMYFUNCTION("""COMPUTED_VALUE"""),0.0)</f>
        <v>0</v>
      </c>
    </row>
    <row r="6745">
      <c r="A6745" s="2">
        <f>IFERROR(__xludf.DUMMYFUNCTION("""COMPUTED_VALUE"""),41144.666666666664)</f>
        <v>41144.66667</v>
      </c>
      <c r="B6745" s="1">
        <f>IFERROR(__xludf.DUMMYFUNCTION("""COMPUTED_VALUE"""),1413.49)</f>
        <v>1413.49</v>
      </c>
      <c r="C6745" s="1">
        <f>IFERROR(__xludf.DUMMYFUNCTION("""COMPUTED_VALUE"""),1413.49)</f>
        <v>1413.49</v>
      </c>
      <c r="D6745" s="1">
        <f>IFERROR(__xludf.DUMMYFUNCTION("""COMPUTED_VALUE"""),1400.5)</f>
        <v>1400.5</v>
      </c>
      <c r="E6745" s="1">
        <f>IFERROR(__xludf.DUMMYFUNCTION("""COMPUTED_VALUE"""),1402.08)</f>
        <v>1402.08</v>
      </c>
      <c r="F6745" s="1">
        <f>IFERROR(__xludf.DUMMYFUNCTION("""COMPUTED_VALUE"""),0.0)</f>
        <v>0</v>
      </c>
    </row>
    <row r="6746">
      <c r="A6746" s="2">
        <f>IFERROR(__xludf.DUMMYFUNCTION("""COMPUTED_VALUE"""),41145.666666666664)</f>
        <v>41145.66667</v>
      </c>
      <c r="B6746" s="1">
        <f>IFERROR(__xludf.DUMMYFUNCTION("""COMPUTED_VALUE"""),1401.99)</f>
        <v>1401.99</v>
      </c>
      <c r="C6746" s="1">
        <f>IFERROR(__xludf.DUMMYFUNCTION("""COMPUTED_VALUE"""),1413.46)</f>
        <v>1413.46</v>
      </c>
      <c r="D6746" s="1">
        <f>IFERROR(__xludf.DUMMYFUNCTION("""COMPUTED_VALUE"""),1398.04)</f>
        <v>1398.04</v>
      </c>
      <c r="E6746" s="1">
        <f>IFERROR(__xludf.DUMMYFUNCTION("""COMPUTED_VALUE"""),1411.13)</f>
        <v>1411.13</v>
      </c>
      <c r="F6746" s="1">
        <f>IFERROR(__xludf.DUMMYFUNCTION("""COMPUTED_VALUE"""),0.0)</f>
        <v>0</v>
      </c>
    </row>
    <row r="6747">
      <c r="A6747" s="2">
        <f>IFERROR(__xludf.DUMMYFUNCTION("""COMPUTED_VALUE"""),41148.666666666664)</f>
        <v>41148.66667</v>
      </c>
      <c r="B6747" s="1">
        <f>IFERROR(__xludf.DUMMYFUNCTION("""COMPUTED_VALUE"""),1411.13)</f>
        <v>1411.13</v>
      </c>
      <c r="C6747" s="1">
        <f>IFERROR(__xludf.DUMMYFUNCTION("""COMPUTED_VALUE"""),1416.17)</f>
        <v>1416.17</v>
      </c>
      <c r="D6747" s="1">
        <f>IFERROR(__xludf.DUMMYFUNCTION("""COMPUTED_VALUE"""),1409.11)</f>
        <v>1409.11</v>
      </c>
      <c r="E6747" s="1">
        <f>IFERROR(__xludf.DUMMYFUNCTION("""COMPUTED_VALUE"""),1410.44)</f>
        <v>1410.44</v>
      </c>
      <c r="F6747" s="1">
        <f>IFERROR(__xludf.DUMMYFUNCTION("""COMPUTED_VALUE"""),0.0)</f>
        <v>0</v>
      </c>
    </row>
    <row r="6748">
      <c r="A6748" s="2">
        <f>IFERROR(__xludf.DUMMYFUNCTION("""COMPUTED_VALUE"""),41149.666666666664)</f>
        <v>41149.66667</v>
      </c>
      <c r="B6748" s="1">
        <f>IFERROR(__xludf.DUMMYFUNCTION("""COMPUTED_VALUE"""),1410.44)</f>
        <v>1410.44</v>
      </c>
      <c r="C6748" s="1">
        <f>IFERROR(__xludf.DUMMYFUNCTION("""COMPUTED_VALUE"""),1413.63)</f>
        <v>1413.63</v>
      </c>
      <c r="D6748" s="1">
        <f>IFERROR(__xludf.DUMMYFUNCTION("""COMPUTED_VALUE"""),1405.59)</f>
        <v>1405.59</v>
      </c>
      <c r="E6748" s="1">
        <f>IFERROR(__xludf.DUMMYFUNCTION("""COMPUTED_VALUE"""),1409.3)</f>
        <v>1409.3</v>
      </c>
      <c r="F6748" s="1">
        <f>IFERROR(__xludf.DUMMYFUNCTION("""COMPUTED_VALUE"""),0.0)</f>
        <v>0</v>
      </c>
    </row>
    <row r="6749">
      <c r="A6749" s="2">
        <f>IFERROR(__xludf.DUMMYFUNCTION("""COMPUTED_VALUE"""),41150.666666666664)</f>
        <v>41150.66667</v>
      </c>
      <c r="B6749" s="1">
        <f>IFERROR(__xludf.DUMMYFUNCTION("""COMPUTED_VALUE"""),1409.32)</f>
        <v>1409.32</v>
      </c>
      <c r="C6749" s="1">
        <f>IFERROR(__xludf.DUMMYFUNCTION("""COMPUTED_VALUE"""),1413.95)</f>
        <v>1413.95</v>
      </c>
      <c r="D6749" s="1">
        <f>IFERROR(__xludf.DUMMYFUNCTION("""COMPUTED_VALUE"""),1406.57)</f>
        <v>1406.57</v>
      </c>
      <c r="E6749" s="1">
        <f>IFERROR(__xludf.DUMMYFUNCTION("""COMPUTED_VALUE"""),1410.49)</f>
        <v>1410.49</v>
      </c>
      <c r="F6749" s="1">
        <f>IFERROR(__xludf.DUMMYFUNCTION("""COMPUTED_VALUE"""),0.0)</f>
        <v>0</v>
      </c>
    </row>
    <row r="6750">
      <c r="A6750" s="2">
        <f>IFERROR(__xludf.DUMMYFUNCTION("""COMPUTED_VALUE"""),41151.666666666664)</f>
        <v>41151.66667</v>
      </c>
      <c r="B6750" s="1">
        <f>IFERROR(__xludf.DUMMYFUNCTION("""COMPUTED_VALUE"""),1410.08)</f>
        <v>1410.08</v>
      </c>
      <c r="C6750" s="1">
        <f>IFERROR(__xludf.DUMMYFUNCTION("""COMPUTED_VALUE"""),1410.08)</f>
        <v>1410.08</v>
      </c>
      <c r="D6750" s="1">
        <f>IFERROR(__xludf.DUMMYFUNCTION("""COMPUTED_VALUE"""),1397.01)</f>
        <v>1397.01</v>
      </c>
      <c r="E6750" s="1">
        <f>IFERROR(__xludf.DUMMYFUNCTION("""COMPUTED_VALUE"""),1399.48)</f>
        <v>1399.48</v>
      </c>
      <c r="F6750" s="1">
        <f>IFERROR(__xludf.DUMMYFUNCTION("""COMPUTED_VALUE"""),0.0)</f>
        <v>0</v>
      </c>
    </row>
    <row r="6751">
      <c r="A6751" s="2">
        <f>IFERROR(__xludf.DUMMYFUNCTION("""COMPUTED_VALUE"""),41152.666666666664)</f>
        <v>41152.66667</v>
      </c>
      <c r="B6751" s="1">
        <f>IFERROR(__xludf.DUMMYFUNCTION("""COMPUTED_VALUE"""),1400.07)</f>
        <v>1400.07</v>
      </c>
      <c r="C6751" s="1">
        <f>IFERROR(__xludf.DUMMYFUNCTION("""COMPUTED_VALUE"""),1413.09)</f>
        <v>1413.09</v>
      </c>
      <c r="D6751" s="1">
        <f>IFERROR(__xludf.DUMMYFUNCTION("""COMPUTED_VALUE"""),1398.96)</f>
        <v>1398.96</v>
      </c>
      <c r="E6751" s="1">
        <f>IFERROR(__xludf.DUMMYFUNCTION("""COMPUTED_VALUE"""),1406.58)</f>
        <v>1406.58</v>
      </c>
      <c r="F6751" s="1">
        <f>IFERROR(__xludf.DUMMYFUNCTION("""COMPUTED_VALUE"""),0.0)</f>
        <v>0</v>
      </c>
    </row>
    <row r="6752">
      <c r="A6752" s="2">
        <f>IFERROR(__xludf.DUMMYFUNCTION("""COMPUTED_VALUE"""),41155.666666666664)</f>
        <v>41155.66667</v>
      </c>
      <c r="B6752" s="1">
        <f>IFERROR(__xludf.DUMMYFUNCTION("""COMPUTED_VALUE"""),1406.58)</f>
        <v>1406.58</v>
      </c>
      <c r="C6752" s="1">
        <f>IFERROR(__xludf.DUMMYFUNCTION("""COMPUTED_VALUE"""),1406.58)</f>
        <v>1406.58</v>
      </c>
      <c r="D6752" s="1">
        <f>IFERROR(__xludf.DUMMYFUNCTION("""COMPUTED_VALUE"""),1406.58)</f>
        <v>1406.58</v>
      </c>
      <c r="E6752" s="1">
        <f>IFERROR(__xludf.DUMMYFUNCTION("""COMPUTED_VALUE"""),1406.58)</f>
        <v>1406.58</v>
      </c>
      <c r="F6752" s="1">
        <f>IFERROR(__xludf.DUMMYFUNCTION("""COMPUTED_VALUE"""),0.0)</f>
        <v>0</v>
      </c>
    </row>
    <row r="6753">
      <c r="A6753" s="2">
        <f>IFERROR(__xludf.DUMMYFUNCTION("""COMPUTED_VALUE"""),41156.666666666664)</f>
        <v>41156.66667</v>
      </c>
      <c r="B6753" s="1">
        <f>IFERROR(__xludf.DUMMYFUNCTION("""COMPUTED_VALUE"""),1406.54)</f>
        <v>1406.54</v>
      </c>
      <c r="C6753" s="1">
        <f>IFERROR(__xludf.DUMMYFUNCTION("""COMPUTED_VALUE"""),1409.31)</f>
        <v>1409.31</v>
      </c>
      <c r="D6753" s="1">
        <f>IFERROR(__xludf.DUMMYFUNCTION("""COMPUTED_VALUE"""),1396.56)</f>
        <v>1396.56</v>
      </c>
      <c r="E6753" s="1">
        <f>IFERROR(__xludf.DUMMYFUNCTION("""COMPUTED_VALUE"""),1404.94)</f>
        <v>1404.94</v>
      </c>
      <c r="F6753" s="1">
        <f>IFERROR(__xludf.DUMMYFUNCTION("""COMPUTED_VALUE"""),0.0)</f>
        <v>0</v>
      </c>
    </row>
    <row r="6754">
      <c r="A6754" s="2">
        <f>IFERROR(__xludf.DUMMYFUNCTION("""COMPUTED_VALUE"""),41157.666666666664)</f>
        <v>41157.66667</v>
      </c>
      <c r="B6754" s="1">
        <f>IFERROR(__xludf.DUMMYFUNCTION("""COMPUTED_VALUE"""),1404.94)</f>
        <v>1404.94</v>
      </c>
      <c r="C6754" s="1">
        <f>IFERROR(__xludf.DUMMYFUNCTION("""COMPUTED_VALUE"""),1408.81)</f>
        <v>1408.81</v>
      </c>
      <c r="D6754" s="1">
        <f>IFERROR(__xludf.DUMMYFUNCTION("""COMPUTED_VALUE"""),1401.25)</f>
        <v>1401.25</v>
      </c>
      <c r="E6754" s="1">
        <f>IFERROR(__xludf.DUMMYFUNCTION("""COMPUTED_VALUE"""),1403.44)</f>
        <v>1403.44</v>
      </c>
      <c r="F6754" s="1">
        <f>IFERROR(__xludf.DUMMYFUNCTION("""COMPUTED_VALUE"""),0.0)</f>
        <v>0</v>
      </c>
    </row>
    <row r="6755">
      <c r="A6755" s="2">
        <f>IFERROR(__xludf.DUMMYFUNCTION("""COMPUTED_VALUE"""),41158.666666666664)</f>
        <v>41158.66667</v>
      </c>
      <c r="B6755" s="1">
        <f>IFERROR(__xludf.DUMMYFUNCTION("""COMPUTED_VALUE"""),1403.74)</f>
        <v>1403.74</v>
      </c>
      <c r="C6755" s="1">
        <f>IFERROR(__xludf.DUMMYFUNCTION("""COMPUTED_VALUE"""),1432.12)</f>
        <v>1432.12</v>
      </c>
      <c r="D6755" s="1">
        <f>IFERROR(__xludf.DUMMYFUNCTION("""COMPUTED_VALUE"""),1403.74)</f>
        <v>1403.74</v>
      </c>
      <c r="E6755" s="1">
        <f>IFERROR(__xludf.DUMMYFUNCTION("""COMPUTED_VALUE"""),1432.12)</f>
        <v>1432.12</v>
      </c>
      <c r="F6755" s="1">
        <f>IFERROR(__xludf.DUMMYFUNCTION("""COMPUTED_VALUE"""),0.0)</f>
        <v>0</v>
      </c>
    </row>
    <row r="6756">
      <c r="A6756" s="2">
        <f>IFERROR(__xludf.DUMMYFUNCTION("""COMPUTED_VALUE"""),41159.666666666664)</f>
        <v>41159.66667</v>
      </c>
      <c r="B6756" s="1">
        <f>IFERROR(__xludf.DUMMYFUNCTION("""COMPUTED_VALUE"""),1432.12)</f>
        <v>1432.12</v>
      </c>
      <c r="C6756" s="1">
        <f>IFERROR(__xludf.DUMMYFUNCTION("""COMPUTED_VALUE"""),1437.92)</f>
        <v>1437.92</v>
      </c>
      <c r="D6756" s="1">
        <f>IFERROR(__xludf.DUMMYFUNCTION("""COMPUTED_VALUE"""),1431.45)</f>
        <v>1431.45</v>
      </c>
      <c r="E6756" s="1">
        <f>IFERROR(__xludf.DUMMYFUNCTION("""COMPUTED_VALUE"""),1437.92)</f>
        <v>1437.92</v>
      </c>
      <c r="F6756" s="1">
        <f>IFERROR(__xludf.DUMMYFUNCTION("""COMPUTED_VALUE"""),0.0)</f>
        <v>0</v>
      </c>
    </row>
    <row r="6757">
      <c r="A6757" s="2">
        <f>IFERROR(__xludf.DUMMYFUNCTION("""COMPUTED_VALUE"""),41162.666666666664)</f>
        <v>41162.66667</v>
      </c>
      <c r="B6757" s="1">
        <f>IFERROR(__xludf.DUMMYFUNCTION("""COMPUTED_VALUE"""),1437.92)</f>
        <v>1437.92</v>
      </c>
      <c r="C6757" s="1">
        <f>IFERROR(__xludf.DUMMYFUNCTION("""COMPUTED_VALUE"""),1438.74)</f>
        <v>1438.74</v>
      </c>
      <c r="D6757" s="1">
        <f>IFERROR(__xludf.DUMMYFUNCTION("""COMPUTED_VALUE"""),1428.98)</f>
        <v>1428.98</v>
      </c>
      <c r="E6757" s="1">
        <f>IFERROR(__xludf.DUMMYFUNCTION("""COMPUTED_VALUE"""),1429.08)</f>
        <v>1429.08</v>
      </c>
      <c r="F6757" s="1">
        <f>IFERROR(__xludf.DUMMYFUNCTION("""COMPUTED_VALUE"""),0.0)</f>
        <v>0</v>
      </c>
    </row>
    <row r="6758">
      <c r="A6758" s="2">
        <f>IFERROR(__xludf.DUMMYFUNCTION("""COMPUTED_VALUE"""),41163.666666666664)</f>
        <v>41163.66667</v>
      </c>
      <c r="B6758" s="1">
        <f>IFERROR(__xludf.DUMMYFUNCTION("""COMPUTED_VALUE"""),1429.13)</f>
        <v>1429.13</v>
      </c>
      <c r="C6758" s="1">
        <f>IFERROR(__xludf.DUMMYFUNCTION("""COMPUTED_VALUE"""),1437.76)</f>
        <v>1437.76</v>
      </c>
      <c r="D6758" s="1">
        <f>IFERROR(__xludf.DUMMYFUNCTION("""COMPUTED_VALUE"""),1429.13)</f>
        <v>1429.13</v>
      </c>
      <c r="E6758" s="1">
        <f>IFERROR(__xludf.DUMMYFUNCTION("""COMPUTED_VALUE"""),1433.56)</f>
        <v>1433.56</v>
      </c>
      <c r="F6758" s="1">
        <f>IFERROR(__xludf.DUMMYFUNCTION("""COMPUTED_VALUE"""),0.0)</f>
        <v>0</v>
      </c>
    </row>
    <row r="6759">
      <c r="A6759" s="2">
        <f>IFERROR(__xludf.DUMMYFUNCTION("""COMPUTED_VALUE"""),41164.666666666664)</f>
        <v>41164.66667</v>
      </c>
      <c r="B6759" s="1">
        <f>IFERROR(__xludf.DUMMYFUNCTION("""COMPUTED_VALUE"""),1433.56)</f>
        <v>1433.56</v>
      </c>
      <c r="C6759" s="1">
        <f>IFERROR(__xludf.DUMMYFUNCTION("""COMPUTED_VALUE"""),1439.15)</f>
        <v>1439.15</v>
      </c>
      <c r="D6759" s="1">
        <f>IFERROR(__xludf.DUMMYFUNCTION("""COMPUTED_VALUE"""),1432.99)</f>
        <v>1432.99</v>
      </c>
      <c r="E6759" s="1">
        <f>IFERROR(__xludf.DUMMYFUNCTION("""COMPUTED_VALUE"""),1436.56)</f>
        <v>1436.56</v>
      </c>
      <c r="F6759" s="1">
        <f>IFERROR(__xludf.DUMMYFUNCTION("""COMPUTED_VALUE"""),0.0)</f>
        <v>0</v>
      </c>
    </row>
    <row r="6760">
      <c r="A6760" s="2">
        <f>IFERROR(__xludf.DUMMYFUNCTION("""COMPUTED_VALUE"""),41165.666666666664)</f>
        <v>41165.66667</v>
      </c>
      <c r="B6760" s="1">
        <f>IFERROR(__xludf.DUMMYFUNCTION("""COMPUTED_VALUE"""),1436.56)</f>
        <v>1436.56</v>
      </c>
      <c r="C6760" s="1">
        <f>IFERROR(__xludf.DUMMYFUNCTION("""COMPUTED_VALUE"""),1463.76)</f>
        <v>1463.76</v>
      </c>
      <c r="D6760" s="1">
        <f>IFERROR(__xludf.DUMMYFUNCTION("""COMPUTED_VALUE"""),1435.34)</f>
        <v>1435.34</v>
      </c>
      <c r="E6760" s="1">
        <f>IFERROR(__xludf.DUMMYFUNCTION("""COMPUTED_VALUE"""),1459.99)</f>
        <v>1459.99</v>
      </c>
      <c r="F6760" s="1">
        <f>IFERROR(__xludf.DUMMYFUNCTION("""COMPUTED_VALUE"""),0.0)</f>
        <v>0</v>
      </c>
    </row>
    <row r="6761">
      <c r="A6761" s="2">
        <f>IFERROR(__xludf.DUMMYFUNCTION("""COMPUTED_VALUE"""),41166.666666666664)</f>
        <v>41166.66667</v>
      </c>
      <c r="B6761" s="1">
        <f>IFERROR(__xludf.DUMMYFUNCTION("""COMPUTED_VALUE"""),1460.07)</f>
        <v>1460.07</v>
      </c>
      <c r="C6761" s="1">
        <f>IFERROR(__xludf.DUMMYFUNCTION("""COMPUTED_VALUE"""),1474.51)</f>
        <v>1474.51</v>
      </c>
      <c r="D6761" s="1">
        <f>IFERROR(__xludf.DUMMYFUNCTION("""COMPUTED_VALUE"""),1460.07)</f>
        <v>1460.07</v>
      </c>
      <c r="E6761" s="1">
        <f>IFERROR(__xludf.DUMMYFUNCTION("""COMPUTED_VALUE"""),1465.77)</f>
        <v>1465.77</v>
      </c>
      <c r="F6761" s="1">
        <f>IFERROR(__xludf.DUMMYFUNCTION("""COMPUTED_VALUE"""),0.0)</f>
        <v>0</v>
      </c>
    </row>
    <row r="6762">
      <c r="A6762" s="2">
        <f>IFERROR(__xludf.DUMMYFUNCTION("""COMPUTED_VALUE"""),41169.666666666664)</f>
        <v>41169.66667</v>
      </c>
      <c r="B6762" s="1">
        <f>IFERROR(__xludf.DUMMYFUNCTION("""COMPUTED_VALUE"""),1465.42)</f>
        <v>1465.42</v>
      </c>
      <c r="C6762" s="1">
        <f>IFERROR(__xludf.DUMMYFUNCTION("""COMPUTED_VALUE"""),1465.63)</f>
        <v>1465.63</v>
      </c>
      <c r="D6762" s="1">
        <f>IFERROR(__xludf.DUMMYFUNCTION("""COMPUTED_VALUE"""),1457.55)</f>
        <v>1457.55</v>
      </c>
      <c r="E6762" s="1">
        <f>IFERROR(__xludf.DUMMYFUNCTION("""COMPUTED_VALUE"""),1461.19)</f>
        <v>1461.19</v>
      </c>
      <c r="F6762" s="1">
        <f>IFERROR(__xludf.DUMMYFUNCTION("""COMPUTED_VALUE"""),0.0)</f>
        <v>0</v>
      </c>
    </row>
    <row r="6763">
      <c r="A6763" s="2">
        <f>IFERROR(__xludf.DUMMYFUNCTION("""COMPUTED_VALUE"""),41170.666666666664)</f>
        <v>41170.66667</v>
      </c>
      <c r="B6763" s="1">
        <f>IFERROR(__xludf.DUMMYFUNCTION("""COMPUTED_VALUE"""),1461.19)</f>
        <v>1461.19</v>
      </c>
      <c r="C6763" s="1">
        <f>IFERROR(__xludf.DUMMYFUNCTION("""COMPUTED_VALUE"""),1461.47)</f>
        <v>1461.47</v>
      </c>
      <c r="D6763" s="1">
        <f>IFERROR(__xludf.DUMMYFUNCTION("""COMPUTED_VALUE"""),1456.13)</f>
        <v>1456.13</v>
      </c>
      <c r="E6763" s="1">
        <f>IFERROR(__xludf.DUMMYFUNCTION("""COMPUTED_VALUE"""),1459.32)</f>
        <v>1459.32</v>
      </c>
      <c r="F6763" s="1">
        <f>IFERROR(__xludf.DUMMYFUNCTION("""COMPUTED_VALUE"""),0.0)</f>
        <v>0</v>
      </c>
    </row>
    <row r="6764">
      <c r="A6764" s="2">
        <f>IFERROR(__xludf.DUMMYFUNCTION("""COMPUTED_VALUE"""),41171.666666666664)</f>
        <v>41171.66667</v>
      </c>
      <c r="B6764" s="1">
        <f>IFERROR(__xludf.DUMMYFUNCTION("""COMPUTED_VALUE"""),1459.5)</f>
        <v>1459.5</v>
      </c>
      <c r="C6764" s="1">
        <f>IFERROR(__xludf.DUMMYFUNCTION("""COMPUTED_VALUE"""),1465.15)</f>
        <v>1465.15</v>
      </c>
      <c r="D6764" s="1">
        <f>IFERROR(__xludf.DUMMYFUNCTION("""COMPUTED_VALUE"""),1457.88)</f>
        <v>1457.88</v>
      </c>
      <c r="E6764" s="1">
        <f>IFERROR(__xludf.DUMMYFUNCTION("""COMPUTED_VALUE"""),1461.05)</f>
        <v>1461.05</v>
      </c>
      <c r="F6764" s="1">
        <f>IFERROR(__xludf.DUMMYFUNCTION("""COMPUTED_VALUE"""),0.0)</f>
        <v>0</v>
      </c>
    </row>
    <row r="6765">
      <c r="A6765" s="2">
        <f>IFERROR(__xludf.DUMMYFUNCTION("""COMPUTED_VALUE"""),41172.666666666664)</f>
        <v>41172.66667</v>
      </c>
      <c r="B6765" s="1">
        <f>IFERROR(__xludf.DUMMYFUNCTION("""COMPUTED_VALUE"""),1461.05)</f>
        <v>1461.05</v>
      </c>
      <c r="C6765" s="1">
        <f>IFERROR(__xludf.DUMMYFUNCTION("""COMPUTED_VALUE"""),1461.23)</f>
        <v>1461.23</v>
      </c>
      <c r="D6765" s="1">
        <f>IFERROR(__xludf.DUMMYFUNCTION("""COMPUTED_VALUE"""),1449.98)</f>
        <v>1449.98</v>
      </c>
      <c r="E6765" s="1">
        <f>IFERROR(__xludf.DUMMYFUNCTION("""COMPUTED_VALUE"""),1460.26)</f>
        <v>1460.26</v>
      </c>
      <c r="F6765" s="1">
        <f>IFERROR(__xludf.DUMMYFUNCTION("""COMPUTED_VALUE"""),0.0)</f>
        <v>0</v>
      </c>
    </row>
    <row r="6766">
      <c r="A6766" s="2">
        <f>IFERROR(__xludf.DUMMYFUNCTION("""COMPUTED_VALUE"""),41173.666666666664)</f>
        <v>41173.66667</v>
      </c>
      <c r="B6766" s="1">
        <f>IFERROR(__xludf.DUMMYFUNCTION("""COMPUTED_VALUE"""),1460.34)</f>
        <v>1460.34</v>
      </c>
      <c r="C6766" s="1">
        <f>IFERROR(__xludf.DUMMYFUNCTION("""COMPUTED_VALUE"""),1467.07)</f>
        <v>1467.07</v>
      </c>
      <c r="D6766" s="1">
        <f>IFERROR(__xludf.DUMMYFUNCTION("""COMPUTED_VALUE"""),1459.51)</f>
        <v>1459.51</v>
      </c>
      <c r="E6766" s="1">
        <f>IFERROR(__xludf.DUMMYFUNCTION("""COMPUTED_VALUE"""),1460.15)</f>
        <v>1460.15</v>
      </c>
      <c r="F6766" s="1">
        <f>IFERROR(__xludf.DUMMYFUNCTION("""COMPUTED_VALUE"""),0.0)</f>
        <v>0</v>
      </c>
    </row>
    <row r="6767">
      <c r="A6767" s="2">
        <f>IFERROR(__xludf.DUMMYFUNCTION("""COMPUTED_VALUE"""),41176.666666666664)</f>
        <v>41176.66667</v>
      </c>
      <c r="B6767" s="1">
        <f>IFERROR(__xludf.DUMMYFUNCTION("""COMPUTED_VALUE"""),1459.76)</f>
        <v>1459.76</v>
      </c>
      <c r="C6767" s="1">
        <f>IFERROR(__xludf.DUMMYFUNCTION("""COMPUTED_VALUE"""),1460.72)</f>
        <v>1460.72</v>
      </c>
      <c r="D6767" s="1">
        <f>IFERROR(__xludf.DUMMYFUNCTION("""COMPUTED_VALUE"""),1452.06)</f>
        <v>1452.06</v>
      </c>
      <c r="E6767" s="1">
        <f>IFERROR(__xludf.DUMMYFUNCTION("""COMPUTED_VALUE"""),1456.89)</f>
        <v>1456.89</v>
      </c>
      <c r="F6767" s="1">
        <f>IFERROR(__xludf.DUMMYFUNCTION("""COMPUTED_VALUE"""),0.0)</f>
        <v>0</v>
      </c>
    </row>
    <row r="6768">
      <c r="A6768" s="2">
        <f>IFERROR(__xludf.DUMMYFUNCTION("""COMPUTED_VALUE"""),41177.666666666664)</f>
        <v>41177.66667</v>
      </c>
      <c r="B6768" s="1">
        <f>IFERROR(__xludf.DUMMYFUNCTION("""COMPUTED_VALUE"""),1456.94)</f>
        <v>1456.94</v>
      </c>
      <c r="C6768" s="1">
        <f>IFERROR(__xludf.DUMMYFUNCTION("""COMPUTED_VALUE"""),1463.24)</f>
        <v>1463.24</v>
      </c>
      <c r="D6768" s="1">
        <f>IFERROR(__xludf.DUMMYFUNCTION("""COMPUTED_VALUE"""),1441.59)</f>
        <v>1441.59</v>
      </c>
      <c r="E6768" s="1">
        <f>IFERROR(__xludf.DUMMYFUNCTION("""COMPUTED_VALUE"""),1441.59)</f>
        <v>1441.59</v>
      </c>
      <c r="F6768" s="1">
        <f>IFERROR(__xludf.DUMMYFUNCTION("""COMPUTED_VALUE"""),0.0)</f>
        <v>0</v>
      </c>
    </row>
    <row r="6769">
      <c r="A6769" s="2">
        <f>IFERROR(__xludf.DUMMYFUNCTION("""COMPUTED_VALUE"""),41178.666666666664)</f>
        <v>41178.66667</v>
      </c>
      <c r="B6769" s="1">
        <f>IFERROR(__xludf.DUMMYFUNCTION("""COMPUTED_VALUE"""),1441.6)</f>
        <v>1441.6</v>
      </c>
      <c r="C6769" s="1">
        <f>IFERROR(__xludf.DUMMYFUNCTION("""COMPUTED_VALUE"""),1441.6)</f>
        <v>1441.6</v>
      </c>
      <c r="D6769" s="1">
        <f>IFERROR(__xludf.DUMMYFUNCTION("""COMPUTED_VALUE"""),1430.53)</f>
        <v>1430.53</v>
      </c>
      <c r="E6769" s="1">
        <f>IFERROR(__xludf.DUMMYFUNCTION("""COMPUTED_VALUE"""),1433.32)</f>
        <v>1433.32</v>
      </c>
      <c r="F6769" s="1">
        <f>IFERROR(__xludf.DUMMYFUNCTION("""COMPUTED_VALUE"""),0.0)</f>
        <v>0</v>
      </c>
    </row>
    <row r="6770">
      <c r="A6770" s="2">
        <f>IFERROR(__xludf.DUMMYFUNCTION("""COMPUTED_VALUE"""),41179.666666666664)</f>
        <v>41179.66667</v>
      </c>
      <c r="B6770" s="1">
        <f>IFERROR(__xludf.DUMMYFUNCTION("""COMPUTED_VALUE"""),1433.36)</f>
        <v>1433.36</v>
      </c>
      <c r="C6770" s="1">
        <f>IFERROR(__xludf.DUMMYFUNCTION("""COMPUTED_VALUE"""),1450.2)</f>
        <v>1450.2</v>
      </c>
      <c r="D6770" s="1">
        <f>IFERROR(__xludf.DUMMYFUNCTION("""COMPUTED_VALUE"""),1433.36)</f>
        <v>1433.36</v>
      </c>
      <c r="E6770" s="1">
        <f>IFERROR(__xludf.DUMMYFUNCTION("""COMPUTED_VALUE"""),1447.15)</f>
        <v>1447.15</v>
      </c>
      <c r="F6770" s="1">
        <f>IFERROR(__xludf.DUMMYFUNCTION("""COMPUTED_VALUE"""),0.0)</f>
        <v>0</v>
      </c>
    </row>
    <row r="6771">
      <c r="A6771" s="2">
        <f>IFERROR(__xludf.DUMMYFUNCTION("""COMPUTED_VALUE"""),41180.666666666664)</f>
        <v>41180.66667</v>
      </c>
      <c r="B6771" s="1">
        <f>IFERROR(__xludf.DUMMYFUNCTION("""COMPUTED_VALUE"""),1447.13)</f>
        <v>1447.13</v>
      </c>
      <c r="C6771" s="1">
        <f>IFERROR(__xludf.DUMMYFUNCTION("""COMPUTED_VALUE"""),1447.13)</f>
        <v>1447.13</v>
      </c>
      <c r="D6771" s="1">
        <f>IFERROR(__xludf.DUMMYFUNCTION("""COMPUTED_VALUE"""),1435.6)</f>
        <v>1435.6</v>
      </c>
      <c r="E6771" s="1">
        <f>IFERROR(__xludf.DUMMYFUNCTION("""COMPUTED_VALUE"""),1440.67)</f>
        <v>1440.67</v>
      </c>
      <c r="F6771" s="1">
        <f>IFERROR(__xludf.DUMMYFUNCTION("""COMPUTED_VALUE"""),0.0)</f>
        <v>0</v>
      </c>
    </row>
    <row r="6772">
      <c r="A6772" s="2">
        <f>IFERROR(__xludf.DUMMYFUNCTION("""COMPUTED_VALUE"""),41183.666666666664)</f>
        <v>41183.66667</v>
      </c>
      <c r="B6772" s="1">
        <f>IFERROR(__xludf.DUMMYFUNCTION("""COMPUTED_VALUE"""),1440.9)</f>
        <v>1440.9</v>
      </c>
      <c r="C6772" s="1">
        <f>IFERROR(__xludf.DUMMYFUNCTION("""COMPUTED_VALUE"""),1457.14)</f>
        <v>1457.14</v>
      </c>
      <c r="D6772" s="1">
        <f>IFERROR(__xludf.DUMMYFUNCTION("""COMPUTED_VALUE"""),1440.9)</f>
        <v>1440.9</v>
      </c>
      <c r="E6772" s="1">
        <f>IFERROR(__xludf.DUMMYFUNCTION("""COMPUTED_VALUE"""),1444.49)</f>
        <v>1444.49</v>
      </c>
      <c r="F6772" s="1">
        <f>IFERROR(__xludf.DUMMYFUNCTION("""COMPUTED_VALUE"""),0.0)</f>
        <v>0</v>
      </c>
    </row>
    <row r="6773">
      <c r="A6773" s="2">
        <f>IFERROR(__xludf.DUMMYFUNCTION("""COMPUTED_VALUE"""),41184.666666666664)</f>
        <v>41184.66667</v>
      </c>
      <c r="B6773" s="1">
        <f>IFERROR(__xludf.DUMMYFUNCTION("""COMPUTED_VALUE"""),1444.99)</f>
        <v>1444.99</v>
      </c>
      <c r="C6773" s="1">
        <f>IFERROR(__xludf.DUMMYFUNCTION("""COMPUTED_VALUE"""),1451.52)</f>
        <v>1451.52</v>
      </c>
      <c r="D6773" s="1">
        <f>IFERROR(__xludf.DUMMYFUNCTION("""COMPUTED_VALUE"""),1439.01)</f>
        <v>1439.01</v>
      </c>
      <c r="E6773" s="1">
        <f>IFERROR(__xludf.DUMMYFUNCTION("""COMPUTED_VALUE"""),1445.75)</f>
        <v>1445.75</v>
      </c>
      <c r="F6773" s="1">
        <f>IFERROR(__xludf.DUMMYFUNCTION("""COMPUTED_VALUE"""),0.0)</f>
        <v>0</v>
      </c>
    </row>
    <row r="6774">
      <c r="A6774" s="2">
        <f>IFERROR(__xludf.DUMMYFUNCTION("""COMPUTED_VALUE"""),41185.666666666664)</f>
        <v>41185.66667</v>
      </c>
      <c r="B6774" s="1">
        <f>IFERROR(__xludf.DUMMYFUNCTION("""COMPUTED_VALUE"""),1446.05)</f>
        <v>1446.05</v>
      </c>
      <c r="C6774" s="1">
        <f>IFERROR(__xludf.DUMMYFUNCTION("""COMPUTED_VALUE"""),1454.3)</f>
        <v>1454.3</v>
      </c>
      <c r="D6774" s="1">
        <f>IFERROR(__xludf.DUMMYFUNCTION("""COMPUTED_VALUE"""),1441.99)</f>
        <v>1441.99</v>
      </c>
      <c r="E6774" s="1">
        <f>IFERROR(__xludf.DUMMYFUNCTION("""COMPUTED_VALUE"""),1450.99)</f>
        <v>1450.99</v>
      </c>
      <c r="F6774" s="1">
        <f>IFERROR(__xludf.DUMMYFUNCTION("""COMPUTED_VALUE"""),0.0)</f>
        <v>0</v>
      </c>
    </row>
    <row r="6775">
      <c r="A6775" s="2">
        <f>IFERROR(__xludf.DUMMYFUNCTION("""COMPUTED_VALUE"""),41186.666666666664)</f>
        <v>41186.66667</v>
      </c>
      <c r="B6775" s="1">
        <f>IFERROR(__xludf.DUMMYFUNCTION("""COMPUTED_VALUE"""),1451.08)</f>
        <v>1451.08</v>
      </c>
      <c r="C6775" s="1">
        <f>IFERROR(__xludf.DUMMYFUNCTION("""COMPUTED_VALUE"""),1463.14)</f>
        <v>1463.14</v>
      </c>
      <c r="D6775" s="1">
        <f>IFERROR(__xludf.DUMMYFUNCTION("""COMPUTED_VALUE"""),1451.08)</f>
        <v>1451.08</v>
      </c>
      <c r="E6775" s="1">
        <f>IFERROR(__xludf.DUMMYFUNCTION("""COMPUTED_VALUE"""),1461.4)</f>
        <v>1461.4</v>
      </c>
      <c r="F6775" s="1">
        <f>IFERROR(__xludf.DUMMYFUNCTION("""COMPUTED_VALUE"""),0.0)</f>
        <v>0</v>
      </c>
    </row>
    <row r="6776">
      <c r="A6776" s="2">
        <f>IFERROR(__xludf.DUMMYFUNCTION("""COMPUTED_VALUE"""),41187.666666666664)</f>
        <v>41187.66667</v>
      </c>
      <c r="B6776" s="1">
        <f>IFERROR(__xludf.DUMMYFUNCTION("""COMPUTED_VALUE"""),1461.4)</f>
        <v>1461.4</v>
      </c>
      <c r="C6776" s="1">
        <f>IFERROR(__xludf.DUMMYFUNCTION("""COMPUTED_VALUE"""),1470.96)</f>
        <v>1470.96</v>
      </c>
      <c r="D6776" s="1">
        <f>IFERROR(__xludf.DUMMYFUNCTION("""COMPUTED_VALUE"""),1456.89)</f>
        <v>1456.89</v>
      </c>
      <c r="E6776" s="1">
        <f>IFERROR(__xludf.DUMMYFUNCTION("""COMPUTED_VALUE"""),1460.93)</f>
        <v>1460.93</v>
      </c>
      <c r="F6776" s="1">
        <f>IFERROR(__xludf.DUMMYFUNCTION("""COMPUTED_VALUE"""),0.0)</f>
        <v>0</v>
      </c>
    </row>
    <row r="6777">
      <c r="A6777" s="2">
        <f>IFERROR(__xludf.DUMMYFUNCTION("""COMPUTED_VALUE"""),41190.666666666664)</f>
        <v>41190.66667</v>
      </c>
      <c r="B6777" s="1">
        <f>IFERROR(__xludf.DUMMYFUNCTION("""COMPUTED_VALUE"""),1460.93)</f>
        <v>1460.93</v>
      </c>
      <c r="C6777" s="1">
        <f>IFERROR(__xludf.DUMMYFUNCTION("""COMPUTED_VALUE"""),1460.93)</f>
        <v>1460.93</v>
      </c>
      <c r="D6777" s="1">
        <f>IFERROR(__xludf.DUMMYFUNCTION("""COMPUTED_VALUE"""),1453.1)</f>
        <v>1453.1</v>
      </c>
      <c r="E6777" s="1">
        <f>IFERROR(__xludf.DUMMYFUNCTION("""COMPUTED_VALUE"""),1455.88)</f>
        <v>1455.88</v>
      </c>
      <c r="F6777" s="1">
        <f>IFERROR(__xludf.DUMMYFUNCTION("""COMPUTED_VALUE"""),0.0)</f>
        <v>0</v>
      </c>
    </row>
    <row r="6778">
      <c r="A6778" s="2">
        <f>IFERROR(__xludf.DUMMYFUNCTION("""COMPUTED_VALUE"""),41191.666666666664)</f>
        <v>41191.66667</v>
      </c>
      <c r="B6778" s="1">
        <f>IFERROR(__xludf.DUMMYFUNCTION("""COMPUTED_VALUE"""),1455.9)</f>
        <v>1455.9</v>
      </c>
      <c r="C6778" s="1">
        <f>IFERROR(__xludf.DUMMYFUNCTION("""COMPUTED_VALUE"""),1455.9)</f>
        <v>1455.9</v>
      </c>
      <c r="D6778" s="1">
        <f>IFERROR(__xludf.DUMMYFUNCTION("""COMPUTED_VALUE"""),1441.18)</f>
        <v>1441.18</v>
      </c>
      <c r="E6778" s="1">
        <f>IFERROR(__xludf.DUMMYFUNCTION("""COMPUTED_VALUE"""),1441.48)</f>
        <v>1441.48</v>
      </c>
      <c r="F6778" s="1">
        <f>IFERROR(__xludf.DUMMYFUNCTION("""COMPUTED_VALUE"""),0.0)</f>
        <v>0</v>
      </c>
    </row>
    <row r="6779">
      <c r="A6779" s="2">
        <f>IFERROR(__xludf.DUMMYFUNCTION("""COMPUTED_VALUE"""),41192.666666666664)</f>
        <v>41192.66667</v>
      </c>
      <c r="B6779" s="1">
        <f>IFERROR(__xludf.DUMMYFUNCTION("""COMPUTED_VALUE"""),1441.48)</f>
        <v>1441.48</v>
      </c>
      <c r="C6779" s="1">
        <f>IFERROR(__xludf.DUMMYFUNCTION("""COMPUTED_VALUE"""),1442.52)</f>
        <v>1442.52</v>
      </c>
      <c r="D6779" s="1">
        <f>IFERROR(__xludf.DUMMYFUNCTION("""COMPUTED_VALUE"""),1430.64)</f>
        <v>1430.64</v>
      </c>
      <c r="E6779" s="1">
        <f>IFERROR(__xludf.DUMMYFUNCTION("""COMPUTED_VALUE"""),1432.56)</f>
        <v>1432.56</v>
      </c>
      <c r="F6779" s="1">
        <f>IFERROR(__xludf.DUMMYFUNCTION("""COMPUTED_VALUE"""),0.0)</f>
        <v>0</v>
      </c>
    </row>
    <row r="6780">
      <c r="A6780" s="2">
        <f>IFERROR(__xludf.DUMMYFUNCTION("""COMPUTED_VALUE"""),41193.666666666664)</f>
        <v>41193.66667</v>
      </c>
      <c r="B6780" s="1">
        <f>IFERROR(__xludf.DUMMYFUNCTION("""COMPUTED_VALUE"""),1432.82)</f>
        <v>1432.82</v>
      </c>
      <c r="C6780" s="1">
        <f>IFERROR(__xludf.DUMMYFUNCTION("""COMPUTED_VALUE"""),1443.9)</f>
        <v>1443.9</v>
      </c>
      <c r="D6780" s="1">
        <f>IFERROR(__xludf.DUMMYFUNCTION("""COMPUTED_VALUE"""),1432.82)</f>
        <v>1432.82</v>
      </c>
      <c r="E6780" s="1">
        <f>IFERROR(__xludf.DUMMYFUNCTION("""COMPUTED_VALUE"""),1432.84)</f>
        <v>1432.84</v>
      </c>
      <c r="F6780" s="1">
        <f>IFERROR(__xludf.DUMMYFUNCTION("""COMPUTED_VALUE"""),0.0)</f>
        <v>0</v>
      </c>
    </row>
    <row r="6781">
      <c r="A6781" s="2">
        <f>IFERROR(__xludf.DUMMYFUNCTION("""COMPUTED_VALUE"""),41194.666666666664)</f>
        <v>41194.66667</v>
      </c>
      <c r="B6781" s="1">
        <f>IFERROR(__xludf.DUMMYFUNCTION("""COMPUTED_VALUE"""),1432.84)</f>
        <v>1432.84</v>
      </c>
      <c r="C6781" s="1">
        <f>IFERROR(__xludf.DUMMYFUNCTION("""COMPUTED_VALUE"""),1438.43)</f>
        <v>1438.43</v>
      </c>
      <c r="D6781" s="1">
        <f>IFERROR(__xludf.DUMMYFUNCTION("""COMPUTED_VALUE"""),1425.53)</f>
        <v>1425.53</v>
      </c>
      <c r="E6781" s="1">
        <f>IFERROR(__xludf.DUMMYFUNCTION("""COMPUTED_VALUE"""),1428.59)</f>
        <v>1428.59</v>
      </c>
      <c r="F6781" s="1">
        <f>IFERROR(__xludf.DUMMYFUNCTION("""COMPUTED_VALUE"""),0.0)</f>
        <v>0</v>
      </c>
    </row>
    <row r="6782">
      <c r="A6782" s="2">
        <f>IFERROR(__xludf.DUMMYFUNCTION("""COMPUTED_VALUE"""),41197.666666666664)</f>
        <v>41197.66667</v>
      </c>
      <c r="B6782" s="1">
        <f>IFERROR(__xludf.DUMMYFUNCTION("""COMPUTED_VALUE"""),1428.75)</f>
        <v>1428.75</v>
      </c>
      <c r="C6782" s="1">
        <f>IFERROR(__xludf.DUMMYFUNCTION("""COMPUTED_VALUE"""),1441.31)</f>
        <v>1441.31</v>
      </c>
      <c r="D6782" s="1">
        <f>IFERROR(__xludf.DUMMYFUNCTION("""COMPUTED_VALUE"""),1427.24)</f>
        <v>1427.24</v>
      </c>
      <c r="E6782" s="1">
        <f>IFERROR(__xludf.DUMMYFUNCTION("""COMPUTED_VALUE"""),1440.13)</f>
        <v>1440.13</v>
      </c>
      <c r="F6782" s="1">
        <f>IFERROR(__xludf.DUMMYFUNCTION("""COMPUTED_VALUE"""),0.0)</f>
        <v>0</v>
      </c>
    </row>
    <row r="6783">
      <c r="A6783" s="2">
        <f>IFERROR(__xludf.DUMMYFUNCTION("""COMPUTED_VALUE"""),41198.666666666664)</f>
        <v>41198.66667</v>
      </c>
      <c r="B6783" s="1">
        <f>IFERROR(__xludf.DUMMYFUNCTION("""COMPUTED_VALUE"""),1440.31)</f>
        <v>1440.31</v>
      </c>
      <c r="C6783" s="1">
        <f>IFERROR(__xludf.DUMMYFUNCTION("""COMPUTED_VALUE"""),1455.51)</f>
        <v>1455.51</v>
      </c>
      <c r="D6783" s="1">
        <f>IFERROR(__xludf.DUMMYFUNCTION("""COMPUTED_VALUE"""),1440.31)</f>
        <v>1440.31</v>
      </c>
      <c r="E6783" s="1">
        <f>IFERROR(__xludf.DUMMYFUNCTION("""COMPUTED_VALUE"""),1454.92)</f>
        <v>1454.92</v>
      </c>
      <c r="F6783" s="1">
        <f>IFERROR(__xludf.DUMMYFUNCTION("""COMPUTED_VALUE"""),0.0)</f>
        <v>0</v>
      </c>
    </row>
    <row r="6784">
      <c r="A6784" s="2">
        <f>IFERROR(__xludf.DUMMYFUNCTION("""COMPUTED_VALUE"""),41199.666666666664)</f>
        <v>41199.66667</v>
      </c>
      <c r="B6784" s="1">
        <f>IFERROR(__xludf.DUMMYFUNCTION("""COMPUTED_VALUE"""),1454.22)</f>
        <v>1454.22</v>
      </c>
      <c r="C6784" s="1">
        <f>IFERROR(__xludf.DUMMYFUNCTION("""COMPUTED_VALUE"""),1462.2)</f>
        <v>1462.2</v>
      </c>
      <c r="D6784" s="1">
        <f>IFERROR(__xludf.DUMMYFUNCTION("""COMPUTED_VALUE"""),1453.35)</f>
        <v>1453.35</v>
      </c>
      <c r="E6784" s="1">
        <f>IFERROR(__xludf.DUMMYFUNCTION("""COMPUTED_VALUE"""),1460.91)</f>
        <v>1460.91</v>
      </c>
      <c r="F6784" s="1">
        <f>IFERROR(__xludf.DUMMYFUNCTION("""COMPUTED_VALUE"""),0.0)</f>
        <v>0</v>
      </c>
    </row>
    <row r="6785">
      <c r="A6785" s="2">
        <f>IFERROR(__xludf.DUMMYFUNCTION("""COMPUTED_VALUE"""),41200.666666666664)</f>
        <v>41200.66667</v>
      </c>
      <c r="B6785" s="1">
        <f>IFERROR(__xludf.DUMMYFUNCTION("""COMPUTED_VALUE"""),1460.94)</f>
        <v>1460.94</v>
      </c>
      <c r="C6785" s="1">
        <f>IFERROR(__xludf.DUMMYFUNCTION("""COMPUTED_VALUE"""),1464.02)</f>
        <v>1464.02</v>
      </c>
      <c r="D6785" s="1">
        <f>IFERROR(__xludf.DUMMYFUNCTION("""COMPUTED_VALUE"""),1452.63)</f>
        <v>1452.63</v>
      </c>
      <c r="E6785" s="1">
        <f>IFERROR(__xludf.DUMMYFUNCTION("""COMPUTED_VALUE"""),1457.34)</f>
        <v>1457.34</v>
      </c>
      <c r="F6785" s="1">
        <f>IFERROR(__xludf.DUMMYFUNCTION("""COMPUTED_VALUE"""),0.0)</f>
        <v>0</v>
      </c>
    </row>
    <row r="6786">
      <c r="A6786" s="2">
        <f>IFERROR(__xludf.DUMMYFUNCTION("""COMPUTED_VALUE"""),41201.666666666664)</f>
        <v>41201.66667</v>
      </c>
      <c r="B6786" s="1">
        <f>IFERROR(__xludf.DUMMYFUNCTION("""COMPUTED_VALUE"""),1457.34)</f>
        <v>1457.34</v>
      </c>
      <c r="C6786" s="1">
        <f>IFERROR(__xludf.DUMMYFUNCTION("""COMPUTED_VALUE"""),1457.34)</f>
        <v>1457.34</v>
      </c>
      <c r="D6786" s="1">
        <f>IFERROR(__xludf.DUMMYFUNCTION("""COMPUTED_VALUE"""),1429.85)</f>
        <v>1429.85</v>
      </c>
      <c r="E6786" s="1">
        <f>IFERROR(__xludf.DUMMYFUNCTION("""COMPUTED_VALUE"""),1433.19)</f>
        <v>1433.19</v>
      </c>
      <c r="F6786" s="1">
        <f>IFERROR(__xludf.DUMMYFUNCTION("""COMPUTED_VALUE"""),0.0)</f>
        <v>0</v>
      </c>
    </row>
    <row r="6787">
      <c r="A6787" s="2">
        <f>IFERROR(__xludf.DUMMYFUNCTION("""COMPUTED_VALUE"""),41204.666666666664)</f>
        <v>41204.66667</v>
      </c>
      <c r="B6787" s="1">
        <f>IFERROR(__xludf.DUMMYFUNCTION("""COMPUTED_VALUE"""),1433.21)</f>
        <v>1433.21</v>
      </c>
      <c r="C6787" s="1">
        <f>IFERROR(__xludf.DUMMYFUNCTION("""COMPUTED_VALUE"""),1435.46)</f>
        <v>1435.46</v>
      </c>
      <c r="D6787" s="1">
        <f>IFERROR(__xludf.DUMMYFUNCTION("""COMPUTED_VALUE"""),1422.06)</f>
        <v>1422.06</v>
      </c>
      <c r="E6787" s="1">
        <f>IFERROR(__xludf.DUMMYFUNCTION("""COMPUTED_VALUE"""),1433.82)</f>
        <v>1433.82</v>
      </c>
      <c r="F6787" s="1">
        <f>IFERROR(__xludf.DUMMYFUNCTION("""COMPUTED_VALUE"""),0.0)</f>
        <v>0</v>
      </c>
    </row>
    <row r="6788">
      <c r="A6788" s="2">
        <f>IFERROR(__xludf.DUMMYFUNCTION("""COMPUTED_VALUE"""),41205.666666666664)</f>
        <v>41205.66667</v>
      </c>
      <c r="B6788" s="1">
        <f>IFERROR(__xludf.DUMMYFUNCTION("""COMPUTED_VALUE"""),1433.74)</f>
        <v>1433.74</v>
      </c>
      <c r="C6788" s="1">
        <f>IFERROR(__xludf.DUMMYFUNCTION("""COMPUTED_VALUE"""),1433.74)</f>
        <v>1433.74</v>
      </c>
      <c r="D6788" s="1">
        <f>IFERROR(__xludf.DUMMYFUNCTION("""COMPUTED_VALUE"""),1407.56)</f>
        <v>1407.56</v>
      </c>
      <c r="E6788" s="1">
        <f>IFERROR(__xludf.DUMMYFUNCTION("""COMPUTED_VALUE"""),1413.11)</f>
        <v>1413.11</v>
      </c>
      <c r="F6788" s="1">
        <f>IFERROR(__xludf.DUMMYFUNCTION("""COMPUTED_VALUE"""),0.0)</f>
        <v>0</v>
      </c>
    </row>
    <row r="6789">
      <c r="A6789" s="2">
        <f>IFERROR(__xludf.DUMMYFUNCTION("""COMPUTED_VALUE"""),41206.666666666664)</f>
        <v>41206.66667</v>
      </c>
      <c r="B6789" s="1">
        <f>IFERROR(__xludf.DUMMYFUNCTION("""COMPUTED_VALUE"""),1413.2)</f>
        <v>1413.2</v>
      </c>
      <c r="C6789" s="1">
        <f>IFERROR(__xludf.DUMMYFUNCTION("""COMPUTED_VALUE"""),1420.04)</f>
        <v>1420.04</v>
      </c>
      <c r="D6789" s="1">
        <f>IFERROR(__xludf.DUMMYFUNCTION("""COMPUTED_VALUE"""),1407.1)</f>
        <v>1407.1</v>
      </c>
      <c r="E6789" s="1">
        <f>IFERROR(__xludf.DUMMYFUNCTION("""COMPUTED_VALUE"""),1408.75)</f>
        <v>1408.75</v>
      </c>
      <c r="F6789" s="1">
        <f>IFERROR(__xludf.DUMMYFUNCTION("""COMPUTED_VALUE"""),0.0)</f>
        <v>0</v>
      </c>
    </row>
    <row r="6790">
      <c r="A6790" s="2">
        <f>IFERROR(__xludf.DUMMYFUNCTION("""COMPUTED_VALUE"""),41207.666666666664)</f>
        <v>41207.66667</v>
      </c>
      <c r="B6790" s="1">
        <f>IFERROR(__xludf.DUMMYFUNCTION("""COMPUTED_VALUE"""),1409.74)</f>
        <v>1409.74</v>
      </c>
      <c r="C6790" s="1">
        <f>IFERROR(__xludf.DUMMYFUNCTION("""COMPUTED_VALUE"""),1421.12)</f>
        <v>1421.12</v>
      </c>
      <c r="D6790" s="1">
        <f>IFERROR(__xludf.DUMMYFUNCTION("""COMPUTED_VALUE"""),1405.14)</f>
        <v>1405.14</v>
      </c>
      <c r="E6790" s="1">
        <f>IFERROR(__xludf.DUMMYFUNCTION("""COMPUTED_VALUE"""),1412.97)</f>
        <v>1412.97</v>
      </c>
      <c r="F6790" s="1">
        <f>IFERROR(__xludf.DUMMYFUNCTION("""COMPUTED_VALUE"""),0.0)</f>
        <v>0</v>
      </c>
    </row>
    <row r="6791">
      <c r="A6791" s="2">
        <f>IFERROR(__xludf.DUMMYFUNCTION("""COMPUTED_VALUE"""),41208.666666666664)</f>
        <v>41208.66667</v>
      </c>
      <c r="B6791" s="1">
        <f>IFERROR(__xludf.DUMMYFUNCTION("""COMPUTED_VALUE"""),1412.97)</f>
        <v>1412.97</v>
      </c>
      <c r="C6791" s="1">
        <f>IFERROR(__xludf.DUMMYFUNCTION("""COMPUTED_VALUE"""),1417.09)</f>
        <v>1417.09</v>
      </c>
      <c r="D6791" s="1">
        <f>IFERROR(__xludf.DUMMYFUNCTION("""COMPUTED_VALUE"""),1403.28)</f>
        <v>1403.28</v>
      </c>
      <c r="E6791" s="1">
        <f>IFERROR(__xludf.DUMMYFUNCTION("""COMPUTED_VALUE"""),1411.94)</f>
        <v>1411.94</v>
      </c>
      <c r="F6791" s="1">
        <f>IFERROR(__xludf.DUMMYFUNCTION("""COMPUTED_VALUE"""),0.0)</f>
        <v>0</v>
      </c>
    </row>
    <row r="6792">
      <c r="A6792" s="2">
        <f>IFERROR(__xludf.DUMMYFUNCTION("""COMPUTED_VALUE"""),41211.666666666664)</f>
        <v>41211.66667</v>
      </c>
      <c r="B6792" s="1">
        <f>IFERROR(__xludf.DUMMYFUNCTION("""COMPUTED_VALUE"""),1411.94)</f>
        <v>1411.94</v>
      </c>
      <c r="C6792" s="1">
        <f>IFERROR(__xludf.DUMMYFUNCTION("""COMPUTED_VALUE"""),1411.94)</f>
        <v>1411.94</v>
      </c>
      <c r="D6792" s="1">
        <f>IFERROR(__xludf.DUMMYFUNCTION("""COMPUTED_VALUE"""),1411.94)</f>
        <v>1411.94</v>
      </c>
      <c r="E6792" s="1">
        <f>IFERROR(__xludf.DUMMYFUNCTION("""COMPUTED_VALUE"""),1411.94)</f>
        <v>1411.94</v>
      </c>
      <c r="F6792" s="1">
        <f>IFERROR(__xludf.DUMMYFUNCTION("""COMPUTED_VALUE"""),0.0)</f>
        <v>0</v>
      </c>
    </row>
    <row r="6793">
      <c r="A6793" s="2">
        <f>IFERROR(__xludf.DUMMYFUNCTION("""COMPUTED_VALUE"""),41212.666666666664)</f>
        <v>41212.66667</v>
      </c>
      <c r="B6793" s="1">
        <f>IFERROR(__xludf.DUMMYFUNCTION("""COMPUTED_VALUE"""),1411.94)</f>
        <v>1411.94</v>
      </c>
      <c r="C6793" s="1">
        <f>IFERROR(__xludf.DUMMYFUNCTION("""COMPUTED_VALUE"""),1411.94)</f>
        <v>1411.94</v>
      </c>
      <c r="D6793" s="1">
        <f>IFERROR(__xludf.DUMMYFUNCTION("""COMPUTED_VALUE"""),1411.94)</f>
        <v>1411.94</v>
      </c>
      <c r="E6793" s="1">
        <f>IFERROR(__xludf.DUMMYFUNCTION("""COMPUTED_VALUE"""),1411.94)</f>
        <v>1411.94</v>
      </c>
      <c r="F6793" s="1">
        <f>IFERROR(__xludf.DUMMYFUNCTION("""COMPUTED_VALUE"""),0.0)</f>
        <v>0</v>
      </c>
    </row>
    <row r="6794">
      <c r="A6794" s="2">
        <f>IFERROR(__xludf.DUMMYFUNCTION("""COMPUTED_VALUE"""),41213.666666666664)</f>
        <v>41213.66667</v>
      </c>
      <c r="B6794" s="1">
        <f>IFERROR(__xludf.DUMMYFUNCTION("""COMPUTED_VALUE"""),1410.99)</f>
        <v>1410.99</v>
      </c>
      <c r="C6794" s="1">
        <f>IFERROR(__xludf.DUMMYFUNCTION("""COMPUTED_VALUE"""),1418.76)</f>
        <v>1418.76</v>
      </c>
      <c r="D6794" s="1">
        <f>IFERROR(__xludf.DUMMYFUNCTION("""COMPUTED_VALUE"""),1405.95)</f>
        <v>1405.95</v>
      </c>
      <c r="E6794" s="1">
        <f>IFERROR(__xludf.DUMMYFUNCTION("""COMPUTED_VALUE"""),1412.16)</f>
        <v>1412.16</v>
      </c>
      <c r="F6794" s="1">
        <f>IFERROR(__xludf.DUMMYFUNCTION("""COMPUTED_VALUE"""),0.0)</f>
        <v>0</v>
      </c>
    </row>
    <row r="6795">
      <c r="A6795" s="2">
        <f>IFERROR(__xludf.DUMMYFUNCTION("""COMPUTED_VALUE"""),41214.666666666664)</f>
        <v>41214.66667</v>
      </c>
      <c r="B6795" s="1">
        <f>IFERROR(__xludf.DUMMYFUNCTION("""COMPUTED_VALUE"""),1412.2)</f>
        <v>1412.2</v>
      </c>
      <c r="C6795" s="1">
        <f>IFERROR(__xludf.DUMMYFUNCTION("""COMPUTED_VALUE"""),1428.35)</f>
        <v>1428.35</v>
      </c>
      <c r="D6795" s="1">
        <f>IFERROR(__xludf.DUMMYFUNCTION("""COMPUTED_VALUE"""),1412.2)</f>
        <v>1412.2</v>
      </c>
      <c r="E6795" s="1">
        <f>IFERROR(__xludf.DUMMYFUNCTION("""COMPUTED_VALUE"""),1427.59)</f>
        <v>1427.59</v>
      </c>
      <c r="F6795" s="1">
        <f>IFERROR(__xludf.DUMMYFUNCTION("""COMPUTED_VALUE"""),0.0)</f>
        <v>0</v>
      </c>
    </row>
    <row r="6796">
      <c r="A6796" s="2">
        <f>IFERROR(__xludf.DUMMYFUNCTION("""COMPUTED_VALUE"""),41215.666666666664)</f>
        <v>41215.66667</v>
      </c>
      <c r="B6796" s="1">
        <f>IFERROR(__xludf.DUMMYFUNCTION("""COMPUTED_VALUE"""),1427.59)</f>
        <v>1427.59</v>
      </c>
      <c r="C6796" s="1">
        <f>IFERROR(__xludf.DUMMYFUNCTION("""COMPUTED_VALUE"""),1434.27)</f>
        <v>1434.27</v>
      </c>
      <c r="D6796" s="1">
        <f>IFERROR(__xludf.DUMMYFUNCTION("""COMPUTED_VALUE"""),1412.91)</f>
        <v>1412.91</v>
      </c>
      <c r="E6796" s="1">
        <f>IFERROR(__xludf.DUMMYFUNCTION("""COMPUTED_VALUE"""),1414.2)</f>
        <v>1414.2</v>
      </c>
      <c r="F6796" s="1">
        <f>IFERROR(__xludf.DUMMYFUNCTION("""COMPUTED_VALUE"""),0.0)</f>
        <v>0</v>
      </c>
    </row>
    <row r="6797">
      <c r="A6797" s="2">
        <f>IFERROR(__xludf.DUMMYFUNCTION("""COMPUTED_VALUE"""),41218.666666666664)</f>
        <v>41218.66667</v>
      </c>
      <c r="B6797" s="1">
        <f>IFERROR(__xludf.DUMMYFUNCTION("""COMPUTED_VALUE"""),1414.02)</f>
        <v>1414.02</v>
      </c>
      <c r="C6797" s="1">
        <f>IFERROR(__xludf.DUMMYFUNCTION("""COMPUTED_VALUE"""),1419.9)</f>
        <v>1419.9</v>
      </c>
      <c r="D6797" s="1">
        <f>IFERROR(__xludf.DUMMYFUNCTION("""COMPUTED_VALUE"""),1408.13)</f>
        <v>1408.13</v>
      </c>
      <c r="E6797" s="1">
        <f>IFERROR(__xludf.DUMMYFUNCTION("""COMPUTED_VALUE"""),1417.26)</f>
        <v>1417.26</v>
      </c>
      <c r="F6797" s="1">
        <f>IFERROR(__xludf.DUMMYFUNCTION("""COMPUTED_VALUE"""),0.0)</f>
        <v>0</v>
      </c>
    </row>
    <row r="6798">
      <c r="A6798" s="2">
        <f>IFERROR(__xludf.DUMMYFUNCTION("""COMPUTED_VALUE"""),41219.666666666664)</f>
        <v>41219.66667</v>
      </c>
      <c r="B6798" s="1">
        <f>IFERROR(__xludf.DUMMYFUNCTION("""COMPUTED_VALUE"""),1417.26)</f>
        <v>1417.26</v>
      </c>
      <c r="C6798" s="1">
        <f>IFERROR(__xludf.DUMMYFUNCTION("""COMPUTED_VALUE"""),1433.38)</f>
        <v>1433.38</v>
      </c>
      <c r="D6798" s="1">
        <f>IFERROR(__xludf.DUMMYFUNCTION("""COMPUTED_VALUE"""),1417.26)</f>
        <v>1417.26</v>
      </c>
      <c r="E6798" s="1">
        <f>IFERROR(__xludf.DUMMYFUNCTION("""COMPUTED_VALUE"""),1428.39)</f>
        <v>1428.39</v>
      </c>
      <c r="F6798" s="1">
        <f>IFERROR(__xludf.DUMMYFUNCTION("""COMPUTED_VALUE"""),0.0)</f>
        <v>0</v>
      </c>
    </row>
    <row r="6799">
      <c r="A6799" s="2">
        <f>IFERROR(__xludf.DUMMYFUNCTION("""COMPUTED_VALUE"""),41220.666666666664)</f>
        <v>41220.66667</v>
      </c>
      <c r="B6799" s="1">
        <f>IFERROR(__xludf.DUMMYFUNCTION("""COMPUTED_VALUE"""),1428.27)</f>
        <v>1428.27</v>
      </c>
      <c r="C6799" s="1">
        <f>IFERROR(__xludf.DUMMYFUNCTION("""COMPUTED_VALUE"""),1428.27)</f>
        <v>1428.27</v>
      </c>
      <c r="D6799" s="1">
        <f>IFERROR(__xludf.DUMMYFUNCTION("""COMPUTED_VALUE"""),1388.14)</f>
        <v>1388.14</v>
      </c>
      <c r="E6799" s="1">
        <f>IFERROR(__xludf.DUMMYFUNCTION("""COMPUTED_VALUE"""),1394.53)</f>
        <v>1394.53</v>
      </c>
      <c r="F6799" s="1">
        <f>IFERROR(__xludf.DUMMYFUNCTION("""COMPUTED_VALUE"""),0.0)</f>
        <v>0</v>
      </c>
    </row>
    <row r="6800">
      <c r="A6800" s="2">
        <f>IFERROR(__xludf.DUMMYFUNCTION("""COMPUTED_VALUE"""),41221.666666666664)</f>
        <v>41221.66667</v>
      </c>
      <c r="B6800" s="1">
        <f>IFERROR(__xludf.DUMMYFUNCTION("""COMPUTED_VALUE"""),1394.53)</f>
        <v>1394.53</v>
      </c>
      <c r="C6800" s="1">
        <f>IFERROR(__xludf.DUMMYFUNCTION("""COMPUTED_VALUE"""),1401.23)</f>
        <v>1401.23</v>
      </c>
      <c r="D6800" s="1">
        <f>IFERROR(__xludf.DUMMYFUNCTION("""COMPUTED_VALUE"""),1377.51)</f>
        <v>1377.51</v>
      </c>
      <c r="E6800" s="1">
        <f>IFERROR(__xludf.DUMMYFUNCTION("""COMPUTED_VALUE"""),1377.51)</f>
        <v>1377.51</v>
      </c>
      <c r="F6800" s="1">
        <f>IFERROR(__xludf.DUMMYFUNCTION("""COMPUTED_VALUE"""),0.0)</f>
        <v>0</v>
      </c>
    </row>
    <row r="6801">
      <c r="A6801" s="2">
        <f>IFERROR(__xludf.DUMMYFUNCTION("""COMPUTED_VALUE"""),41222.666666666664)</f>
        <v>41222.66667</v>
      </c>
      <c r="B6801" s="1">
        <f>IFERROR(__xludf.DUMMYFUNCTION("""COMPUTED_VALUE"""),1377.55)</f>
        <v>1377.55</v>
      </c>
      <c r="C6801" s="1">
        <f>IFERROR(__xludf.DUMMYFUNCTION("""COMPUTED_VALUE"""),1391.39)</f>
        <v>1391.39</v>
      </c>
      <c r="D6801" s="1">
        <f>IFERROR(__xludf.DUMMYFUNCTION("""COMPUTED_VALUE"""),1373.03)</f>
        <v>1373.03</v>
      </c>
      <c r="E6801" s="1">
        <f>IFERROR(__xludf.DUMMYFUNCTION("""COMPUTED_VALUE"""),1379.85)</f>
        <v>1379.85</v>
      </c>
      <c r="F6801" s="1">
        <f>IFERROR(__xludf.DUMMYFUNCTION("""COMPUTED_VALUE"""),0.0)</f>
        <v>0</v>
      </c>
    </row>
    <row r="6802">
      <c r="A6802" s="2">
        <f>IFERROR(__xludf.DUMMYFUNCTION("""COMPUTED_VALUE"""),41225.666666666664)</f>
        <v>41225.66667</v>
      </c>
      <c r="B6802" s="1">
        <f>IFERROR(__xludf.DUMMYFUNCTION("""COMPUTED_VALUE"""),1379.86)</f>
        <v>1379.86</v>
      </c>
      <c r="C6802" s="1">
        <f>IFERROR(__xludf.DUMMYFUNCTION("""COMPUTED_VALUE"""),1384.87)</f>
        <v>1384.87</v>
      </c>
      <c r="D6802" s="1">
        <f>IFERROR(__xludf.DUMMYFUNCTION("""COMPUTED_VALUE"""),1377.19)</f>
        <v>1377.19</v>
      </c>
      <c r="E6802" s="1">
        <f>IFERROR(__xludf.DUMMYFUNCTION("""COMPUTED_VALUE"""),1380.03)</f>
        <v>1380.03</v>
      </c>
      <c r="F6802" s="1">
        <f>IFERROR(__xludf.DUMMYFUNCTION("""COMPUTED_VALUE"""),0.0)</f>
        <v>0</v>
      </c>
    </row>
    <row r="6803">
      <c r="A6803" s="2">
        <f>IFERROR(__xludf.DUMMYFUNCTION("""COMPUTED_VALUE"""),41226.666666666664)</f>
        <v>41226.66667</v>
      </c>
      <c r="B6803" s="1">
        <f>IFERROR(__xludf.DUMMYFUNCTION("""COMPUTED_VALUE"""),1380.03)</f>
        <v>1380.03</v>
      </c>
      <c r="C6803" s="1">
        <f>IFERROR(__xludf.DUMMYFUNCTION("""COMPUTED_VALUE"""),1388.81)</f>
        <v>1388.81</v>
      </c>
      <c r="D6803" s="1">
        <f>IFERROR(__xludf.DUMMYFUNCTION("""COMPUTED_VALUE"""),1371.39)</f>
        <v>1371.39</v>
      </c>
      <c r="E6803" s="1">
        <f>IFERROR(__xludf.DUMMYFUNCTION("""COMPUTED_VALUE"""),1374.53)</f>
        <v>1374.53</v>
      </c>
      <c r="F6803" s="1">
        <f>IFERROR(__xludf.DUMMYFUNCTION("""COMPUTED_VALUE"""),0.0)</f>
        <v>0</v>
      </c>
    </row>
    <row r="6804">
      <c r="A6804" s="2">
        <f>IFERROR(__xludf.DUMMYFUNCTION("""COMPUTED_VALUE"""),41227.666666666664)</f>
        <v>41227.66667</v>
      </c>
      <c r="B6804" s="1">
        <f>IFERROR(__xludf.DUMMYFUNCTION("""COMPUTED_VALUE"""),1374.64)</f>
        <v>1374.64</v>
      </c>
      <c r="C6804" s="1">
        <f>IFERROR(__xludf.DUMMYFUNCTION("""COMPUTED_VALUE"""),1380.13)</f>
        <v>1380.13</v>
      </c>
      <c r="D6804" s="1">
        <f>IFERROR(__xludf.DUMMYFUNCTION("""COMPUTED_VALUE"""),1352.5)</f>
        <v>1352.5</v>
      </c>
      <c r="E6804" s="1">
        <f>IFERROR(__xludf.DUMMYFUNCTION("""COMPUTED_VALUE"""),1355.49)</f>
        <v>1355.49</v>
      </c>
      <c r="F6804" s="1">
        <f>IFERROR(__xludf.DUMMYFUNCTION("""COMPUTED_VALUE"""),0.0)</f>
        <v>0</v>
      </c>
    </row>
    <row r="6805">
      <c r="A6805" s="2">
        <f>IFERROR(__xludf.DUMMYFUNCTION("""COMPUTED_VALUE"""),41228.666666666664)</f>
        <v>41228.66667</v>
      </c>
      <c r="B6805" s="1">
        <f>IFERROR(__xludf.DUMMYFUNCTION("""COMPUTED_VALUE"""),1355.41)</f>
        <v>1355.41</v>
      </c>
      <c r="C6805" s="1">
        <f>IFERROR(__xludf.DUMMYFUNCTION("""COMPUTED_VALUE"""),1360.62)</f>
        <v>1360.62</v>
      </c>
      <c r="D6805" s="1">
        <f>IFERROR(__xludf.DUMMYFUNCTION("""COMPUTED_VALUE"""),1348.05)</f>
        <v>1348.05</v>
      </c>
      <c r="E6805" s="1">
        <f>IFERROR(__xludf.DUMMYFUNCTION("""COMPUTED_VALUE"""),1353.33)</f>
        <v>1353.33</v>
      </c>
      <c r="F6805" s="1">
        <f>IFERROR(__xludf.DUMMYFUNCTION("""COMPUTED_VALUE"""),0.0)</f>
        <v>0</v>
      </c>
    </row>
    <row r="6806">
      <c r="A6806" s="2">
        <f>IFERROR(__xludf.DUMMYFUNCTION("""COMPUTED_VALUE"""),41229.666666666664)</f>
        <v>41229.66667</v>
      </c>
      <c r="B6806" s="1">
        <f>IFERROR(__xludf.DUMMYFUNCTION("""COMPUTED_VALUE"""),1353.36)</f>
        <v>1353.36</v>
      </c>
      <c r="C6806" s="1">
        <f>IFERROR(__xludf.DUMMYFUNCTION("""COMPUTED_VALUE"""),1362.03)</f>
        <v>1362.03</v>
      </c>
      <c r="D6806" s="1">
        <f>IFERROR(__xludf.DUMMYFUNCTION("""COMPUTED_VALUE"""),1343.35)</f>
        <v>1343.35</v>
      </c>
      <c r="E6806" s="1">
        <f>IFERROR(__xludf.DUMMYFUNCTION("""COMPUTED_VALUE"""),1359.88)</f>
        <v>1359.88</v>
      </c>
      <c r="F6806" s="1">
        <f>IFERROR(__xludf.DUMMYFUNCTION("""COMPUTED_VALUE"""),0.0)</f>
        <v>0</v>
      </c>
    </row>
    <row r="6807">
      <c r="A6807" s="2">
        <f>IFERROR(__xludf.DUMMYFUNCTION("""COMPUTED_VALUE"""),41232.666666666664)</f>
        <v>41232.66667</v>
      </c>
      <c r="B6807" s="1">
        <f>IFERROR(__xludf.DUMMYFUNCTION("""COMPUTED_VALUE"""),1359.88)</f>
        <v>1359.88</v>
      </c>
      <c r="C6807" s="1">
        <f>IFERROR(__xludf.DUMMYFUNCTION("""COMPUTED_VALUE"""),1386.89)</f>
        <v>1386.89</v>
      </c>
      <c r="D6807" s="1">
        <f>IFERROR(__xludf.DUMMYFUNCTION("""COMPUTED_VALUE"""),1359.88)</f>
        <v>1359.88</v>
      </c>
      <c r="E6807" s="1">
        <f>IFERROR(__xludf.DUMMYFUNCTION("""COMPUTED_VALUE"""),1386.89)</f>
        <v>1386.89</v>
      </c>
      <c r="F6807" s="1">
        <f>IFERROR(__xludf.DUMMYFUNCTION("""COMPUTED_VALUE"""),0.0)</f>
        <v>0</v>
      </c>
    </row>
    <row r="6808">
      <c r="A6808" s="2">
        <f>IFERROR(__xludf.DUMMYFUNCTION("""COMPUTED_VALUE"""),41233.666666666664)</f>
        <v>41233.66667</v>
      </c>
      <c r="B6808" s="1">
        <f>IFERROR(__xludf.DUMMYFUNCTION("""COMPUTED_VALUE"""),1386.82)</f>
        <v>1386.82</v>
      </c>
      <c r="C6808" s="1">
        <f>IFERROR(__xludf.DUMMYFUNCTION("""COMPUTED_VALUE"""),1388.13)</f>
        <v>1388.13</v>
      </c>
      <c r="D6808" s="1">
        <f>IFERROR(__xludf.DUMMYFUNCTION("""COMPUTED_VALUE"""),1380.83)</f>
        <v>1380.83</v>
      </c>
      <c r="E6808" s="1">
        <f>IFERROR(__xludf.DUMMYFUNCTION("""COMPUTED_VALUE"""),1384.53)</f>
        <v>1384.53</v>
      </c>
      <c r="F6808" s="1">
        <f>IFERROR(__xludf.DUMMYFUNCTION("""COMPUTED_VALUE"""),0.0)</f>
        <v>0</v>
      </c>
    </row>
    <row r="6809">
      <c r="A6809" s="2">
        <f>IFERROR(__xludf.DUMMYFUNCTION("""COMPUTED_VALUE"""),41234.666666666664)</f>
        <v>41234.66667</v>
      </c>
      <c r="B6809" s="1">
        <f>IFERROR(__xludf.DUMMYFUNCTION("""COMPUTED_VALUE"""),1387.79)</f>
        <v>1387.79</v>
      </c>
      <c r="C6809" s="1">
        <f>IFERROR(__xludf.DUMMYFUNCTION("""COMPUTED_VALUE"""),1391.25)</f>
        <v>1391.25</v>
      </c>
      <c r="D6809" s="1">
        <f>IFERROR(__xludf.DUMMYFUNCTION("""COMPUTED_VALUE"""),1386.39)</f>
        <v>1386.39</v>
      </c>
      <c r="E6809" s="1">
        <f>IFERROR(__xludf.DUMMYFUNCTION("""COMPUTED_VALUE"""),1391.03)</f>
        <v>1391.03</v>
      </c>
      <c r="F6809" s="1">
        <f>IFERROR(__xludf.DUMMYFUNCTION("""COMPUTED_VALUE"""),0.0)</f>
        <v>0</v>
      </c>
    </row>
    <row r="6810">
      <c r="A6810" s="2">
        <f>IFERROR(__xludf.DUMMYFUNCTION("""COMPUTED_VALUE"""),41235.666666666664)</f>
        <v>41235.66667</v>
      </c>
      <c r="B6810" s="1">
        <f>IFERROR(__xludf.DUMMYFUNCTION("""COMPUTED_VALUE"""),1391.03)</f>
        <v>1391.03</v>
      </c>
      <c r="C6810" s="1">
        <f>IFERROR(__xludf.DUMMYFUNCTION("""COMPUTED_VALUE"""),1391.03)</f>
        <v>1391.03</v>
      </c>
      <c r="D6810" s="1">
        <f>IFERROR(__xludf.DUMMYFUNCTION("""COMPUTED_VALUE"""),1391.03)</f>
        <v>1391.03</v>
      </c>
      <c r="E6810" s="1">
        <f>IFERROR(__xludf.DUMMYFUNCTION("""COMPUTED_VALUE"""),1391.03)</f>
        <v>1391.03</v>
      </c>
      <c r="F6810" s="1">
        <f>IFERROR(__xludf.DUMMYFUNCTION("""COMPUTED_VALUE"""),0.0)</f>
        <v>0</v>
      </c>
    </row>
    <row r="6811">
      <c r="A6811" s="2">
        <f>IFERROR(__xludf.DUMMYFUNCTION("""COMPUTED_VALUE"""),41236.666666666664)</f>
        <v>41236.66667</v>
      </c>
      <c r="B6811" s="1">
        <f>IFERROR(__xludf.DUMMYFUNCTION("""COMPUTED_VALUE"""),1391.03)</f>
        <v>1391.03</v>
      </c>
      <c r="C6811" s="1">
        <f>IFERROR(__xludf.DUMMYFUNCTION("""COMPUTED_VALUE"""),1409.16)</f>
        <v>1409.16</v>
      </c>
      <c r="D6811" s="1">
        <f>IFERROR(__xludf.DUMMYFUNCTION("""COMPUTED_VALUE"""),1391.03)</f>
        <v>1391.03</v>
      </c>
      <c r="E6811" s="1">
        <f>IFERROR(__xludf.DUMMYFUNCTION("""COMPUTED_VALUE"""),1409.15)</f>
        <v>1409.15</v>
      </c>
      <c r="F6811" s="1">
        <f>IFERROR(__xludf.DUMMYFUNCTION("""COMPUTED_VALUE"""),0.0)</f>
        <v>0</v>
      </c>
    </row>
    <row r="6812">
      <c r="A6812" s="2">
        <f>IFERROR(__xludf.DUMMYFUNCTION("""COMPUTED_VALUE"""),41239.666666666664)</f>
        <v>41239.66667</v>
      </c>
      <c r="B6812" s="1">
        <f>IFERROR(__xludf.DUMMYFUNCTION("""COMPUTED_VALUE"""),1409.15)</f>
        <v>1409.15</v>
      </c>
      <c r="C6812" s="1">
        <f>IFERROR(__xludf.DUMMYFUNCTION("""COMPUTED_VALUE"""),1409.15)</f>
        <v>1409.15</v>
      </c>
      <c r="D6812" s="1">
        <f>IFERROR(__xludf.DUMMYFUNCTION("""COMPUTED_VALUE"""),1397.68)</f>
        <v>1397.68</v>
      </c>
      <c r="E6812" s="1">
        <f>IFERROR(__xludf.DUMMYFUNCTION("""COMPUTED_VALUE"""),1406.29)</f>
        <v>1406.29</v>
      </c>
      <c r="F6812" s="1">
        <f>IFERROR(__xludf.DUMMYFUNCTION("""COMPUTED_VALUE"""),0.0)</f>
        <v>0</v>
      </c>
    </row>
    <row r="6813">
      <c r="A6813" s="2">
        <f>IFERROR(__xludf.DUMMYFUNCTION("""COMPUTED_VALUE"""),41240.666666666664)</f>
        <v>41240.66667</v>
      </c>
      <c r="B6813" s="1">
        <f>IFERROR(__xludf.DUMMYFUNCTION("""COMPUTED_VALUE"""),1406.29)</f>
        <v>1406.29</v>
      </c>
      <c r="C6813" s="1">
        <f>IFERROR(__xludf.DUMMYFUNCTION("""COMPUTED_VALUE"""),1409.01)</f>
        <v>1409.01</v>
      </c>
      <c r="D6813" s="1">
        <f>IFERROR(__xludf.DUMMYFUNCTION("""COMPUTED_VALUE"""),1398.03)</f>
        <v>1398.03</v>
      </c>
      <c r="E6813" s="1">
        <f>IFERROR(__xludf.DUMMYFUNCTION("""COMPUTED_VALUE"""),1398.94)</f>
        <v>1398.94</v>
      </c>
      <c r="F6813" s="1">
        <f>IFERROR(__xludf.DUMMYFUNCTION("""COMPUTED_VALUE"""),0.0)</f>
        <v>0</v>
      </c>
    </row>
    <row r="6814">
      <c r="A6814" s="2">
        <f>IFERROR(__xludf.DUMMYFUNCTION("""COMPUTED_VALUE"""),41241.666666666664)</f>
        <v>41241.66667</v>
      </c>
      <c r="B6814" s="1">
        <f>IFERROR(__xludf.DUMMYFUNCTION("""COMPUTED_VALUE"""),1398.77)</f>
        <v>1398.77</v>
      </c>
      <c r="C6814" s="1">
        <f>IFERROR(__xludf.DUMMYFUNCTION("""COMPUTED_VALUE"""),1410.31)</f>
        <v>1410.31</v>
      </c>
      <c r="D6814" s="1">
        <f>IFERROR(__xludf.DUMMYFUNCTION("""COMPUTED_VALUE"""),1385.43)</f>
        <v>1385.43</v>
      </c>
      <c r="E6814" s="1">
        <f>IFERROR(__xludf.DUMMYFUNCTION("""COMPUTED_VALUE"""),1409.93)</f>
        <v>1409.93</v>
      </c>
      <c r="F6814" s="1">
        <f>IFERROR(__xludf.DUMMYFUNCTION("""COMPUTED_VALUE"""),0.0)</f>
        <v>0</v>
      </c>
    </row>
    <row r="6815">
      <c r="A6815" s="2">
        <f>IFERROR(__xludf.DUMMYFUNCTION("""COMPUTED_VALUE"""),41242.666666666664)</f>
        <v>41242.66667</v>
      </c>
      <c r="B6815" s="1">
        <f>IFERROR(__xludf.DUMMYFUNCTION("""COMPUTED_VALUE"""),1409.96)</f>
        <v>1409.96</v>
      </c>
      <c r="C6815" s="1">
        <f>IFERROR(__xludf.DUMMYFUNCTION("""COMPUTED_VALUE"""),1419.7)</f>
        <v>1419.7</v>
      </c>
      <c r="D6815" s="1">
        <f>IFERROR(__xludf.DUMMYFUNCTION("""COMPUTED_VALUE"""),1409.04)</f>
        <v>1409.04</v>
      </c>
      <c r="E6815" s="1">
        <f>IFERROR(__xludf.DUMMYFUNCTION("""COMPUTED_VALUE"""),1415.95)</f>
        <v>1415.95</v>
      </c>
      <c r="F6815" s="1">
        <f>IFERROR(__xludf.DUMMYFUNCTION("""COMPUTED_VALUE"""),0.0)</f>
        <v>0</v>
      </c>
    </row>
    <row r="6816">
      <c r="A6816" s="2">
        <f>IFERROR(__xludf.DUMMYFUNCTION("""COMPUTED_VALUE"""),41243.666666666664)</f>
        <v>41243.66667</v>
      </c>
      <c r="B6816" s="1">
        <f>IFERROR(__xludf.DUMMYFUNCTION("""COMPUTED_VALUE"""),1416.18)</f>
        <v>1416.18</v>
      </c>
      <c r="C6816" s="1">
        <f>IFERROR(__xludf.DUMMYFUNCTION("""COMPUTED_VALUE"""),1416.18)</f>
        <v>1416.18</v>
      </c>
      <c r="D6816" s="1">
        <f>IFERROR(__xludf.DUMMYFUNCTION("""COMPUTED_VALUE"""),1416.18)</f>
        <v>1416.18</v>
      </c>
      <c r="E6816" s="1">
        <f>IFERROR(__xludf.DUMMYFUNCTION("""COMPUTED_VALUE"""),1416.18)</f>
        <v>1416.18</v>
      </c>
      <c r="F6816" s="1">
        <f>IFERROR(__xludf.DUMMYFUNCTION("""COMPUTED_VALUE"""),0.0)</f>
        <v>0</v>
      </c>
    </row>
    <row r="6817">
      <c r="A6817" s="2">
        <f>IFERROR(__xludf.DUMMYFUNCTION("""COMPUTED_VALUE"""),41246.666666666664)</f>
        <v>41246.66667</v>
      </c>
      <c r="B6817" s="1">
        <f>IFERROR(__xludf.DUMMYFUNCTION("""COMPUTED_VALUE"""),1418.33)</f>
        <v>1418.33</v>
      </c>
      <c r="C6817" s="1">
        <f>IFERROR(__xludf.DUMMYFUNCTION("""COMPUTED_VALUE"""),1418.33)</f>
        <v>1418.33</v>
      </c>
      <c r="D6817" s="1">
        <f>IFERROR(__xludf.DUMMYFUNCTION("""COMPUTED_VALUE"""),1408.46)</f>
        <v>1408.46</v>
      </c>
      <c r="E6817" s="1">
        <f>IFERROR(__xludf.DUMMYFUNCTION("""COMPUTED_VALUE"""),1409.46)</f>
        <v>1409.46</v>
      </c>
      <c r="F6817" s="1">
        <f>IFERROR(__xludf.DUMMYFUNCTION("""COMPUTED_VALUE"""),0.0)</f>
        <v>0</v>
      </c>
    </row>
    <row r="6818">
      <c r="A6818" s="2">
        <f>IFERROR(__xludf.DUMMYFUNCTION("""COMPUTED_VALUE"""),41247.666666666664)</f>
        <v>41247.66667</v>
      </c>
      <c r="B6818" s="1">
        <f>IFERROR(__xludf.DUMMYFUNCTION("""COMPUTED_VALUE"""),1409.46)</f>
        <v>1409.46</v>
      </c>
      <c r="C6818" s="1">
        <f>IFERROR(__xludf.DUMMYFUNCTION("""COMPUTED_VALUE"""),1413.14)</f>
        <v>1413.14</v>
      </c>
      <c r="D6818" s="1">
        <f>IFERROR(__xludf.DUMMYFUNCTION("""COMPUTED_VALUE"""),1403.65)</f>
        <v>1403.65</v>
      </c>
      <c r="E6818" s="1">
        <f>IFERROR(__xludf.DUMMYFUNCTION("""COMPUTED_VALUE"""),1407.05)</f>
        <v>1407.05</v>
      </c>
      <c r="F6818" s="1">
        <f>IFERROR(__xludf.DUMMYFUNCTION("""COMPUTED_VALUE"""),0.0)</f>
        <v>0</v>
      </c>
    </row>
    <row r="6819">
      <c r="A6819" s="2">
        <f>IFERROR(__xludf.DUMMYFUNCTION("""COMPUTED_VALUE"""),41248.666666666664)</f>
        <v>41248.66667</v>
      </c>
      <c r="B6819" s="1">
        <f>IFERROR(__xludf.DUMMYFUNCTION("""COMPUTED_VALUE"""),1407.05)</f>
        <v>1407.05</v>
      </c>
      <c r="C6819" s="1">
        <f>IFERROR(__xludf.DUMMYFUNCTION("""COMPUTED_VALUE"""),1415.56)</f>
        <v>1415.56</v>
      </c>
      <c r="D6819" s="1">
        <f>IFERROR(__xludf.DUMMYFUNCTION("""COMPUTED_VALUE"""),1398.23)</f>
        <v>1398.23</v>
      </c>
      <c r="E6819" s="1">
        <f>IFERROR(__xludf.DUMMYFUNCTION("""COMPUTED_VALUE"""),1409.28)</f>
        <v>1409.28</v>
      </c>
      <c r="F6819" s="1">
        <f>IFERROR(__xludf.DUMMYFUNCTION("""COMPUTED_VALUE"""),0.0)</f>
        <v>0</v>
      </c>
    </row>
    <row r="6820">
      <c r="A6820" s="2">
        <f>IFERROR(__xludf.DUMMYFUNCTION("""COMPUTED_VALUE"""),41249.666666666664)</f>
        <v>41249.66667</v>
      </c>
      <c r="B6820" s="1">
        <f>IFERROR(__xludf.DUMMYFUNCTION("""COMPUTED_VALUE"""),1409.43)</f>
        <v>1409.43</v>
      </c>
      <c r="C6820" s="1">
        <f>IFERROR(__xludf.DUMMYFUNCTION("""COMPUTED_VALUE"""),1413.95)</f>
        <v>1413.95</v>
      </c>
      <c r="D6820" s="1">
        <f>IFERROR(__xludf.DUMMYFUNCTION("""COMPUTED_VALUE"""),1405.93)</f>
        <v>1405.93</v>
      </c>
      <c r="E6820" s="1">
        <f>IFERROR(__xludf.DUMMYFUNCTION("""COMPUTED_VALUE"""),1413.94)</f>
        <v>1413.94</v>
      </c>
      <c r="F6820" s="1">
        <f>IFERROR(__xludf.DUMMYFUNCTION("""COMPUTED_VALUE"""),0.0)</f>
        <v>0</v>
      </c>
    </row>
    <row r="6821">
      <c r="A6821" s="2">
        <f>IFERROR(__xludf.DUMMYFUNCTION("""COMPUTED_VALUE"""),41250.666666666664)</f>
        <v>41250.66667</v>
      </c>
      <c r="B6821" s="1">
        <f>IFERROR(__xludf.DUMMYFUNCTION("""COMPUTED_VALUE"""),1413.95)</f>
        <v>1413.95</v>
      </c>
      <c r="C6821" s="1">
        <f>IFERROR(__xludf.DUMMYFUNCTION("""COMPUTED_VALUE"""),1420.34)</f>
        <v>1420.34</v>
      </c>
      <c r="D6821" s="1">
        <f>IFERROR(__xludf.DUMMYFUNCTION("""COMPUTED_VALUE"""),1410.9)</f>
        <v>1410.9</v>
      </c>
      <c r="E6821" s="1">
        <f>IFERROR(__xludf.DUMMYFUNCTION("""COMPUTED_VALUE"""),1418.07)</f>
        <v>1418.07</v>
      </c>
      <c r="F6821" s="1">
        <f>IFERROR(__xludf.DUMMYFUNCTION("""COMPUTED_VALUE"""),0.0)</f>
        <v>0</v>
      </c>
    </row>
    <row r="6822">
      <c r="A6822" s="2">
        <f>IFERROR(__xludf.DUMMYFUNCTION("""COMPUTED_VALUE"""),41253.666666666664)</f>
        <v>41253.66667</v>
      </c>
      <c r="B6822" s="1">
        <f>IFERROR(__xludf.DUMMYFUNCTION("""COMPUTED_VALUE"""),1418.07)</f>
        <v>1418.07</v>
      </c>
      <c r="C6822" s="1">
        <f>IFERROR(__xludf.DUMMYFUNCTION("""COMPUTED_VALUE"""),1421.64)</f>
        <v>1421.64</v>
      </c>
      <c r="D6822" s="1">
        <f>IFERROR(__xludf.DUMMYFUNCTION("""COMPUTED_VALUE"""),1415.64)</f>
        <v>1415.64</v>
      </c>
      <c r="E6822" s="1">
        <f>IFERROR(__xludf.DUMMYFUNCTION("""COMPUTED_VALUE"""),1418.55)</f>
        <v>1418.55</v>
      </c>
      <c r="F6822" s="1">
        <f>IFERROR(__xludf.DUMMYFUNCTION("""COMPUTED_VALUE"""),0.0)</f>
        <v>0</v>
      </c>
    </row>
    <row r="6823">
      <c r="A6823" s="2">
        <f>IFERROR(__xludf.DUMMYFUNCTION("""COMPUTED_VALUE"""),41254.666666666664)</f>
        <v>41254.66667</v>
      </c>
      <c r="B6823" s="1">
        <f>IFERROR(__xludf.DUMMYFUNCTION("""COMPUTED_VALUE"""),1418.55)</f>
        <v>1418.55</v>
      </c>
      <c r="C6823" s="1">
        <f>IFERROR(__xludf.DUMMYFUNCTION("""COMPUTED_VALUE"""),1434.27)</f>
        <v>1434.27</v>
      </c>
      <c r="D6823" s="1">
        <f>IFERROR(__xludf.DUMMYFUNCTION("""COMPUTED_VALUE"""),1418.55)</f>
        <v>1418.55</v>
      </c>
      <c r="E6823" s="1">
        <f>IFERROR(__xludf.DUMMYFUNCTION("""COMPUTED_VALUE"""),1427.84)</f>
        <v>1427.84</v>
      </c>
      <c r="F6823" s="1">
        <f>IFERROR(__xludf.DUMMYFUNCTION("""COMPUTED_VALUE"""),0.0)</f>
        <v>0</v>
      </c>
    </row>
    <row r="6824">
      <c r="A6824" s="2">
        <f>IFERROR(__xludf.DUMMYFUNCTION("""COMPUTED_VALUE"""),41255.666666666664)</f>
        <v>41255.66667</v>
      </c>
      <c r="B6824" s="1">
        <f>IFERROR(__xludf.DUMMYFUNCTION("""COMPUTED_VALUE"""),1427.84)</f>
        <v>1427.84</v>
      </c>
      <c r="C6824" s="1">
        <f>IFERROR(__xludf.DUMMYFUNCTION("""COMPUTED_VALUE"""),1438.59)</f>
        <v>1438.59</v>
      </c>
      <c r="D6824" s="1">
        <f>IFERROR(__xludf.DUMMYFUNCTION("""COMPUTED_VALUE"""),1426.76)</f>
        <v>1426.76</v>
      </c>
      <c r="E6824" s="1">
        <f>IFERROR(__xludf.DUMMYFUNCTION("""COMPUTED_VALUE"""),1428.48)</f>
        <v>1428.48</v>
      </c>
      <c r="F6824" s="1">
        <f>IFERROR(__xludf.DUMMYFUNCTION("""COMPUTED_VALUE"""),0.0)</f>
        <v>0</v>
      </c>
    </row>
    <row r="6825">
      <c r="A6825" s="2">
        <f>IFERROR(__xludf.DUMMYFUNCTION("""COMPUTED_VALUE"""),41256.666666666664)</f>
        <v>41256.66667</v>
      </c>
      <c r="B6825" s="1">
        <f>IFERROR(__xludf.DUMMYFUNCTION("""COMPUTED_VALUE"""),1428.48)</f>
        <v>1428.48</v>
      </c>
      <c r="C6825" s="1">
        <f>IFERROR(__xludf.DUMMYFUNCTION("""COMPUTED_VALUE"""),1431.36)</f>
        <v>1431.36</v>
      </c>
      <c r="D6825" s="1">
        <f>IFERROR(__xludf.DUMMYFUNCTION("""COMPUTED_VALUE"""),1416.0)</f>
        <v>1416</v>
      </c>
      <c r="E6825" s="1">
        <f>IFERROR(__xludf.DUMMYFUNCTION("""COMPUTED_VALUE"""),1419.45)</f>
        <v>1419.45</v>
      </c>
      <c r="F6825" s="1">
        <f>IFERROR(__xludf.DUMMYFUNCTION("""COMPUTED_VALUE"""),0.0)</f>
        <v>0</v>
      </c>
    </row>
    <row r="6826">
      <c r="A6826" s="2">
        <f>IFERROR(__xludf.DUMMYFUNCTION("""COMPUTED_VALUE"""),41257.666666666664)</f>
        <v>41257.66667</v>
      </c>
      <c r="B6826" s="1">
        <f>IFERROR(__xludf.DUMMYFUNCTION("""COMPUTED_VALUE"""),1419.45)</f>
        <v>1419.45</v>
      </c>
      <c r="C6826" s="1">
        <f>IFERROR(__xludf.DUMMYFUNCTION("""COMPUTED_VALUE"""),1419.45)</f>
        <v>1419.45</v>
      </c>
      <c r="D6826" s="1">
        <f>IFERROR(__xludf.DUMMYFUNCTION("""COMPUTED_VALUE"""),1411.88)</f>
        <v>1411.88</v>
      </c>
      <c r="E6826" s="1">
        <f>IFERROR(__xludf.DUMMYFUNCTION("""COMPUTED_VALUE"""),1413.58)</f>
        <v>1413.58</v>
      </c>
      <c r="F6826" s="1">
        <f>IFERROR(__xludf.DUMMYFUNCTION("""COMPUTED_VALUE"""),0.0)</f>
        <v>0</v>
      </c>
    </row>
    <row r="6827">
      <c r="A6827" s="2">
        <f>IFERROR(__xludf.DUMMYFUNCTION("""COMPUTED_VALUE"""),41260.666666666664)</f>
        <v>41260.66667</v>
      </c>
      <c r="B6827" s="1">
        <f>IFERROR(__xludf.DUMMYFUNCTION("""COMPUTED_VALUE"""),1413.54)</f>
        <v>1413.54</v>
      </c>
      <c r="C6827" s="1">
        <f>IFERROR(__xludf.DUMMYFUNCTION("""COMPUTED_VALUE"""),1430.67)</f>
        <v>1430.67</v>
      </c>
      <c r="D6827" s="1">
        <f>IFERROR(__xludf.DUMMYFUNCTION("""COMPUTED_VALUE"""),1413.54)</f>
        <v>1413.54</v>
      </c>
      <c r="E6827" s="1">
        <f>IFERROR(__xludf.DUMMYFUNCTION("""COMPUTED_VALUE"""),1430.36)</f>
        <v>1430.36</v>
      </c>
      <c r="F6827" s="1">
        <f>IFERROR(__xludf.DUMMYFUNCTION("""COMPUTED_VALUE"""),0.0)</f>
        <v>0</v>
      </c>
    </row>
    <row r="6828">
      <c r="A6828" s="2">
        <f>IFERROR(__xludf.DUMMYFUNCTION("""COMPUTED_VALUE"""),41261.666666666664)</f>
        <v>41261.66667</v>
      </c>
      <c r="B6828" s="1">
        <f>IFERROR(__xludf.DUMMYFUNCTION("""COMPUTED_VALUE"""),1430.47)</f>
        <v>1430.47</v>
      </c>
      <c r="C6828" s="1">
        <f>IFERROR(__xludf.DUMMYFUNCTION("""COMPUTED_VALUE"""),1448.0)</f>
        <v>1448</v>
      </c>
      <c r="D6828" s="1">
        <f>IFERROR(__xludf.DUMMYFUNCTION("""COMPUTED_VALUE"""),1430.47)</f>
        <v>1430.47</v>
      </c>
      <c r="E6828" s="1">
        <f>IFERROR(__xludf.DUMMYFUNCTION("""COMPUTED_VALUE"""),1446.79)</f>
        <v>1446.79</v>
      </c>
      <c r="F6828" s="1">
        <f>IFERROR(__xludf.DUMMYFUNCTION("""COMPUTED_VALUE"""),0.0)</f>
        <v>0</v>
      </c>
    </row>
    <row r="6829">
      <c r="A6829" s="2">
        <f>IFERROR(__xludf.DUMMYFUNCTION("""COMPUTED_VALUE"""),41262.666666666664)</f>
        <v>41262.66667</v>
      </c>
      <c r="B6829" s="1">
        <f>IFERROR(__xludf.DUMMYFUNCTION("""COMPUTED_VALUE"""),1446.79)</f>
        <v>1446.79</v>
      </c>
      <c r="C6829" s="1">
        <f>IFERROR(__xludf.DUMMYFUNCTION("""COMPUTED_VALUE"""),1447.75)</f>
        <v>1447.75</v>
      </c>
      <c r="D6829" s="1">
        <f>IFERROR(__xludf.DUMMYFUNCTION("""COMPUTED_VALUE"""),1435.8)</f>
        <v>1435.8</v>
      </c>
      <c r="E6829" s="1">
        <f>IFERROR(__xludf.DUMMYFUNCTION("""COMPUTED_VALUE"""),1435.81)</f>
        <v>1435.81</v>
      </c>
      <c r="F6829" s="1">
        <f>IFERROR(__xludf.DUMMYFUNCTION("""COMPUTED_VALUE"""),0.0)</f>
        <v>0</v>
      </c>
    </row>
    <row r="6830">
      <c r="A6830" s="2">
        <f>IFERROR(__xludf.DUMMYFUNCTION("""COMPUTED_VALUE"""),41263.666666666664)</f>
        <v>41263.66667</v>
      </c>
      <c r="B6830" s="1">
        <f>IFERROR(__xludf.DUMMYFUNCTION("""COMPUTED_VALUE"""),1435.81)</f>
        <v>1435.81</v>
      </c>
      <c r="C6830" s="1">
        <f>IFERROR(__xludf.DUMMYFUNCTION("""COMPUTED_VALUE"""),1443.7)</f>
        <v>1443.7</v>
      </c>
      <c r="D6830" s="1">
        <f>IFERROR(__xludf.DUMMYFUNCTION("""COMPUTED_VALUE"""),1432.82)</f>
        <v>1432.82</v>
      </c>
      <c r="E6830" s="1">
        <f>IFERROR(__xludf.DUMMYFUNCTION("""COMPUTED_VALUE"""),1443.69)</f>
        <v>1443.69</v>
      </c>
      <c r="F6830" s="1">
        <f>IFERROR(__xludf.DUMMYFUNCTION("""COMPUTED_VALUE"""),0.0)</f>
        <v>0</v>
      </c>
    </row>
    <row r="6831">
      <c r="A6831" s="2">
        <f>IFERROR(__xludf.DUMMYFUNCTION("""COMPUTED_VALUE"""),41264.666666666664)</f>
        <v>41264.66667</v>
      </c>
      <c r="B6831" s="1">
        <f>IFERROR(__xludf.DUMMYFUNCTION("""COMPUTED_VALUE"""),1443.67)</f>
        <v>1443.67</v>
      </c>
      <c r="C6831" s="1">
        <f>IFERROR(__xludf.DUMMYFUNCTION("""COMPUTED_VALUE"""),1443.67)</f>
        <v>1443.67</v>
      </c>
      <c r="D6831" s="1">
        <f>IFERROR(__xludf.DUMMYFUNCTION("""COMPUTED_VALUE"""),1422.58)</f>
        <v>1422.58</v>
      </c>
      <c r="E6831" s="1">
        <f>IFERROR(__xludf.DUMMYFUNCTION("""COMPUTED_VALUE"""),1430.15)</f>
        <v>1430.15</v>
      </c>
      <c r="F6831" s="1">
        <f>IFERROR(__xludf.DUMMYFUNCTION("""COMPUTED_VALUE"""),0.0)</f>
        <v>0</v>
      </c>
    </row>
    <row r="6832">
      <c r="A6832" s="2">
        <f>IFERROR(__xludf.DUMMYFUNCTION("""COMPUTED_VALUE"""),41267.666666666664)</f>
        <v>41267.66667</v>
      </c>
      <c r="B6832" s="1">
        <f>IFERROR(__xludf.DUMMYFUNCTION("""COMPUTED_VALUE"""),1430.15)</f>
        <v>1430.15</v>
      </c>
      <c r="C6832" s="1">
        <f>IFERROR(__xludf.DUMMYFUNCTION("""COMPUTED_VALUE"""),1430.15)</f>
        <v>1430.15</v>
      </c>
      <c r="D6832" s="1">
        <f>IFERROR(__xludf.DUMMYFUNCTION("""COMPUTED_VALUE"""),1424.66)</f>
        <v>1424.66</v>
      </c>
      <c r="E6832" s="1">
        <f>IFERROR(__xludf.DUMMYFUNCTION("""COMPUTED_VALUE"""),1426.66)</f>
        <v>1426.66</v>
      </c>
      <c r="F6832" s="1">
        <f>IFERROR(__xludf.DUMMYFUNCTION("""COMPUTED_VALUE"""),0.0)</f>
        <v>0</v>
      </c>
    </row>
    <row r="6833">
      <c r="A6833" s="2">
        <f>IFERROR(__xludf.DUMMYFUNCTION("""COMPUTED_VALUE"""),41268.666666666664)</f>
        <v>41268.66667</v>
      </c>
      <c r="B6833" s="1">
        <f>IFERROR(__xludf.DUMMYFUNCTION("""COMPUTED_VALUE"""),1426.66)</f>
        <v>1426.66</v>
      </c>
      <c r="C6833" s="1">
        <f>IFERROR(__xludf.DUMMYFUNCTION("""COMPUTED_VALUE"""),1426.66)</f>
        <v>1426.66</v>
      </c>
      <c r="D6833" s="1">
        <f>IFERROR(__xludf.DUMMYFUNCTION("""COMPUTED_VALUE"""),1426.66)</f>
        <v>1426.66</v>
      </c>
      <c r="E6833" s="1">
        <f>IFERROR(__xludf.DUMMYFUNCTION("""COMPUTED_VALUE"""),1426.66)</f>
        <v>1426.66</v>
      </c>
      <c r="F6833" s="1">
        <f>IFERROR(__xludf.DUMMYFUNCTION("""COMPUTED_VALUE"""),0.0)</f>
        <v>0</v>
      </c>
    </row>
    <row r="6834">
      <c r="A6834" s="2">
        <f>IFERROR(__xludf.DUMMYFUNCTION("""COMPUTED_VALUE"""),41269.666666666664)</f>
        <v>41269.66667</v>
      </c>
      <c r="B6834" s="1">
        <f>IFERROR(__xludf.DUMMYFUNCTION("""COMPUTED_VALUE"""),1426.66)</f>
        <v>1426.66</v>
      </c>
      <c r="C6834" s="1">
        <f>IFERROR(__xludf.DUMMYFUNCTION("""COMPUTED_VALUE"""),1429.42)</f>
        <v>1429.42</v>
      </c>
      <c r="D6834" s="1">
        <f>IFERROR(__xludf.DUMMYFUNCTION("""COMPUTED_VALUE"""),1416.43)</f>
        <v>1416.43</v>
      </c>
      <c r="E6834" s="1">
        <f>IFERROR(__xludf.DUMMYFUNCTION("""COMPUTED_VALUE"""),1419.83)</f>
        <v>1419.83</v>
      </c>
      <c r="F6834" s="1">
        <f>IFERROR(__xludf.DUMMYFUNCTION("""COMPUTED_VALUE"""),0.0)</f>
        <v>0</v>
      </c>
    </row>
    <row r="6835">
      <c r="A6835" s="2">
        <f>IFERROR(__xludf.DUMMYFUNCTION("""COMPUTED_VALUE"""),41270.666666666664)</f>
        <v>41270.66667</v>
      </c>
      <c r="B6835" s="1">
        <f>IFERROR(__xludf.DUMMYFUNCTION("""COMPUTED_VALUE"""),1419.83)</f>
        <v>1419.83</v>
      </c>
      <c r="C6835" s="1">
        <f>IFERROR(__xludf.DUMMYFUNCTION("""COMPUTED_VALUE"""),1422.8)</f>
        <v>1422.8</v>
      </c>
      <c r="D6835" s="1">
        <f>IFERROR(__xludf.DUMMYFUNCTION("""COMPUTED_VALUE"""),1401.8)</f>
        <v>1401.8</v>
      </c>
      <c r="E6835" s="1">
        <f>IFERROR(__xludf.DUMMYFUNCTION("""COMPUTED_VALUE"""),1418.09)</f>
        <v>1418.09</v>
      </c>
      <c r="F6835" s="1">
        <f>IFERROR(__xludf.DUMMYFUNCTION("""COMPUTED_VALUE"""),0.0)</f>
        <v>0</v>
      </c>
    </row>
    <row r="6836">
      <c r="A6836" s="2">
        <f>IFERROR(__xludf.DUMMYFUNCTION("""COMPUTED_VALUE"""),41271.666666666664)</f>
        <v>41271.66667</v>
      </c>
      <c r="B6836" s="1">
        <f>IFERROR(__xludf.DUMMYFUNCTION("""COMPUTED_VALUE"""),1418.1)</f>
        <v>1418.1</v>
      </c>
      <c r="C6836" s="1">
        <f>IFERROR(__xludf.DUMMYFUNCTION("""COMPUTED_VALUE"""),1418.1)</f>
        <v>1418.1</v>
      </c>
      <c r="D6836" s="1">
        <f>IFERROR(__xludf.DUMMYFUNCTION("""COMPUTED_VALUE"""),1401.58)</f>
        <v>1401.58</v>
      </c>
      <c r="E6836" s="1">
        <f>IFERROR(__xludf.DUMMYFUNCTION("""COMPUTED_VALUE"""),1402.43)</f>
        <v>1402.43</v>
      </c>
      <c r="F6836" s="1">
        <f>IFERROR(__xludf.DUMMYFUNCTION("""COMPUTED_VALUE"""),0.0)</f>
        <v>0</v>
      </c>
    </row>
    <row r="6837">
      <c r="A6837" s="2">
        <f>IFERROR(__xludf.DUMMYFUNCTION("""COMPUTED_VALUE"""),41274.666666666664)</f>
        <v>41274.66667</v>
      </c>
      <c r="B6837" s="1">
        <f>IFERROR(__xludf.DUMMYFUNCTION("""COMPUTED_VALUE"""),1426.19)</f>
        <v>1426.19</v>
      </c>
      <c r="C6837" s="1">
        <f>IFERROR(__xludf.DUMMYFUNCTION("""COMPUTED_VALUE"""),1426.19)</f>
        <v>1426.19</v>
      </c>
      <c r="D6837" s="1">
        <f>IFERROR(__xludf.DUMMYFUNCTION("""COMPUTED_VALUE"""),1426.19)</f>
        <v>1426.19</v>
      </c>
      <c r="E6837" s="1">
        <f>IFERROR(__xludf.DUMMYFUNCTION("""COMPUTED_VALUE"""),1426.19)</f>
        <v>1426.19</v>
      </c>
      <c r="F6837" s="1">
        <f>IFERROR(__xludf.DUMMYFUNCTION("""COMPUTED_VALUE"""),0.0)</f>
        <v>0</v>
      </c>
    </row>
    <row r="6838">
      <c r="A6838" s="2">
        <f>IFERROR(__xludf.DUMMYFUNCTION("""COMPUTED_VALUE"""),41275.666666666664)</f>
        <v>41275.66667</v>
      </c>
      <c r="B6838" s="1">
        <f>IFERROR(__xludf.DUMMYFUNCTION("""COMPUTED_VALUE"""),1426.19)</f>
        <v>1426.19</v>
      </c>
      <c r="C6838" s="1">
        <f>IFERROR(__xludf.DUMMYFUNCTION("""COMPUTED_VALUE"""),1426.19)</f>
        <v>1426.19</v>
      </c>
      <c r="D6838" s="1">
        <f>IFERROR(__xludf.DUMMYFUNCTION("""COMPUTED_VALUE"""),1426.19)</f>
        <v>1426.19</v>
      </c>
      <c r="E6838" s="1">
        <f>IFERROR(__xludf.DUMMYFUNCTION("""COMPUTED_VALUE"""),1426.19)</f>
        <v>1426.19</v>
      </c>
      <c r="F6838" s="1">
        <f>IFERROR(__xludf.DUMMYFUNCTION("""COMPUTED_VALUE"""),0.0)</f>
        <v>0</v>
      </c>
    </row>
    <row r="6839">
      <c r="A6839" s="2">
        <f>IFERROR(__xludf.DUMMYFUNCTION("""COMPUTED_VALUE"""),41276.666666666664)</f>
        <v>41276.66667</v>
      </c>
      <c r="B6839" s="1">
        <f>IFERROR(__xludf.DUMMYFUNCTION("""COMPUTED_VALUE"""),1426.19)</f>
        <v>1426.19</v>
      </c>
      <c r="C6839" s="1">
        <f>IFERROR(__xludf.DUMMYFUNCTION("""COMPUTED_VALUE"""),1462.43)</f>
        <v>1462.43</v>
      </c>
      <c r="D6839" s="1">
        <f>IFERROR(__xludf.DUMMYFUNCTION("""COMPUTED_VALUE"""),1426.19)</f>
        <v>1426.19</v>
      </c>
      <c r="E6839" s="1">
        <f>IFERROR(__xludf.DUMMYFUNCTION("""COMPUTED_VALUE"""),1462.42)</f>
        <v>1462.42</v>
      </c>
      <c r="F6839" s="1">
        <f>IFERROR(__xludf.DUMMYFUNCTION("""COMPUTED_VALUE"""),0.0)</f>
        <v>0</v>
      </c>
    </row>
    <row r="6840">
      <c r="A6840" s="2">
        <f>IFERROR(__xludf.DUMMYFUNCTION("""COMPUTED_VALUE"""),41277.666666666664)</f>
        <v>41277.66667</v>
      </c>
      <c r="B6840" s="1">
        <f>IFERROR(__xludf.DUMMYFUNCTION("""COMPUTED_VALUE"""),1462.42)</f>
        <v>1462.42</v>
      </c>
      <c r="C6840" s="1">
        <f>IFERROR(__xludf.DUMMYFUNCTION("""COMPUTED_VALUE"""),1465.47)</f>
        <v>1465.47</v>
      </c>
      <c r="D6840" s="1">
        <f>IFERROR(__xludf.DUMMYFUNCTION("""COMPUTED_VALUE"""),1455.53)</f>
        <v>1455.53</v>
      </c>
      <c r="E6840" s="1">
        <f>IFERROR(__xludf.DUMMYFUNCTION("""COMPUTED_VALUE"""),1459.37)</f>
        <v>1459.37</v>
      </c>
      <c r="F6840" s="1">
        <f>IFERROR(__xludf.DUMMYFUNCTION("""COMPUTED_VALUE"""),0.0)</f>
        <v>0</v>
      </c>
    </row>
    <row r="6841">
      <c r="A6841" s="2">
        <f>IFERROR(__xludf.DUMMYFUNCTION("""COMPUTED_VALUE"""),41278.666666666664)</f>
        <v>41278.66667</v>
      </c>
      <c r="B6841" s="1">
        <f>IFERROR(__xludf.DUMMYFUNCTION("""COMPUTED_VALUE"""),1459.37)</f>
        <v>1459.37</v>
      </c>
      <c r="C6841" s="1">
        <f>IFERROR(__xludf.DUMMYFUNCTION("""COMPUTED_VALUE"""),1467.94)</f>
        <v>1467.94</v>
      </c>
      <c r="D6841" s="1">
        <f>IFERROR(__xludf.DUMMYFUNCTION("""COMPUTED_VALUE"""),1458.99)</f>
        <v>1458.99</v>
      </c>
      <c r="E6841" s="1">
        <f>IFERROR(__xludf.DUMMYFUNCTION("""COMPUTED_VALUE"""),1466.47)</f>
        <v>1466.47</v>
      </c>
      <c r="F6841" s="1">
        <f>IFERROR(__xludf.DUMMYFUNCTION("""COMPUTED_VALUE"""),0.0)</f>
        <v>0</v>
      </c>
    </row>
    <row r="6842">
      <c r="A6842" s="2">
        <f>IFERROR(__xludf.DUMMYFUNCTION("""COMPUTED_VALUE"""),41281.666666666664)</f>
        <v>41281.66667</v>
      </c>
      <c r="B6842" s="1">
        <f>IFERROR(__xludf.DUMMYFUNCTION("""COMPUTED_VALUE"""),1466.47)</f>
        <v>1466.47</v>
      </c>
      <c r="C6842" s="1">
        <f>IFERROR(__xludf.DUMMYFUNCTION("""COMPUTED_VALUE"""),1466.47)</f>
        <v>1466.47</v>
      </c>
      <c r="D6842" s="1">
        <f>IFERROR(__xludf.DUMMYFUNCTION("""COMPUTED_VALUE"""),1456.62)</f>
        <v>1456.62</v>
      </c>
      <c r="E6842" s="1">
        <f>IFERROR(__xludf.DUMMYFUNCTION("""COMPUTED_VALUE"""),1461.89)</f>
        <v>1461.89</v>
      </c>
      <c r="F6842" s="1">
        <f>IFERROR(__xludf.DUMMYFUNCTION("""COMPUTED_VALUE"""),0.0)</f>
        <v>0</v>
      </c>
    </row>
    <row r="6843">
      <c r="A6843" s="2">
        <f>IFERROR(__xludf.DUMMYFUNCTION("""COMPUTED_VALUE"""),41282.666666666664)</f>
        <v>41282.66667</v>
      </c>
      <c r="B6843" s="1">
        <f>IFERROR(__xludf.DUMMYFUNCTION("""COMPUTED_VALUE"""),1461.89)</f>
        <v>1461.89</v>
      </c>
      <c r="C6843" s="1">
        <f>IFERROR(__xludf.DUMMYFUNCTION("""COMPUTED_VALUE"""),1461.89)</f>
        <v>1461.89</v>
      </c>
      <c r="D6843" s="1">
        <f>IFERROR(__xludf.DUMMYFUNCTION("""COMPUTED_VALUE"""),1451.64)</f>
        <v>1451.64</v>
      </c>
      <c r="E6843" s="1">
        <f>IFERROR(__xludf.DUMMYFUNCTION("""COMPUTED_VALUE"""),1457.15)</f>
        <v>1457.15</v>
      </c>
      <c r="F6843" s="1">
        <f>IFERROR(__xludf.DUMMYFUNCTION("""COMPUTED_VALUE"""),0.0)</f>
        <v>0</v>
      </c>
    </row>
    <row r="6844">
      <c r="A6844" s="2">
        <f>IFERROR(__xludf.DUMMYFUNCTION("""COMPUTED_VALUE"""),41283.666666666664)</f>
        <v>41283.66667</v>
      </c>
      <c r="B6844" s="1">
        <f>IFERROR(__xludf.DUMMYFUNCTION("""COMPUTED_VALUE"""),1457.15)</f>
        <v>1457.15</v>
      </c>
      <c r="C6844" s="1">
        <f>IFERROR(__xludf.DUMMYFUNCTION("""COMPUTED_VALUE"""),1464.73)</f>
        <v>1464.73</v>
      </c>
      <c r="D6844" s="1">
        <f>IFERROR(__xludf.DUMMYFUNCTION("""COMPUTED_VALUE"""),1457.15)</f>
        <v>1457.15</v>
      </c>
      <c r="E6844" s="1">
        <f>IFERROR(__xludf.DUMMYFUNCTION("""COMPUTED_VALUE"""),1461.02)</f>
        <v>1461.02</v>
      </c>
      <c r="F6844" s="1">
        <f>IFERROR(__xludf.DUMMYFUNCTION("""COMPUTED_VALUE"""),0.0)</f>
        <v>0</v>
      </c>
    </row>
    <row r="6845">
      <c r="A6845" s="2">
        <f>IFERROR(__xludf.DUMMYFUNCTION("""COMPUTED_VALUE"""),41284.666666666664)</f>
        <v>41284.66667</v>
      </c>
      <c r="B6845" s="1">
        <f>IFERROR(__xludf.DUMMYFUNCTION("""COMPUTED_VALUE"""),1461.02)</f>
        <v>1461.02</v>
      </c>
      <c r="C6845" s="1">
        <f>IFERROR(__xludf.DUMMYFUNCTION("""COMPUTED_VALUE"""),1472.3)</f>
        <v>1472.3</v>
      </c>
      <c r="D6845" s="1">
        <f>IFERROR(__xludf.DUMMYFUNCTION("""COMPUTED_VALUE"""),1461.02)</f>
        <v>1461.02</v>
      </c>
      <c r="E6845" s="1">
        <f>IFERROR(__xludf.DUMMYFUNCTION("""COMPUTED_VALUE"""),1472.12)</f>
        <v>1472.12</v>
      </c>
      <c r="F6845" s="1">
        <f>IFERROR(__xludf.DUMMYFUNCTION("""COMPUTED_VALUE"""),0.0)</f>
        <v>0</v>
      </c>
    </row>
    <row r="6846">
      <c r="A6846" s="2">
        <f>IFERROR(__xludf.DUMMYFUNCTION("""COMPUTED_VALUE"""),41285.666666666664)</f>
        <v>41285.66667</v>
      </c>
      <c r="B6846" s="1">
        <f>IFERROR(__xludf.DUMMYFUNCTION("""COMPUTED_VALUE"""),1472.12)</f>
        <v>1472.12</v>
      </c>
      <c r="C6846" s="1">
        <f>IFERROR(__xludf.DUMMYFUNCTION("""COMPUTED_VALUE"""),1472.75)</f>
        <v>1472.75</v>
      </c>
      <c r="D6846" s="1">
        <f>IFERROR(__xludf.DUMMYFUNCTION("""COMPUTED_VALUE"""),1467.58)</f>
        <v>1467.58</v>
      </c>
      <c r="E6846" s="1">
        <f>IFERROR(__xludf.DUMMYFUNCTION("""COMPUTED_VALUE"""),1472.05)</f>
        <v>1472.05</v>
      </c>
      <c r="F6846" s="1">
        <f>IFERROR(__xludf.DUMMYFUNCTION("""COMPUTED_VALUE"""),0.0)</f>
        <v>0</v>
      </c>
    </row>
    <row r="6847">
      <c r="A6847" s="2">
        <f>IFERROR(__xludf.DUMMYFUNCTION("""COMPUTED_VALUE"""),41288.666666666664)</f>
        <v>41288.66667</v>
      </c>
      <c r="B6847" s="1">
        <f>IFERROR(__xludf.DUMMYFUNCTION("""COMPUTED_VALUE"""),1472.05)</f>
        <v>1472.05</v>
      </c>
      <c r="C6847" s="1">
        <f>IFERROR(__xludf.DUMMYFUNCTION("""COMPUTED_VALUE"""),1472.05)</f>
        <v>1472.05</v>
      </c>
      <c r="D6847" s="1">
        <f>IFERROR(__xludf.DUMMYFUNCTION("""COMPUTED_VALUE"""),1465.69)</f>
        <v>1465.69</v>
      </c>
      <c r="E6847" s="1">
        <f>IFERROR(__xludf.DUMMYFUNCTION("""COMPUTED_VALUE"""),1470.68)</f>
        <v>1470.68</v>
      </c>
      <c r="F6847" s="1">
        <f>IFERROR(__xludf.DUMMYFUNCTION("""COMPUTED_VALUE"""),0.0)</f>
        <v>0</v>
      </c>
    </row>
    <row r="6848">
      <c r="A6848" s="2">
        <f>IFERROR(__xludf.DUMMYFUNCTION("""COMPUTED_VALUE"""),41289.666666666664)</f>
        <v>41289.66667</v>
      </c>
      <c r="B6848" s="1">
        <f>IFERROR(__xludf.DUMMYFUNCTION("""COMPUTED_VALUE"""),1470.67)</f>
        <v>1470.67</v>
      </c>
      <c r="C6848" s="1">
        <f>IFERROR(__xludf.DUMMYFUNCTION("""COMPUTED_VALUE"""),1473.31)</f>
        <v>1473.31</v>
      </c>
      <c r="D6848" s="1">
        <f>IFERROR(__xludf.DUMMYFUNCTION("""COMPUTED_VALUE"""),1463.76)</f>
        <v>1463.76</v>
      </c>
      <c r="E6848" s="1">
        <f>IFERROR(__xludf.DUMMYFUNCTION("""COMPUTED_VALUE"""),1472.34)</f>
        <v>1472.34</v>
      </c>
      <c r="F6848" s="1">
        <f>IFERROR(__xludf.DUMMYFUNCTION("""COMPUTED_VALUE"""),0.0)</f>
        <v>0</v>
      </c>
    </row>
    <row r="6849">
      <c r="A6849" s="2">
        <f>IFERROR(__xludf.DUMMYFUNCTION("""COMPUTED_VALUE"""),41290.666666666664)</f>
        <v>41290.66667</v>
      </c>
      <c r="B6849" s="1">
        <f>IFERROR(__xludf.DUMMYFUNCTION("""COMPUTED_VALUE"""),1472.33)</f>
        <v>1472.33</v>
      </c>
      <c r="C6849" s="1">
        <f>IFERROR(__xludf.DUMMYFUNCTION("""COMPUTED_VALUE"""),1473.96)</f>
        <v>1473.96</v>
      </c>
      <c r="D6849" s="1">
        <f>IFERROR(__xludf.DUMMYFUNCTION("""COMPUTED_VALUE"""),1467.6)</f>
        <v>1467.6</v>
      </c>
      <c r="E6849" s="1">
        <f>IFERROR(__xludf.DUMMYFUNCTION("""COMPUTED_VALUE"""),1472.63)</f>
        <v>1472.63</v>
      </c>
      <c r="F6849" s="1">
        <f>IFERROR(__xludf.DUMMYFUNCTION("""COMPUTED_VALUE"""),0.0)</f>
        <v>0</v>
      </c>
    </row>
    <row r="6850">
      <c r="A6850" s="2">
        <f>IFERROR(__xludf.DUMMYFUNCTION("""COMPUTED_VALUE"""),41291.666666666664)</f>
        <v>41291.66667</v>
      </c>
      <c r="B6850" s="1">
        <f>IFERROR(__xludf.DUMMYFUNCTION("""COMPUTED_VALUE"""),1472.63)</f>
        <v>1472.63</v>
      </c>
      <c r="C6850" s="1">
        <f>IFERROR(__xludf.DUMMYFUNCTION("""COMPUTED_VALUE"""),1485.16)</f>
        <v>1485.16</v>
      </c>
      <c r="D6850" s="1">
        <f>IFERROR(__xludf.DUMMYFUNCTION("""COMPUTED_VALUE"""),1472.63)</f>
        <v>1472.63</v>
      </c>
      <c r="E6850" s="1">
        <f>IFERROR(__xludf.DUMMYFUNCTION("""COMPUTED_VALUE"""),1480.94)</f>
        <v>1480.94</v>
      </c>
      <c r="F6850" s="1">
        <f>IFERROR(__xludf.DUMMYFUNCTION("""COMPUTED_VALUE"""),0.0)</f>
        <v>0</v>
      </c>
    </row>
    <row r="6851">
      <c r="A6851" s="2">
        <f>IFERROR(__xludf.DUMMYFUNCTION("""COMPUTED_VALUE"""),41292.666666666664)</f>
        <v>41292.66667</v>
      </c>
      <c r="B6851" s="1">
        <f>IFERROR(__xludf.DUMMYFUNCTION("""COMPUTED_VALUE"""),1480.95)</f>
        <v>1480.95</v>
      </c>
      <c r="C6851" s="1">
        <f>IFERROR(__xludf.DUMMYFUNCTION("""COMPUTED_VALUE"""),1485.98)</f>
        <v>1485.98</v>
      </c>
      <c r="D6851" s="1">
        <f>IFERROR(__xludf.DUMMYFUNCTION("""COMPUTED_VALUE"""),1475.81)</f>
        <v>1475.81</v>
      </c>
      <c r="E6851" s="1">
        <f>IFERROR(__xludf.DUMMYFUNCTION("""COMPUTED_VALUE"""),1485.98)</f>
        <v>1485.98</v>
      </c>
      <c r="F6851" s="1">
        <f>IFERROR(__xludf.DUMMYFUNCTION("""COMPUTED_VALUE"""),0.0)</f>
        <v>0</v>
      </c>
    </row>
    <row r="6852">
      <c r="A6852" s="2">
        <f>IFERROR(__xludf.DUMMYFUNCTION("""COMPUTED_VALUE"""),41295.666666666664)</f>
        <v>41295.66667</v>
      </c>
      <c r="B6852" s="1">
        <f>IFERROR(__xludf.DUMMYFUNCTION("""COMPUTED_VALUE"""),1485.98)</f>
        <v>1485.98</v>
      </c>
      <c r="C6852" s="1">
        <f>IFERROR(__xludf.DUMMYFUNCTION("""COMPUTED_VALUE"""),1485.98)</f>
        <v>1485.98</v>
      </c>
      <c r="D6852" s="1">
        <f>IFERROR(__xludf.DUMMYFUNCTION("""COMPUTED_VALUE"""),1485.98)</f>
        <v>1485.98</v>
      </c>
      <c r="E6852" s="1">
        <f>IFERROR(__xludf.DUMMYFUNCTION("""COMPUTED_VALUE"""),1485.98)</f>
        <v>1485.98</v>
      </c>
      <c r="F6852" s="1">
        <f>IFERROR(__xludf.DUMMYFUNCTION("""COMPUTED_VALUE"""),0.0)</f>
        <v>0</v>
      </c>
    </row>
    <row r="6853">
      <c r="A6853" s="2">
        <f>IFERROR(__xludf.DUMMYFUNCTION("""COMPUTED_VALUE"""),41296.666666666664)</f>
        <v>41296.66667</v>
      </c>
      <c r="B6853" s="1">
        <f>IFERROR(__xludf.DUMMYFUNCTION("""COMPUTED_VALUE"""),1485.98)</f>
        <v>1485.98</v>
      </c>
      <c r="C6853" s="1">
        <f>IFERROR(__xludf.DUMMYFUNCTION("""COMPUTED_VALUE"""),1492.56)</f>
        <v>1492.56</v>
      </c>
      <c r="D6853" s="1">
        <f>IFERROR(__xludf.DUMMYFUNCTION("""COMPUTED_VALUE"""),1481.16)</f>
        <v>1481.16</v>
      </c>
      <c r="E6853" s="1">
        <f>IFERROR(__xludf.DUMMYFUNCTION("""COMPUTED_VALUE"""),1492.56)</f>
        <v>1492.56</v>
      </c>
      <c r="F6853" s="1">
        <f>IFERROR(__xludf.DUMMYFUNCTION("""COMPUTED_VALUE"""),0.0)</f>
        <v>0</v>
      </c>
    </row>
    <row r="6854">
      <c r="A6854" s="2">
        <f>IFERROR(__xludf.DUMMYFUNCTION("""COMPUTED_VALUE"""),41297.666666666664)</f>
        <v>41297.66667</v>
      </c>
      <c r="B6854" s="1">
        <f>IFERROR(__xludf.DUMMYFUNCTION("""COMPUTED_VALUE"""),1492.56)</f>
        <v>1492.56</v>
      </c>
      <c r="C6854" s="1">
        <f>IFERROR(__xludf.DUMMYFUNCTION("""COMPUTED_VALUE"""),1496.13)</f>
        <v>1496.13</v>
      </c>
      <c r="D6854" s="1">
        <f>IFERROR(__xludf.DUMMYFUNCTION("""COMPUTED_VALUE"""),1489.9)</f>
        <v>1489.9</v>
      </c>
      <c r="E6854" s="1">
        <f>IFERROR(__xludf.DUMMYFUNCTION("""COMPUTED_VALUE"""),1494.81)</f>
        <v>1494.81</v>
      </c>
      <c r="F6854" s="1">
        <f>IFERROR(__xludf.DUMMYFUNCTION("""COMPUTED_VALUE"""),0.0)</f>
        <v>0</v>
      </c>
    </row>
    <row r="6855">
      <c r="A6855" s="2">
        <f>IFERROR(__xludf.DUMMYFUNCTION("""COMPUTED_VALUE"""),41298.666666666664)</f>
        <v>41298.66667</v>
      </c>
      <c r="B6855" s="1">
        <f>IFERROR(__xludf.DUMMYFUNCTION("""COMPUTED_VALUE"""),1494.81)</f>
        <v>1494.81</v>
      </c>
      <c r="C6855" s="1">
        <f>IFERROR(__xludf.DUMMYFUNCTION("""COMPUTED_VALUE"""),1502.27)</f>
        <v>1502.27</v>
      </c>
      <c r="D6855" s="1">
        <f>IFERROR(__xludf.DUMMYFUNCTION("""COMPUTED_VALUE"""),1489.46)</f>
        <v>1489.46</v>
      </c>
      <c r="E6855" s="1">
        <f>IFERROR(__xludf.DUMMYFUNCTION("""COMPUTED_VALUE"""),1494.82)</f>
        <v>1494.82</v>
      </c>
      <c r="F6855" s="1">
        <f>IFERROR(__xludf.DUMMYFUNCTION("""COMPUTED_VALUE"""),0.0)</f>
        <v>0</v>
      </c>
    </row>
    <row r="6856">
      <c r="A6856" s="2">
        <f>IFERROR(__xludf.DUMMYFUNCTION("""COMPUTED_VALUE"""),41299.666666666664)</f>
        <v>41299.66667</v>
      </c>
      <c r="B6856" s="1">
        <f>IFERROR(__xludf.DUMMYFUNCTION("""COMPUTED_VALUE"""),1494.82)</f>
        <v>1494.82</v>
      </c>
      <c r="C6856" s="1">
        <f>IFERROR(__xludf.DUMMYFUNCTION("""COMPUTED_VALUE"""),1503.26)</f>
        <v>1503.26</v>
      </c>
      <c r="D6856" s="1">
        <f>IFERROR(__xludf.DUMMYFUNCTION("""COMPUTED_VALUE"""),1494.82)</f>
        <v>1494.82</v>
      </c>
      <c r="E6856" s="1">
        <f>IFERROR(__xludf.DUMMYFUNCTION("""COMPUTED_VALUE"""),1502.96)</f>
        <v>1502.96</v>
      </c>
      <c r="F6856" s="1">
        <f>IFERROR(__xludf.DUMMYFUNCTION("""COMPUTED_VALUE"""),0.0)</f>
        <v>0</v>
      </c>
    </row>
    <row r="6857">
      <c r="A6857" s="2">
        <f>IFERROR(__xludf.DUMMYFUNCTION("""COMPUTED_VALUE"""),41302.666666666664)</f>
        <v>41302.66667</v>
      </c>
      <c r="B6857" s="1">
        <f>IFERROR(__xludf.DUMMYFUNCTION("""COMPUTED_VALUE"""),1502.96)</f>
        <v>1502.96</v>
      </c>
      <c r="C6857" s="1">
        <f>IFERROR(__xludf.DUMMYFUNCTION("""COMPUTED_VALUE"""),1503.23)</f>
        <v>1503.23</v>
      </c>
      <c r="D6857" s="1">
        <f>IFERROR(__xludf.DUMMYFUNCTION("""COMPUTED_VALUE"""),1496.33)</f>
        <v>1496.33</v>
      </c>
      <c r="E6857" s="1">
        <f>IFERROR(__xludf.DUMMYFUNCTION("""COMPUTED_VALUE"""),1500.18)</f>
        <v>1500.18</v>
      </c>
      <c r="F6857" s="1">
        <f>IFERROR(__xludf.DUMMYFUNCTION("""COMPUTED_VALUE"""),0.0)</f>
        <v>0</v>
      </c>
    </row>
    <row r="6858">
      <c r="A6858" s="2">
        <f>IFERROR(__xludf.DUMMYFUNCTION("""COMPUTED_VALUE"""),41303.666666666664)</f>
        <v>41303.66667</v>
      </c>
      <c r="B6858" s="1">
        <f>IFERROR(__xludf.DUMMYFUNCTION("""COMPUTED_VALUE"""),1500.18)</f>
        <v>1500.18</v>
      </c>
      <c r="C6858" s="1">
        <f>IFERROR(__xludf.DUMMYFUNCTION("""COMPUTED_VALUE"""),1509.35)</f>
        <v>1509.35</v>
      </c>
      <c r="D6858" s="1">
        <f>IFERROR(__xludf.DUMMYFUNCTION("""COMPUTED_VALUE"""),1498.09)</f>
        <v>1498.09</v>
      </c>
      <c r="E6858" s="1">
        <f>IFERROR(__xludf.DUMMYFUNCTION("""COMPUTED_VALUE"""),1507.84)</f>
        <v>1507.84</v>
      </c>
      <c r="F6858" s="1">
        <f>IFERROR(__xludf.DUMMYFUNCTION("""COMPUTED_VALUE"""),0.0)</f>
        <v>0</v>
      </c>
    </row>
    <row r="6859">
      <c r="A6859" s="2">
        <f>IFERROR(__xludf.DUMMYFUNCTION("""COMPUTED_VALUE"""),41304.666666666664)</f>
        <v>41304.66667</v>
      </c>
      <c r="B6859" s="1">
        <f>IFERROR(__xludf.DUMMYFUNCTION("""COMPUTED_VALUE"""),1507.84)</f>
        <v>1507.84</v>
      </c>
      <c r="C6859" s="1">
        <f>IFERROR(__xludf.DUMMYFUNCTION("""COMPUTED_VALUE"""),1509.94)</f>
        <v>1509.94</v>
      </c>
      <c r="D6859" s="1">
        <f>IFERROR(__xludf.DUMMYFUNCTION("""COMPUTED_VALUE"""),1500.11)</f>
        <v>1500.11</v>
      </c>
      <c r="E6859" s="1">
        <f>IFERROR(__xludf.DUMMYFUNCTION("""COMPUTED_VALUE"""),1501.96)</f>
        <v>1501.96</v>
      </c>
      <c r="F6859" s="1">
        <f>IFERROR(__xludf.DUMMYFUNCTION("""COMPUTED_VALUE"""),0.0)</f>
        <v>0</v>
      </c>
    </row>
    <row r="6860">
      <c r="A6860" s="2">
        <f>IFERROR(__xludf.DUMMYFUNCTION("""COMPUTED_VALUE"""),41305.666666666664)</f>
        <v>41305.66667</v>
      </c>
      <c r="B6860" s="1">
        <f>IFERROR(__xludf.DUMMYFUNCTION("""COMPUTED_VALUE"""),1501.96)</f>
        <v>1501.96</v>
      </c>
      <c r="C6860" s="1">
        <f>IFERROR(__xludf.DUMMYFUNCTION("""COMPUTED_VALUE"""),1504.19)</f>
        <v>1504.19</v>
      </c>
      <c r="D6860" s="1">
        <f>IFERROR(__xludf.DUMMYFUNCTION("""COMPUTED_VALUE"""),1496.76)</f>
        <v>1496.76</v>
      </c>
      <c r="E6860" s="1">
        <f>IFERROR(__xludf.DUMMYFUNCTION("""COMPUTED_VALUE"""),1498.11)</f>
        <v>1498.11</v>
      </c>
      <c r="F6860" s="1">
        <f>IFERROR(__xludf.DUMMYFUNCTION("""COMPUTED_VALUE"""),0.0)</f>
        <v>0</v>
      </c>
    </row>
    <row r="6861">
      <c r="A6861" s="2">
        <f>IFERROR(__xludf.DUMMYFUNCTION("""COMPUTED_VALUE"""),41306.666666666664)</f>
        <v>41306.66667</v>
      </c>
      <c r="B6861" s="1">
        <f>IFERROR(__xludf.DUMMYFUNCTION("""COMPUTED_VALUE"""),1498.11)</f>
        <v>1498.11</v>
      </c>
      <c r="C6861" s="1">
        <f>IFERROR(__xludf.DUMMYFUNCTION("""COMPUTED_VALUE"""),1514.41)</f>
        <v>1514.41</v>
      </c>
      <c r="D6861" s="1">
        <f>IFERROR(__xludf.DUMMYFUNCTION("""COMPUTED_VALUE"""),1498.11)</f>
        <v>1498.11</v>
      </c>
      <c r="E6861" s="1">
        <f>IFERROR(__xludf.DUMMYFUNCTION("""COMPUTED_VALUE"""),1513.17)</f>
        <v>1513.17</v>
      </c>
      <c r="F6861" s="1">
        <f>IFERROR(__xludf.DUMMYFUNCTION("""COMPUTED_VALUE"""),0.0)</f>
        <v>0</v>
      </c>
    </row>
    <row r="6862">
      <c r="A6862" s="2">
        <f>IFERROR(__xludf.DUMMYFUNCTION("""COMPUTED_VALUE"""),41309.666666666664)</f>
        <v>41309.66667</v>
      </c>
      <c r="B6862" s="1">
        <f>IFERROR(__xludf.DUMMYFUNCTION("""COMPUTED_VALUE"""),1513.17)</f>
        <v>1513.17</v>
      </c>
      <c r="C6862" s="1">
        <f>IFERROR(__xludf.DUMMYFUNCTION("""COMPUTED_VALUE"""),1513.17)</f>
        <v>1513.17</v>
      </c>
      <c r="D6862" s="1">
        <f>IFERROR(__xludf.DUMMYFUNCTION("""COMPUTED_VALUE"""),1495.02)</f>
        <v>1495.02</v>
      </c>
      <c r="E6862" s="1">
        <f>IFERROR(__xludf.DUMMYFUNCTION("""COMPUTED_VALUE"""),1495.71)</f>
        <v>1495.71</v>
      </c>
      <c r="F6862" s="1">
        <f>IFERROR(__xludf.DUMMYFUNCTION("""COMPUTED_VALUE"""),0.0)</f>
        <v>0</v>
      </c>
    </row>
    <row r="6863">
      <c r="A6863" s="2">
        <f>IFERROR(__xludf.DUMMYFUNCTION("""COMPUTED_VALUE"""),41310.666666666664)</f>
        <v>41310.66667</v>
      </c>
      <c r="B6863" s="1">
        <f>IFERROR(__xludf.DUMMYFUNCTION("""COMPUTED_VALUE"""),1495.71)</f>
        <v>1495.71</v>
      </c>
      <c r="C6863" s="1">
        <f>IFERROR(__xludf.DUMMYFUNCTION("""COMPUTED_VALUE"""),1514.96)</f>
        <v>1514.96</v>
      </c>
      <c r="D6863" s="1">
        <f>IFERROR(__xludf.DUMMYFUNCTION("""COMPUTED_VALUE"""),1495.71)</f>
        <v>1495.71</v>
      </c>
      <c r="E6863" s="1">
        <f>IFERROR(__xludf.DUMMYFUNCTION("""COMPUTED_VALUE"""),1511.29)</f>
        <v>1511.29</v>
      </c>
      <c r="F6863" s="1">
        <f>IFERROR(__xludf.DUMMYFUNCTION("""COMPUTED_VALUE"""),0.0)</f>
        <v>0</v>
      </c>
    </row>
    <row r="6864">
      <c r="A6864" s="2">
        <f>IFERROR(__xludf.DUMMYFUNCTION("""COMPUTED_VALUE"""),41311.666666666664)</f>
        <v>41311.66667</v>
      </c>
      <c r="B6864" s="1">
        <f>IFERROR(__xludf.DUMMYFUNCTION("""COMPUTED_VALUE"""),1511.29)</f>
        <v>1511.29</v>
      </c>
      <c r="C6864" s="1">
        <f>IFERROR(__xludf.DUMMYFUNCTION("""COMPUTED_VALUE"""),1512.53)</f>
        <v>1512.53</v>
      </c>
      <c r="D6864" s="1">
        <f>IFERROR(__xludf.DUMMYFUNCTION("""COMPUTED_VALUE"""),1504.71)</f>
        <v>1504.71</v>
      </c>
      <c r="E6864" s="1">
        <f>IFERROR(__xludf.DUMMYFUNCTION("""COMPUTED_VALUE"""),1512.12)</f>
        <v>1512.12</v>
      </c>
      <c r="F6864" s="1">
        <f>IFERROR(__xludf.DUMMYFUNCTION("""COMPUTED_VALUE"""),0.0)</f>
        <v>0</v>
      </c>
    </row>
    <row r="6865">
      <c r="A6865" s="2">
        <f>IFERROR(__xludf.DUMMYFUNCTION("""COMPUTED_VALUE"""),41312.666666666664)</f>
        <v>41312.66667</v>
      </c>
      <c r="B6865" s="1">
        <f>IFERROR(__xludf.DUMMYFUNCTION("""COMPUTED_VALUE"""),1512.12)</f>
        <v>1512.12</v>
      </c>
      <c r="C6865" s="1">
        <f>IFERROR(__xludf.DUMMYFUNCTION("""COMPUTED_VALUE"""),1512.9)</f>
        <v>1512.9</v>
      </c>
      <c r="D6865" s="1">
        <f>IFERROR(__xludf.DUMMYFUNCTION("""COMPUTED_VALUE"""),1498.49)</f>
        <v>1498.49</v>
      </c>
      <c r="E6865" s="1">
        <f>IFERROR(__xludf.DUMMYFUNCTION("""COMPUTED_VALUE"""),1509.39)</f>
        <v>1509.39</v>
      </c>
      <c r="F6865" s="1">
        <f>IFERROR(__xludf.DUMMYFUNCTION("""COMPUTED_VALUE"""),0.0)</f>
        <v>0</v>
      </c>
    </row>
    <row r="6866">
      <c r="A6866" s="2">
        <f>IFERROR(__xludf.DUMMYFUNCTION("""COMPUTED_VALUE"""),41313.666666666664)</f>
        <v>41313.66667</v>
      </c>
      <c r="B6866" s="1">
        <f>IFERROR(__xludf.DUMMYFUNCTION("""COMPUTED_VALUE"""),1509.39)</f>
        <v>1509.39</v>
      </c>
      <c r="C6866" s="1">
        <f>IFERROR(__xludf.DUMMYFUNCTION("""COMPUTED_VALUE"""),1518.31)</f>
        <v>1518.31</v>
      </c>
      <c r="D6866" s="1">
        <f>IFERROR(__xludf.DUMMYFUNCTION("""COMPUTED_VALUE"""),1509.39)</f>
        <v>1509.39</v>
      </c>
      <c r="E6866" s="1">
        <f>IFERROR(__xludf.DUMMYFUNCTION("""COMPUTED_VALUE"""),1517.93)</f>
        <v>1517.93</v>
      </c>
      <c r="F6866" s="1">
        <f>IFERROR(__xludf.DUMMYFUNCTION("""COMPUTED_VALUE"""),0.0)</f>
        <v>0</v>
      </c>
    </row>
    <row r="6867">
      <c r="A6867" s="2">
        <f>IFERROR(__xludf.DUMMYFUNCTION("""COMPUTED_VALUE"""),41316.666666666664)</f>
        <v>41316.66667</v>
      </c>
      <c r="B6867" s="1">
        <f>IFERROR(__xludf.DUMMYFUNCTION("""COMPUTED_VALUE"""),1517.93)</f>
        <v>1517.93</v>
      </c>
      <c r="C6867" s="1">
        <f>IFERROR(__xludf.DUMMYFUNCTION("""COMPUTED_VALUE"""),1518.31)</f>
        <v>1518.31</v>
      </c>
      <c r="D6867" s="1">
        <f>IFERROR(__xludf.DUMMYFUNCTION("""COMPUTED_VALUE"""),1513.61)</f>
        <v>1513.61</v>
      </c>
      <c r="E6867" s="1">
        <f>IFERROR(__xludf.DUMMYFUNCTION("""COMPUTED_VALUE"""),1517.01)</f>
        <v>1517.01</v>
      </c>
      <c r="F6867" s="1">
        <f>IFERROR(__xludf.DUMMYFUNCTION("""COMPUTED_VALUE"""),0.0)</f>
        <v>0</v>
      </c>
    </row>
    <row r="6868">
      <c r="A6868" s="2">
        <f>IFERROR(__xludf.DUMMYFUNCTION("""COMPUTED_VALUE"""),41317.666666666664)</f>
        <v>41317.66667</v>
      </c>
      <c r="B6868" s="1">
        <f>IFERROR(__xludf.DUMMYFUNCTION("""COMPUTED_VALUE"""),1517.01)</f>
        <v>1517.01</v>
      </c>
      <c r="C6868" s="1">
        <f>IFERROR(__xludf.DUMMYFUNCTION("""COMPUTED_VALUE"""),1522.29)</f>
        <v>1522.29</v>
      </c>
      <c r="D6868" s="1">
        <f>IFERROR(__xludf.DUMMYFUNCTION("""COMPUTED_VALUE"""),1515.61)</f>
        <v>1515.61</v>
      </c>
      <c r="E6868" s="1">
        <f>IFERROR(__xludf.DUMMYFUNCTION("""COMPUTED_VALUE"""),1519.43)</f>
        <v>1519.43</v>
      </c>
      <c r="F6868" s="1">
        <f>IFERROR(__xludf.DUMMYFUNCTION("""COMPUTED_VALUE"""),0.0)</f>
        <v>0</v>
      </c>
    </row>
    <row r="6869">
      <c r="A6869" s="2">
        <f>IFERROR(__xludf.DUMMYFUNCTION("""COMPUTED_VALUE"""),41318.666666666664)</f>
        <v>41318.66667</v>
      </c>
      <c r="B6869" s="1">
        <f>IFERROR(__xludf.DUMMYFUNCTION("""COMPUTED_VALUE"""),1519.43)</f>
        <v>1519.43</v>
      </c>
      <c r="C6869" s="1">
        <f>IFERROR(__xludf.DUMMYFUNCTION("""COMPUTED_VALUE"""),1524.69)</f>
        <v>1524.69</v>
      </c>
      <c r="D6869" s="1">
        <f>IFERROR(__xludf.DUMMYFUNCTION("""COMPUTED_VALUE"""),1515.93)</f>
        <v>1515.93</v>
      </c>
      <c r="E6869" s="1">
        <f>IFERROR(__xludf.DUMMYFUNCTION("""COMPUTED_VALUE"""),1520.33)</f>
        <v>1520.33</v>
      </c>
      <c r="F6869" s="1">
        <f>IFERROR(__xludf.DUMMYFUNCTION("""COMPUTED_VALUE"""),0.0)</f>
        <v>0</v>
      </c>
    </row>
    <row r="6870">
      <c r="A6870" s="2">
        <f>IFERROR(__xludf.DUMMYFUNCTION("""COMPUTED_VALUE"""),41319.666666666664)</f>
        <v>41319.66667</v>
      </c>
      <c r="B6870" s="1">
        <f>IFERROR(__xludf.DUMMYFUNCTION("""COMPUTED_VALUE"""),1520.33)</f>
        <v>1520.33</v>
      </c>
      <c r="C6870" s="1">
        <f>IFERROR(__xludf.DUMMYFUNCTION("""COMPUTED_VALUE"""),1523.14)</f>
        <v>1523.14</v>
      </c>
      <c r="D6870" s="1">
        <f>IFERROR(__xludf.DUMMYFUNCTION("""COMPUTED_VALUE"""),1514.02)</f>
        <v>1514.02</v>
      </c>
      <c r="E6870" s="1">
        <f>IFERROR(__xludf.DUMMYFUNCTION("""COMPUTED_VALUE"""),1521.38)</f>
        <v>1521.38</v>
      </c>
      <c r="F6870" s="1">
        <f>IFERROR(__xludf.DUMMYFUNCTION("""COMPUTED_VALUE"""),0.0)</f>
        <v>0</v>
      </c>
    </row>
    <row r="6871">
      <c r="A6871" s="2">
        <f>IFERROR(__xludf.DUMMYFUNCTION("""COMPUTED_VALUE"""),41320.666666666664)</f>
        <v>41320.66667</v>
      </c>
      <c r="B6871" s="1">
        <f>IFERROR(__xludf.DUMMYFUNCTION("""COMPUTED_VALUE"""),1521.38)</f>
        <v>1521.38</v>
      </c>
      <c r="C6871" s="1">
        <f>IFERROR(__xludf.DUMMYFUNCTION("""COMPUTED_VALUE"""),1524.24)</f>
        <v>1524.24</v>
      </c>
      <c r="D6871" s="1">
        <f>IFERROR(__xludf.DUMMYFUNCTION("""COMPUTED_VALUE"""),1514.14)</f>
        <v>1514.14</v>
      </c>
      <c r="E6871" s="1">
        <f>IFERROR(__xludf.DUMMYFUNCTION("""COMPUTED_VALUE"""),1519.79)</f>
        <v>1519.79</v>
      </c>
      <c r="F6871" s="1">
        <f>IFERROR(__xludf.DUMMYFUNCTION("""COMPUTED_VALUE"""),0.0)</f>
        <v>0</v>
      </c>
    </row>
    <row r="6872">
      <c r="A6872" s="2">
        <f>IFERROR(__xludf.DUMMYFUNCTION("""COMPUTED_VALUE"""),41324.666666666664)</f>
        <v>41324.66667</v>
      </c>
      <c r="B6872" s="1">
        <f>IFERROR(__xludf.DUMMYFUNCTION("""COMPUTED_VALUE"""),1519.79)</f>
        <v>1519.79</v>
      </c>
      <c r="C6872" s="1">
        <f>IFERROR(__xludf.DUMMYFUNCTION("""COMPUTED_VALUE"""),1530.94)</f>
        <v>1530.94</v>
      </c>
      <c r="D6872" s="1">
        <f>IFERROR(__xludf.DUMMYFUNCTION("""COMPUTED_VALUE"""),1519.79)</f>
        <v>1519.79</v>
      </c>
      <c r="E6872" s="1">
        <f>IFERROR(__xludf.DUMMYFUNCTION("""COMPUTED_VALUE"""),1530.94)</f>
        <v>1530.94</v>
      </c>
      <c r="F6872" s="1">
        <f>IFERROR(__xludf.DUMMYFUNCTION("""COMPUTED_VALUE"""),0.0)</f>
        <v>0</v>
      </c>
    </row>
    <row r="6873">
      <c r="A6873" s="2">
        <f>IFERROR(__xludf.DUMMYFUNCTION("""COMPUTED_VALUE"""),41325.666666666664)</f>
        <v>41325.66667</v>
      </c>
      <c r="B6873" s="1">
        <f>IFERROR(__xludf.DUMMYFUNCTION("""COMPUTED_VALUE"""),1530.94)</f>
        <v>1530.94</v>
      </c>
      <c r="C6873" s="1">
        <f>IFERROR(__xludf.DUMMYFUNCTION("""COMPUTED_VALUE"""),1530.94)</f>
        <v>1530.94</v>
      </c>
      <c r="D6873" s="1">
        <f>IFERROR(__xludf.DUMMYFUNCTION("""COMPUTED_VALUE"""),1511.41)</f>
        <v>1511.41</v>
      </c>
      <c r="E6873" s="1">
        <f>IFERROR(__xludf.DUMMYFUNCTION("""COMPUTED_VALUE"""),1511.95)</f>
        <v>1511.95</v>
      </c>
      <c r="F6873" s="1">
        <f>IFERROR(__xludf.DUMMYFUNCTION("""COMPUTED_VALUE"""),0.0)</f>
        <v>0</v>
      </c>
    </row>
    <row r="6874">
      <c r="A6874" s="2">
        <f>IFERROR(__xludf.DUMMYFUNCTION("""COMPUTED_VALUE"""),41326.666666666664)</f>
        <v>41326.66667</v>
      </c>
      <c r="B6874" s="1">
        <f>IFERROR(__xludf.DUMMYFUNCTION("""COMPUTED_VALUE"""),1511.95)</f>
        <v>1511.95</v>
      </c>
      <c r="C6874" s="1">
        <f>IFERROR(__xludf.DUMMYFUNCTION("""COMPUTED_VALUE"""),1511.95)</f>
        <v>1511.95</v>
      </c>
      <c r="D6874" s="1">
        <f>IFERROR(__xludf.DUMMYFUNCTION("""COMPUTED_VALUE"""),1497.29)</f>
        <v>1497.29</v>
      </c>
      <c r="E6874" s="1">
        <f>IFERROR(__xludf.DUMMYFUNCTION("""COMPUTED_VALUE"""),1502.42)</f>
        <v>1502.42</v>
      </c>
      <c r="F6874" s="1">
        <f>IFERROR(__xludf.DUMMYFUNCTION("""COMPUTED_VALUE"""),0.0)</f>
        <v>0</v>
      </c>
    </row>
    <row r="6875">
      <c r="A6875" s="2">
        <f>IFERROR(__xludf.DUMMYFUNCTION("""COMPUTED_VALUE"""),41327.666666666664)</f>
        <v>41327.66667</v>
      </c>
      <c r="B6875" s="1">
        <f>IFERROR(__xludf.DUMMYFUNCTION("""COMPUTED_VALUE"""),1502.42)</f>
        <v>1502.42</v>
      </c>
      <c r="C6875" s="1">
        <f>IFERROR(__xludf.DUMMYFUNCTION("""COMPUTED_VALUE"""),1515.64)</f>
        <v>1515.64</v>
      </c>
      <c r="D6875" s="1">
        <f>IFERROR(__xludf.DUMMYFUNCTION("""COMPUTED_VALUE"""),1502.42)</f>
        <v>1502.42</v>
      </c>
      <c r="E6875" s="1">
        <f>IFERROR(__xludf.DUMMYFUNCTION("""COMPUTED_VALUE"""),1515.6)</f>
        <v>1515.6</v>
      </c>
      <c r="F6875" s="1">
        <f>IFERROR(__xludf.DUMMYFUNCTION("""COMPUTED_VALUE"""),0.0)</f>
        <v>0</v>
      </c>
    </row>
    <row r="6876">
      <c r="A6876" s="2">
        <f>IFERROR(__xludf.DUMMYFUNCTION("""COMPUTED_VALUE"""),41330.666666666664)</f>
        <v>41330.66667</v>
      </c>
      <c r="B6876" s="1">
        <f>IFERROR(__xludf.DUMMYFUNCTION("""COMPUTED_VALUE"""),1515.6)</f>
        <v>1515.6</v>
      </c>
      <c r="C6876" s="1">
        <f>IFERROR(__xludf.DUMMYFUNCTION("""COMPUTED_VALUE"""),1525.84)</f>
        <v>1525.84</v>
      </c>
      <c r="D6876" s="1">
        <f>IFERROR(__xludf.DUMMYFUNCTION("""COMPUTED_VALUE"""),1487.85)</f>
        <v>1487.85</v>
      </c>
      <c r="E6876" s="1">
        <f>IFERROR(__xludf.DUMMYFUNCTION("""COMPUTED_VALUE"""),1487.85)</f>
        <v>1487.85</v>
      </c>
      <c r="F6876" s="1">
        <f>IFERROR(__xludf.DUMMYFUNCTION("""COMPUTED_VALUE"""),0.0)</f>
        <v>0</v>
      </c>
    </row>
    <row r="6877">
      <c r="A6877" s="2">
        <f>IFERROR(__xludf.DUMMYFUNCTION("""COMPUTED_VALUE"""),41331.666666666664)</f>
        <v>41331.66667</v>
      </c>
      <c r="B6877" s="1">
        <f>IFERROR(__xludf.DUMMYFUNCTION("""COMPUTED_VALUE"""),1487.85)</f>
        <v>1487.85</v>
      </c>
      <c r="C6877" s="1">
        <f>IFERROR(__xludf.DUMMYFUNCTION("""COMPUTED_VALUE"""),1498.99)</f>
        <v>1498.99</v>
      </c>
      <c r="D6877" s="1">
        <f>IFERROR(__xludf.DUMMYFUNCTION("""COMPUTED_VALUE"""),1485.01)</f>
        <v>1485.01</v>
      </c>
      <c r="E6877" s="1">
        <f>IFERROR(__xludf.DUMMYFUNCTION("""COMPUTED_VALUE"""),1496.94)</f>
        <v>1496.94</v>
      </c>
      <c r="F6877" s="1">
        <f>IFERROR(__xludf.DUMMYFUNCTION("""COMPUTED_VALUE"""),0.0)</f>
        <v>0</v>
      </c>
    </row>
    <row r="6878">
      <c r="A6878" s="2">
        <f>IFERROR(__xludf.DUMMYFUNCTION("""COMPUTED_VALUE"""),41332.666666666664)</f>
        <v>41332.66667</v>
      </c>
      <c r="B6878" s="1">
        <f>IFERROR(__xludf.DUMMYFUNCTION("""COMPUTED_VALUE"""),1496.94)</f>
        <v>1496.94</v>
      </c>
      <c r="C6878" s="1">
        <f>IFERROR(__xludf.DUMMYFUNCTION("""COMPUTED_VALUE"""),1520.08)</f>
        <v>1520.08</v>
      </c>
      <c r="D6878" s="1">
        <f>IFERROR(__xludf.DUMMYFUNCTION("""COMPUTED_VALUE"""),1494.88)</f>
        <v>1494.88</v>
      </c>
      <c r="E6878" s="1">
        <f>IFERROR(__xludf.DUMMYFUNCTION("""COMPUTED_VALUE"""),1515.99)</f>
        <v>1515.99</v>
      </c>
      <c r="F6878" s="1">
        <f>IFERROR(__xludf.DUMMYFUNCTION("""COMPUTED_VALUE"""),0.0)</f>
        <v>0</v>
      </c>
    </row>
    <row r="6879">
      <c r="A6879" s="2">
        <f>IFERROR(__xludf.DUMMYFUNCTION("""COMPUTED_VALUE"""),41333.666666666664)</f>
        <v>41333.66667</v>
      </c>
      <c r="B6879" s="1">
        <f>IFERROR(__xludf.DUMMYFUNCTION("""COMPUTED_VALUE"""),1515.99)</f>
        <v>1515.99</v>
      </c>
      <c r="C6879" s="1">
        <f>IFERROR(__xludf.DUMMYFUNCTION("""COMPUTED_VALUE"""),1525.34)</f>
        <v>1525.34</v>
      </c>
      <c r="D6879" s="1">
        <f>IFERROR(__xludf.DUMMYFUNCTION("""COMPUTED_VALUE"""),1514.46)</f>
        <v>1514.46</v>
      </c>
      <c r="E6879" s="1">
        <f>IFERROR(__xludf.DUMMYFUNCTION("""COMPUTED_VALUE"""),1514.68)</f>
        <v>1514.68</v>
      </c>
      <c r="F6879" s="1">
        <f>IFERROR(__xludf.DUMMYFUNCTION("""COMPUTED_VALUE"""),0.0)</f>
        <v>0</v>
      </c>
    </row>
    <row r="6880">
      <c r="A6880" s="2">
        <f>IFERROR(__xludf.DUMMYFUNCTION("""COMPUTED_VALUE"""),41334.666666666664)</f>
        <v>41334.66667</v>
      </c>
      <c r="B6880" s="1">
        <f>IFERROR(__xludf.DUMMYFUNCTION("""COMPUTED_VALUE"""),1514.68)</f>
        <v>1514.68</v>
      </c>
      <c r="C6880" s="1">
        <f>IFERROR(__xludf.DUMMYFUNCTION("""COMPUTED_VALUE"""),1519.99)</f>
        <v>1519.99</v>
      </c>
      <c r="D6880" s="1">
        <f>IFERROR(__xludf.DUMMYFUNCTION("""COMPUTED_VALUE"""),1501.48)</f>
        <v>1501.48</v>
      </c>
      <c r="E6880" s="1">
        <f>IFERROR(__xludf.DUMMYFUNCTION("""COMPUTED_VALUE"""),1518.2)</f>
        <v>1518.2</v>
      </c>
      <c r="F6880" s="1">
        <f>IFERROR(__xludf.DUMMYFUNCTION("""COMPUTED_VALUE"""),0.0)</f>
        <v>0</v>
      </c>
    </row>
    <row r="6881">
      <c r="A6881" s="2">
        <f>IFERROR(__xludf.DUMMYFUNCTION("""COMPUTED_VALUE"""),41337.666666666664)</f>
        <v>41337.66667</v>
      </c>
      <c r="B6881" s="1">
        <f>IFERROR(__xludf.DUMMYFUNCTION("""COMPUTED_VALUE"""),1518.2)</f>
        <v>1518.2</v>
      </c>
      <c r="C6881" s="1">
        <f>IFERROR(__xludf.DUMMYFUNCTION("""COMPUTED_VALUE"""),1525.27)</f>
        <v>1525.27</v>
      </c>
      <c r="D6881" s="1">
        <f>IFERROR(__xludf.DUMMYFUNCTION("""COMPUTED_VALUE"""),1512.29)</f>
        <v>1512.29</v>
      </c>
      <c r="E6881" s="1">
        <f>IFERROR(__xludf.DUMMYFUNCTION("""COMPUTED_VALUE"""),1525.2)</f>
        <v>1525.2</v>
      </c>
      <c r="F6881" s="1">
        <f>IFERROR(__xludf.DUMMYFUNCTION("""COMPUTED_VALUE"""),0.0)</f>
        <v>0</v>
      </c>
    </row>
    <row r="6882">
      <c r="A6882" s="2">
        <f>IFERROR(__xludf.DUMMYFUNCTION("""COMPUTED_VALUE"""),41338.666666666664)</f>
        <v>41338.66667</v>
      </c>
      <c r="B6882" s="1">
        <f>IFERROR(__xludf.DUMMYFUNCTION("""COMPUTED_VALUE"""),1525.2)</f>
        <v>1525.2</v>
      </c>
      <c r="C6882" s="1">
        <f>IFERROR(__xludf.DUMMYFUNCTION("""COMPUTED_VALUE"""),1543.47)</f>
        <v>1543.47</v>
      </c>
      <c r="D6882" s="1">
        <f>IFERROR(__xludf.DUMMYFUNCTION("""COMPUTED_VALUE"""),1525.2)</f>
        <v>1525.2</v>
      </c>
      <c r="E6882" s="1">
        <f>IFERROR(__xludf.DUMMYFUNCTION("""COMPUTED_VALUE"""),1539.79)</f>
        <v>1539.79</v>
      </c>
      <c r="F6882" s="1">
        <f>IFERROR(__xludf.DUMMYFUNCTION("""COMPUTED_VALUE"""),0.0)</f>
        <v>0</v>
      </c>
    </row>
    <row r="6883">
      <c r="A6883" s="2">
        <f>IFERROR(__xludf.DUMMYFUNCTION("""COMPUTED_VALUE"""),41339.666666666664)</f>
        <v>41339.66667</v>
      </c>
      <c r="B6883" s="1">
        <f>IFERROR(__xludf.DUMMYFUNCTION("""COMPUTED_VALUE"""),1539.79)</f>
        <v>1539.79</v>
      </c>
      <c r="C6883" s="1">
        <f>IFERROR(__xludf.DUMMYFUNCTION("""COMPUTED_VALUE"""),1545.25)</f>
        <v>1545.25</v>
      </c>
      <c r="D6883" s="1">
        <f>IFERROR(__xludf.DUMMYFUNCTION("""COMPUTED_VALUE"""),1538.11)</f>
        <v>1538.11</v>
      </c>
      <c r="E6883" s="1">
        <f>IFERROR(__xludf.DUMMYFUNCTION("""COMPUTED_VALUE"""),1541.46)</f>
        <v>1541.46</v>
      </c>
      <c r="F6883" s="1">
        <f>IFERROR(__xludf.DUMMYFUNCTION("""COMPUTED_VALUE"""),0.0)</f>
        <v>0</v>
      </c>
    </row>
    <row r="6884">
      <c r="A6884" s="2">
        <f>IFERROR(__xludf.DUMMYFUNCTION("""COMPUTED_VALUE"""),41340.666666666664)</f>
        <v>41340.66667</v>
      </c>
      <c r="B6884" s="1">
        <f>IFERROR(__xludf.DUMMYFUNCTION("""COMPUTED_VALUE"""),1541.46)</f>
        <v>1541.46</v>
      </c>
      <c r="C6884" s="1">
        <f>IFERROR(__xludf.DUMMYFUNCTION("""COMPUTED_VALUE"""),1545.78)</f>
        <v>1545.78</v>
      </c>
      <c r="D6884" s="1">
        <f>IFERROR(__xludf.DUMMYFUNCTION("""COMPUTED_VALUE"""),1541.46)</f>
        <v>1541.46</v>
      </c>
      <c r="E6884" s="1">
        <f>IFERROR(__xludf.DUMMYFUNCTION("""COMPUTED_VALUE"""),1544.26)</f>
        <v>1544.26</v>
      </c>
      <c r="F6884" s="1">
        <f>IFERROR(__xludf.DUMMYFUNCTION("""COMPUTED_VALUE"""),0.0)</f>
        <v>0</v>
      </c>
    </row>
    <row r="6885">
      <c r="A6885" s="2">
        <f>IFERROR(__xludf.DUMMYFUNCTION("""COMPUTED_VALUE"""),41341.666666666664)</f>
        <v>41341.66667</v>
      </c>
      <c r="B6885" s="1">
        <f>IFERROR(__xludf.DUMMYFUNCTION("""COMPUTED_VALUE"""),1544.26)</f>
        <v>1544.26</v>
      </c>
      <c r="C6885" s="1">
        <f>IFERROR(__xludf.DUMMYFUNCTION("""COMPUTED_VALUE"""),1552.48)</f>
        <v>1552.48</v>
      </c>
      <c r="D6885" s="1">
        <f>IFERROR(__xludf.DUMMYFUNCTION("""COMPUTED_VALUE"""),1542.94)</f>
        <v>1542.94</v>
      </c>
      <c r="E6885" s="1">
        <f>IFERROR(__xludf.DUMMYFUNCTION("""COMPUTED_VALUE"""),1551.18)</f>
        <v>1551.18</v>
      </c>
      <c r="F6885" s="1">
        <f>IFERROR(__xludf.DUMMYFUNCTION("""COMPUTED_VALUE"""),0.0)</f>
        <v>0</v>
      </c>
    </row>
    <row r="6886">
      <c r="A6886" s="2">
        <f>IFERROR(__xludf.DUMMYFUNCTION("""COMPUTED_VALUE"""),41344.666666666664)</f>
        <v>41344.66667</v>
      </c>
      <c r="B6886" s="1">
        <f>IFERROR(__xludf.DUMMYFUNCTION("""COMPUTED_VALUE"""),1551.15)</f>
        <v>1551.15</v>
      </c>
      <c r="C6886" s="1">
        <f>IFERROR(__xludf.DUMMYFUNCTION("""COMPUTED_VALUE"""),1556.27)</f>
        <v>1556.27</v>
      </c>
      <c r="D6886" s="1">
        <f>IFERROR(__xludf.DUMMYFUNCTION("""COMPUTED_VALUE"""),1547.36)</f>
        <v>1547.36</v>
      </c>
      <c r="E6886" s="1">
        <f>IFERROR(__xludf.DUMMYFUNCTION("""COMPUTED_VALUE"""),1556.22)</f>
        <v>1556.22</v>
      </c>
      <c r="F6886" s="1">
        <f>IFERROR(__xludf.DUMMYFUNCTION("""COMPUTED_VALUE"""),0.0)</f>
        <v>0</v>
      </c>
    </row>
    <row r="6887">
      <c r="A6887" s="2">
        <f>IFERROR(__xludf.DUMMYFUNCTION("""COMPUTED_VALUE"""),41345.666666666664)</f>
        <v>41345.66667</v>
      </c>
      <c r="B6887" s="1">
        <f>IFERROR(__xludf.DUMMYFUNCTION("""COMPUTED_VALUE"""),1556.22)</f>
        <v>1556.22</v>
      </c>
      <c r="C6887" s="1">
        <f>IFERROR(__xludf.DUMMYFUNCTION("""COMPUTED_VALUE"""),1556.77)</f>
        <v>1556.77</v>
      </c>
      <c r="D6887" s="1">
        <f>IFERROR(__xludf.DUMMYFUNCTION("""COMPUTED_VALUE"""),1548.24)</f>
        <v>1548.24</v>
      </c>
      <c r="E6887" s="1">
        <f>IFERROR(__xludf.DUMMYFUNCTION("""COMPUTED_VALUE"""),1552.48)</f>
        <v>1552.48</v>
      </c>
      <c r="F6887" s="1">
        <f>IFERROR(__xludf.DUMMYFUNCTION("""COMPUTED_VALUE"""),0.0)</f>
        <v>0</v>
      </c>
    </row>
    <row r="6888">
      <c r="A6888" s="2">
        <f>IFERROR(__xludf.DUMMYFUNCTION("""COMPUTED_VALUE"""),41346.666666666664)</f>
        <v>41346.66667</v>
      </c>
      <c r="B6888" s="1">
        <f>IFERROR(__xludf.DUMMYFUNCTION("""COMPUTED_VALUE"""),1552.48)</f>
        <v>1552.48</v>
      </c>
      <c r="C6888" s="1">
        <f>IFERROR(__xludf.DUMMYFUNCTION("""COMPUTED_VALUE"""),1556.39)</f>
        <v>1556.39</v>
      </c>
      <c r="D6888" s="1">
        <f>IFERROR(__xludf.DUMMYFUNCTION("""COMPUTED_VALUE"""),1548.25)</f>
        <v>1548.25</v>
      </c>
      <c r="E6888" s="1">
        <f>IFERROR(__xludf.DUMMYFUNCTION("""COMPUTED_VALUE"""),1554.52)</f>
        <v>1554.52</v>
      </c>
      <c r="F6888" s="1">
        <f>IFERROR(__xludf.DUMMYFUNCTION("""COMPUTED_VALUE"""),0.0)</f>
        <v>0</v>
      </c>
    </row>
    <row r="6889">
      <c r="A6889" s="2">
        <f>IFERROR(__xludf.DUMMYFUNCTION("""COMPUTED_VALUE"""),41347.666666666664)</f>
        <v>41347.66667</v>
      </c>
      <c r="B6889" s="1">
        <f>IFERROR(__xludf.DUMMYFUNCTION("""COMPUTED_VALUE"""),1554.52)</f>
        <v>1554.52</v>
      </c>
      <c r="C6889" s="1">
        <f>IFERROR(__xludf.DUMMYFUNCTION("""COMPUTED_VALUE"""),1563.32)</f>
        <v>1563.32</v>
      </c>
      <c r="D6889" s="1">
        <f>IFERROR(__xludf.DUMMYFUNCTION("""COMPUTED_VALUE"""),1554.52)</f>
        <v>1554.52</v>
      </c>
      <c r="E6889" s="1">
        <f>IFERROR(__xludf.DUMMYFUNCTION("""COMPUTED_VALUE"""),1563.23)</f>
        <v>1563.23</v>
      </c>
      <c r="F6889" s="1">
        <f>IFERROR(__xludf.DUMMYFUNCTION("""COMPUTED_VALUE"""),0.0)</f>
        <v>0</v>
      </c>
    </row>
    <row r="6890">
      <c r="A6890" s="2">
        <f>IFERROR(__xludf.DUMMYFUNCTION("""COMPUTED_VALUE"""),41348.666666666664)</f>
        <v>41348.66667</v>
      </c>
      <c r="B6890" s="1">
        <f>IFERROR(__xludf.DUMMYFUNCTION("""COMPUTED_VALUE"""),1563.21)</f>
        <v>1563.21</v>
      </c>
      <c r="C6890" s="1">
        <f>IFERROR(__xludf.DUMMYFUNCTION("""COMPUTED_VALUE"""),1563.62)</f>
        <v>1563.62</v>
      </c>
      <c r="D6890" s="1">
        <f>IFERROR(__xludf.DUMMYFUNCTION("""COMPUTED_VALUE"""),1555.74)</f>
        <v>1555.74</v>
      </c>
      <c r="E6890" s="1">
        <f>IFERROR(__xludf.DUMMYFUNCTION("""COMPUTED_VALUE"""),1560.7)</f>
        <v>1560.7</v>
      </c>
      <c r="F6890" s="1">
        <f>IFERROR(__xludf.DUMMYFUNCTION("""COMPUTED_VALUE"""),0.0)</f>
        <v>0</v>
      </c>
    </row>
    <row r="6891">
      <c r="A6891" s="2">
        <f>IFERROR(__xludf.DUMMYFUNCTION("""COMPUTED_VALUE"""),41351.666666666664)</f>
        <v>41351.66667</v>
      </c>
      <c r="B6891" s="1">
        <f>IFERROR(__xludf.DUMMYFUNCTION("""COMPUTED_VALUE"""),1560.7)</f>
        <v>1560.7</v>
      </c>
      <c r="C6891" s="1">
        <f>IFERROR(__xludf.DUMMYFUNCTION("""COMPUTED_VALUE"""),1560.7)</f>
        <v>1560.7</v>
      </c>
      <c r="D6891" s="1">
        <f>IFERROR(__xludf.DUMMYFUNCTION("""COMPUTED_VALUE"""),1545.13)</f>
        <v>1545.13</v>
      </c>
      <c r="E6891" s="1">
        <f>IFERROR(__xludf.DUMMYFUNCTION("""COMPUTED_VALUE"""),1552.1)</f>
        <v>1552.1</v>
      </c>
      <c r="F6891" s="1">
        <f>IFERROR(__xludf.DUMMYFUNCTION("""COMPUTED_VALUE"""),0.0)</f>
        <v>0</v>
      </c>
    </row>
    <row r="6892">
      <c r="A6892" s="2">
        <f>IFERROR(__xludf.DUMMYFUNCTION("""COMPUTED_VALUE"""),41352.666666666664)</f>
        <v>41352.66667</v>
      </c>
      <c r="B6892" s="1">
        <f>IFERROR(__xludf.DUMMYFUNCTION("""COMPUTED_VALUE"""),1552.1)</f>
        <v>1552.1</v>
      </c>
      <c r="C6892" s="1">
        <f>IFERROR(__xludf.DUMMYFUNCTION("""COMPUTED_VALUE"""),1557.25)</f>
        <v>1557.25</v>
      </c>
      <c r="D6892" s="1">
        <f>IFERROR(__xludf.DUMMYFUNCTION("""COMPUTED_VALUE"""),1538.57)</f>
        <v>1538.57</v>
      </c>
      <c r="E6892" s="1">
        <f>IFERROR(__xludf.DUMMYFUNCTION("""COMPUTED_VALUE"""),1548.34)</f>
        <v>1548.34</v>
      </c>
      <c r="F6892" s="1">
        <f>IFERROR(__xludf.DUMMYFUNCTION("""COMPUTED_VALUE"""),0.0)</f>
        <v>0</v>
      </c>
    </row>
    <row r="6893">
      <c r="A6893" s="2">
        <f>IFERROR(__xludf.DUMMYFUNCTION("""COMPUTED_VALUE"""),41353.666666666664)</f>
        <v>41353.66667</v>
      </c>
      <c r="B6893" s="1">
        <f>IFERROR(__xludf.DUMMYFUNCTION("""COMPUTED_VALUE"""),1548.34)</f>
        <v>1548.34</v>
      </c>
      <c r="C6893" s="1">
        <f>IFERROR(__xludf.DUMMYFUNCTION("""COMPUTED_VALUE"""),1561.56)</f>
        <v>1561.56</v>
      </c>
      <c r="D6893" s="1">
        <f>IFERROR(__xludf.DUMMYFUNCTION("""COMPUTED_VALUE"""),1548.34)</f>
        <v>1548.34</v>
      </c>
      <c r="E6893" s="1">
        <f>IFERROR(__xludf.DUMMYFUNCTION("""COMPUTED_VALUE"""),1558.71)</f>
        <v>1558.71</v>
      </c>
      <c r="F6893" s="1">
        <f>IFERROR(__xludf.DUMMYFUNCTION("""COMPUTED_VALUE"""),0.0)</f>
        <v>0</v>
      </c>
    </row>
    <row r="6894">
      <c r="A6894" s="2">
        <f>IFERROR(__xludf.DUMMYFUNCTION("""COMPUTED_VALUE"""),41354.666666666664)</f>
        <v>41354.66667</v>
      </c>
      <c r="B6894" s="1">
        <f>IFERROR(__xludf.DUMMYFUNCTION("""COMPUTED_VALUE"""),1558.71)</f>
        <v>1558.71</v>
      </c>
      <c r="C6894" s="1">
        <f>IFERROR(__xludf.DUMMYFUNCTION("""COMPUTED_VALUE"""),1558.71)</f>
        <v>1558.71</v>
      </c>
      <c r="D6894" s="1">
        <f>IFERROR(__xludf.DUMMYFUNCTION("""COMPUTED_VALUE"""),1543.55)</f>
        <v>1543.55</v>
      </c>
      <c r="E6894" s="1">
        <f>IFERROR(__xludf.DUMMYFUNCTION("""COMPUTED_VALUE"""),1545.8)</f>
        <v>1545.8</v>
      </c>
      <c r="F6894" s="1">
        <f>IFERROR(__xludf.DUMMYFUNCTION("""COMPUTED_VALUE"""),0.0)</f>
        <v>0</v>
      </c>
    </row>
    <row r="6895">
      <c r="A6895" s="2">
        <f>IFERROR(__xludf.DUMMYFUNCTION("""COMPUTED_VALUE"""),41355.666666666664)</f>
        <v>41355.66667</v>
      </c>
      <c r="B6895" s="1">
        <f>IFERROR(__xludf.DUMMYFUNCTION("""COMPUTED_VALUE"""),1545.9)</f>
        <v>1545.9</v>
      </c>
      <c r="C6895" s="1">
        <f>IFERROR(__xludf.DUMMYFUNCTION("""COMPUTED_VALUE"""),1557.74)</f>
        <v>1557.74</v>
      </c>
      <c r="D6895" s="1">
        <f>IFERROR(__xludf.DUMMYFUNCTION("""COMPUTED_VALUE"""),1545.9)</f>
        <v>1545.9</v>
      </c>
      <c r="E6895" s="1">
        <f>IFERROR(__xludf.DUMMYFUNCTION("""COMPUTED_VALUE"""),1556.89)</f>
        <v>1556.89</v>
      </c>
      <c r="F6895" s="1">
        <f>IFERROR(__xludf.DUMMYFUNCTION("""COMPUTED_VALUE"""),0.0)</f>
        <v>0</v>
      </c>
    </row>
    <row r="6896">
      <c r="A6896" s="2">
        <f>IFERROR(__xludf.DUMMYFUNCTION("""COMPUTED_VALUE"""),41358.666666666664)</f>
        <v>41358.66667</v>
      </c>
      <c r="B6896" s="1">
        <f>IFERROR(__xludf.DUMMYFUNCTION("""COMPUTED_VALUE"""),1556.89)</f>
        <v>1556.89</v>
      </c>
      <c r="C6896" s="1">
        <f>IFERROR(__xludf.DUMMYFUNCTION("""COMPUTED_VALUE"""),1564.91)</f>
        <v>1564.91</v>
      </c>
      <c r="D6896" s="1">
        <f>IFERROR(__xludf.DUMMYFUNCTION("""COMPUTED_VALUE"""),1546.22)</f>
        <v>1546.22</v>
      </c>
      <c r="E6896" s="1">
        <f>IFERROR(__xludf.DUMMYFUNCTION("""COMPUTED_VALUE"""),1551.69)</f>
        <v>1551.69</v>
      </c>
      <c r="F6896" s="1">
        <f>IFERROR(__xludf.DUMMYFUNCTION("""COMPUTED_VALUE"""),0.0)</f>
        <v>0</v>
      </c>
    </row>
    <row r="6897">
      <c r="A6897" s="2">
        <f>IFERROR(__xludf.DUMMYFUNCTION("""COMPUTED_VALUE"""),41359.666666666664)</f>
        <v>41359.66667</v>
      </c>
      <c r="B6897" s="1">
        <f>IFERROR(__xludf.DUMMYFUNCTION("""COMPUTED_VALUE"""),1551.69)</f>
        <v>1551.69</v>
      </c>
      <c r="C6897" s="1">
        <f>IFERROR(__xludf.DUMMYFUNCTION("""COMPUTED_VALUE"""),1563.95)</f>
        <v>1563.95</v>
      </c>
      <c r="D6897" s="1">
        <f>IFERROR(__xludf.DUMMYFUNCTION("""COMPUTED_VALUE"""),1551.69)</f>
        <v>1551.69</v>
      </c>
      <c r="E6897" s="1">
        <f>IFERROR(__xludf.DUMMYFUNCTION("""COMPUTED_VALUE"""),1563.77)</f>
        <v>1563.77</v>
      </c>
      <c r="F6897" s="1">
        <f>IFERROR(__xludf.DUMMYFUNCTION("""COMPUTED_VALUE"""),0.0)</f>
        <v>0</v>
      </c>
    </row>
    <row r="6898">
      <c r="A6898" s="2">
        <f>IFERROR(__xludf.DUMMYFUNCTION("""COMPUTED_VALUE"""),41360.666666666664)</f>
        <v>41360.66667</v>
      </c>
      <c r="B6898" s="1">
        <f>IFERROR(__xludf.DUMMYFUNCTION("""COMPUTED_VALUE"""),1563.75)</f>
        <v>1563.75</v>
      </c>
      <c r="C6898" s="1">
        <f>IFERROR(__xludf.DUMMYFUNCTION("""COMPUTED_VALUE"""),1564.07)</f>
        <v>1564.07</v>
      </c>
      <c r="D6898" s="1">
        <f>IFERROR(__xludf.DUMMYFUNCTION("""COMPUTED_VALUE"""),1551.9)</f>
        <v>1551.9</v>
      </c>
      <c r="E6898" s="1">
        <f>IFERROR(__xludf.DUMMYFUNCTION("""COMPUTED_VALUE"""),1562.85)</f>
        <v>1562.85</v>
      </c>
      <c r="F6898" s="1">
        <f>IFERROR(__xludf.DUMMYFUNCTION("""COMPUTED_VALUE"""),0.0)</f>
        <v>0</v>
      </c>
    </row>
    <row r="6899">
      <c r="A6899" s="2">
        <f>IFERROR(__xludf.DUMMYFUNCTION("""COMPUTED_VALUE"""),41361.666666666664)</f>
        <v>41361.66667</v>
      </c>
      <c r="B6899" s="1">
        <f>IFERROR(__xludf.DUMMYFUNCTION("""COMPUTED_VALUE"""),1562.86)</f>
        <v>1562.86</v>
      </c>
      <c r="C6899" s="1">
        <f>IFERROR(__xludf.DUMMYFUNCTION("""COMPUTED_VALUE"""),1570.28)</f>
        <v>1570.28</v>
      </c>
      <c r="D6899" s="1">
        <f>IFERROR(__xludf.DUMMYFUNCTION("""COMPUTED_VALUE"""),1561.08)</f>
        <v>1561.08</v>
      </c>
      <c r="E6899" s="1">
        <f>IFERROR(__xludf.DUMMYFUNCTION("""COMPUTED_VALUE"""),1569.19)</f>
        <v>1569.19</v>
      </c>
      <c r="F6899" s="1">
        <f>IFERROR(__xludf.DUMMYFUNCTION("""COMPUTED_VALUE"""),0.0)</f>
        <v>0</v>
      </c>
    </row>
    <row r="6900">
      <c r="A6900" s="2">
        <f>IFERROR(__xludf.DUMMYFUNCTION("""COMPUTED_VALUE"""),41365.666666666664)</f>
        <v>41365.66667</v>
      </c>
      <c r="B6900" s="1">
        <f>IFERROR(__xludf.DUMMYFUNCTION("""COMPUTED_VALUE"""),1569.18)</f>
        <v>1569.18</v>
      </c>
      <c r="C6900" s="1">
        <f>IFERROR(__xludf.DUMMYFUNCTION("""COMPUTED_VALUE"""),1570.57)</f>
        <v>1570.57</v>
      </c>
      <c r="D6900" s="1">
        <f>IFERROR(__xludf.DUMMYFUNCTION("""COMPUTED_VALUE"""),1558.47)</f>
        <v>1558.47</v>
      </c>
      <c r="E6900" s="1">
        <f>IFERROR(__xludf.DUMMYFUNCTION("""COMPUTED_VALUE"""),1562.17)</f>
        <v>1562.17</v>
      </c>
      <c r="F6900" s="1">
        <f>IFERROR(__xludf.DUMMYFUNCTION("""COMPUTED_VALUE"""),0.0)</f>
        <v>0</v>
      </c>
    </row>
    <row r="6901">
      <c r="A6901" s="2">
        <f>IFERROR(__xludf.DUMMYFUNCTION("""COMPUTED_VALUE"""),41366.666666666664)</f>
        <v>41366.66667</v>
      </c>
      <c r="B6901" s="1">
        <f>IFERROR(__xludf.DUMMYFUNCTION("""COMPUTED_VALUE"""),1562.17)</f>
        <v>1562.17</v>
      </c>
      <c r="C6901" s="1">
        <f>IFERROR(__xludf.DUMMYFUNCTION("""COMPUTED_VALUE"""),1573.66)</f>
        <v>1573.66</v>
      </c>
      <c r="D6901" s="1">
        <f>IFERROR(__xludf.DUMMYFUNCTION("""COMPUTED_VALUE"""),1562.17)</f>
        <v>1562.17</v>
      </c>
      <c r="E6901" s="1">
        <f>IFERROR(__xludf.DUMMYFUNCTION("""COMPUTED_VALUE"""),1570.25)</f>
        <v>1570.25</v>
      </c>
      <c r="F6901" s="1">
        <f>IFERROR(__xludf.DUMMYFUNCTION("""COMPUTED_VALUE"""),0.0)</f>
        <v>0</v>
      </c>
    </row>
    <row r="6902">
      <c r="A6902" s="2">
        <f>IFERROR(__xludf.DUMMYFUNCTION("""COMPUTED_VALUE"""),41367.666666666664)</f>
        <v>41367.66667</v>
      </c>
      <c r="B6902" s="1">
        <f>IFERROR(__xludf.DUMMYFUNCTION("""COMPUTED_VALUE"""),1570.25)</f>
        <v>1570.25</v>
      </c>
      <c r="C6902" s="1">
        <f>IFERROR(__xludf.DUMMYFUNCTION("""COMPUTED_VALUE"""),1571.47)</f>
        <v>1571.47</v>
      </c>
      <c r="D6902" s="1">
        <f>IFERROR(__xludf.DUMMYFUNCTION("""COMPUTED_VALUE"""),1549.8)</f>
        <v>1549.8</v>
      </c>
      <c r="E6902" s="1">
        <f>IFERROR(__xludf.DUMMYFUNCTION("""COMPUTED_VALUE"""),1553.69)</f>
        <v>1553.69</v>
      </c>
      <c r="F6902" s="1">
        <f>IFERROR(__xludf.DUMMYFUNCTION("""COMPUTED_VALUE"""),0.0)</f>
        <v>0</v>
      </c>
    </row>
    <row r="6903">
      <c r="A6903" s="2">
        <f>IFERROR(__xludf.DUMMYFUNCTION("""COMPUTED_VALUE"""),41368.666666666664)</f>
        <v>41368.66667</v>
      </c>
      <c r="B6903" s="1">
        <f>IFERROR(__xludf.DUMMYFUNCTION("""COMPUTED_VALUE"""),1553.69)</f>
        <v>1553.69</v>
      </c>
      <c r="C6903" s="1">
        <f>IFERROR(__xludf.DUMMYFUNCTION("""COMPUTED_VALUE"""),1562.6)</f>
        <v>1562.6</v>
      </c>
      <c r="D6903" s="1">
        <f>IFERROR(__xludf.DUMMYFUNCTION("""COMPUTED_VALUE"""),1552.52)</f>
        <v>1552.52</v>
      </c>
      <c r="E6903" s="1">
        <f>IFERROR(__xludf.DUMMYFUNCTION("""COMPUTED_VALUE"""),1559.98)</f>
        <v>1559.98</v>
      </c>
      <c r="F6903" s="1">
        <f>IFERROR(__xludf.DUMMYFUNCTION("""COMPUTED_VALUE"""),0.0)</f>
        <v>0</v>
      </c>
    </row>
    <row r="6904">
      <c r="A6904" s="2">
        <f>IFERROR(__xludf.DUMMYFUNCTION("""COMPUTED_VALUE"""),41369.666666666664)</f>
        <v>41369.66667</v>
      </c>
      <c r="B6904" s="1">
        <f>IFERROR(__xludf.DUMMYFUNCTION("""COMPUTED_VALUE"""),1559.98)</f>
        <v>1559.98</v>
      </c>
      <c r="C6904" s="1">
        <f>IFERROR(__xludf.DUMMYFUNCTION("""COMPUTED_VALUE"""),1559.98)</f>
        <v>1559.98</v>
      </c>
      <c r="D6904" s="1">
        <f>IFERROR(__xludf.DUMMYFUNCTION("""COMPUTED_VALUE"""),1539.5)</f>
        <v>1539.5</v>
      </c>
      <c r="E6904" s="1">
        <f>IFERROR(__xludf.DUMMYFUNCTION("""COMPUTED_VALUE"""),1553.28)</f>
        <v>1553.28</v>
      </c>
      <c r="F6904" s="1">
        <f>IFERROR(__xludf.DUMMYFUNCTION("""COMPUTED_VALUE"""),0.0)</f>
        <v>0</v>
      </c>
    </row>
    <row r="6905">
      <c r="A6905" s="2">
        <f>IFERROR(__xludf.DUMMYFUNCTION("""COMPUTED_VALUE"""),41372.666666666664)</f>
        <v>41372.66667</v>
      </c>
      <c r="B6905" s="1">
        <f>IFERROR(__xludf.DUMMYFUNCTION("""COMPUTED_VALUE"""),1553.26)</f>
        <v>1553.26</v>
      </c>
      <c r="C6905" s="1">
        <f>IFERROR(__xludf.DUMMYFUNCTION("""COMPUTED_VALUE"""),1563.07)</f>
        <v>1563.07</v>
      </c>
      <c r="D6905" s="1">
        <f>IFERROR(__xludf.DUMMYFUNCTION("""COMPUTED_VALUE"""),1548.63)</f>
        <v>1548.63</v>
      </c>
      <c r="E6905" s="1">
        <f>IFERROR(__xludf.DUMMYFUNCTION("""COMPUTED_VALUE"""),1563.07)</f>
        <v>1563.07</v>
      </c>
      <c r="F6905" s="1">
        <f>IFERROR(__xludf.DUMMYFUNCTION("""COMPUTED_VALUE"""),0.0)</f>
        <v>0</v>
      </c>
    </row>
    <row r="6906">
      <c r="A6906" s="2">
        <f>IFERROR(__xludf.DUMMYFUNCTION("""COMPUTED_VALUE"""),41373.666666666664)</f>
        <v>41373.66667</v>
      </c>
      <c r="B6906" s="1">
        <f>IFERROR(__xludf.DUMMYFUNCTION("""COMPUTED_VALUE"""),1563.11)</f>
        <v>1563.11</v>
      </c>
      <c r="C6906" s="1">
        <f>IFERROR(__xludf.DUMMYFUNCTION("""COMPUTED_VALUE"""),1573.89)</f>
        <v>1573.89</v>
      </c>
      <c r="D6906" s="1">
        <f>IFERROR(__xludf.DUMMYFUNCTION("""COMPUTED_VALUE"""),1560.92)</f>
        <v>1560.92</v>
      </c>
      <c r="E6906" s="1">
        <f>IFERROR(__xludf.DUMMYFUNCTION("""COMPUTED_VALUE"""),1568.61)</f>
        <v>1568.61</v>
      </c>
      <c r="F6906" s="1">
        <f>IFERROR(__xludf.DUMMYFUNCTION("""COMPUTED_VALUE"""),0.0)</f>
        <v>0</v>
      </c>
    </row>
    <row r="6907">
      <c r="A6907" s="2">
        <f>IFERROR(__xludf.DUMMYFUNCTION("""COMPUTED_VALUE"""),41374.666666666664)</f>
        <v>41374.66667</v>
      </c>
      <c r="B6907" s="1">
        <f>IFERROR(__xludf.DUMMYFUNCTION("""COMPUTED_VALUE"""),1568.61)</f>
        <v>1568.61</v>
      </c>
      <c r="C6907" s="1">
        <f>IFERROR(__xludf.DUMMYFUNCTION("""COMPUTED_VALUE"""),1589.07)</f>
        <v>1589.07</v>
      </c>
      <c r="D6907" s="1">
        <f>IFERROR(__xludf.DUMMYFUNCTION("""COMPUTED_VALUE"""),1568.61)</f>
        <v>1568.61</v>
      </c>
      <c r="E6907" s="1">
        <f>IFERROR(__xludf.DUMMYFUNCTION("""COMPUTED_VALUE"""),1587.73)</f>
        <v>1587.73</v>
      </c>
      <c r="F6907" s="1">
        <f>IFERROR(__xludf.DUMMYFUNCTION("""COMPUTED_VALUE"""),0.0)</f>
        <v>0</v>
      </c>
    </row>
    <row r="6908">
      <c r="A6908" s="2">
        <f>IFERROR(__xludf.DUMMYFUNCTION("""COMPUTED_VALUE"""),41375.666666666664)</f>
        <v>41375.66667</v>
      </c>
      <c r="B6908" s="1">
        <f>IFERROR(__xludf.DUMMYFUNCTION("""COMPUTED_VALUE"""),1587.73)</f>
        <v>1587.73</v>
      </c>
      <c r="C6908" s="1">
        <f>IFERROR(__xludf.DUMMYFUNCTION("""COMPUTED_VALUE"""),1597.35)</f>
        <v>1597.35</v>
      </c>
      <c r="D6908" s="1">
        <f>IFERROR(__xludf.DUMMYFUNCTION("""COMPUTED_VALUE"""),1586.17)</f>
        <v>1586.17</v>
      </c>
      <c r="E6908" s="1">
        <f>IFERROR(__xludf.DUMMYFUNCTION("""COMPUTED_VALUE"""),1593.37)</f>
        <v>1593.37</v>
      </c>
      <c r="F6908" s="1">
        <f>IFERROR(__xludf.DUMMYFUNCTION("""COMPUTED_VALUE"""),0.0)</f>
        <v>0</v>
      </c>
    </row>
    <row r="6909">
      <c r="A6909" s="2">
        <f>IFERROR(__xludf.DUMMYFUNCTION("""COMPUTED_VALUE"""),41376.666666666664)</f>
        <v>41376.66667</v>
      </c>
      <c r="B6909" s="1">
        <f>IFERROR(__xludf.DUMMYFUNCTION("""COMPUTED_VALUE"""),1593.3)</f>
        <v>1593.3</v>
      </c>
      <c r="C6909" s="1">
        <f>IFERROR(__xludf.DUMMYFUNCTION("""COMPUTED_VALUE"""),1593.3)</f>
        <v>1593.3</v>
      </c>
      <c r="D6909" s="1">
        <f>IFERROR(__xludf.DUMMYFUNCTION("""COMPUTED_VALUE"""),1579.97)</f>
        <v>1579.97</v>
      </c>
      <c r="E6909" s="1">
        <f>IFERROR(__xludf.DUMMYFUNCTION("""COMPUTED_VALUE"""),1588.85)</f>
        <v>1588.85</v>
      </c>
      <c r="F6909" s="1">
        <f>IFERROR(__xludf.DUMMYFUNCTION("""COMPUTED_VALUE"""),0.0)</f>
        <v>0</v>
      </c>
    </row>
    <row r="6910">
      <c r="A6910" s="2">
        <f>IFERROR(__xludf.DUMMYFUNCTION("""COMPUTED_VALUE"""),41379.666666666664)</f>
        <v>41379.66667</v>
      </c>
      <c r="B6910" s="1">
        <f>IFERROR(__xludf.DUMMYFUNCTION("""COMPUTED_VALUE"""),1588.84)</f>
        <v>1588.84</v>
      </c>
      <c r="C6910" s="1">
        <f>IFERROR(__xludf.DUMMYFUNCTION("""COMPUTED_VALUE"""),1588.84)</f>
        <v>1588.84</v>
      </c>
      <c r="D6910" s="1">
        <f>IFERROR(__xludf.DUMMYFUNCTION("""COMPUTED_VALUE"""),1552.28)</f>
        <v>1552.28</v>
      </c>
      <c r="E6910" s="1">
        <f>IFERROR(__xludf.DUMMYFUNCTION("""COMPUTED_VALUE"""),1552.36)</f>
        <v>1552.36</v>
      </c>
      <c r="F6910" s="1">
        <f>IFERROR(__xludf.DUMMYFUNCTION("""COMPUTED_VALUE"""),0.0)</f>
        <v>0</v>
      </c>
    </row>
    <row r="6911">
      <c r="A6911" s="2">
        <f>IFERROR(__xludf.DUMMYFUNCTION("""COMPUTED_VALUE"""),41380.666666666664)</f>
        <v>41380.66667</v>
      </c>
      <c r="B6911" s="1">
        <f>IFERROR(__xludf.DUMMYFUNCTION("""COMPUTED_VALUE"""),1552.36)</f>
        <v>1552.36</v>
      </c>
      <c r="C6911" s="1">
        <f>IFERROR(__xludf.DUMMYFUNCTION("""COMPUTED_VALUE"""),1575.35)</f>
        <v>1575.35</v>
      </c>
      <c r="D6911" s="1">
        <f>IFERROR(__xludf.DUMMYFUNCTION("""COMPUTED_VALUE"""),1552.36)</f>
        <v>1552.36</v>
      </c>
      <c r="E6911" s="1">
        <f>IFERROR(__xludf.DUMMYFUNCTION("""COMPUTED_VALUE"""),1574.57)</f>
        <v>1574.57</v>
      </c>
      <c r="F6911" s="1">
        <f>IFERROR(__xludf.DUMMYFUNCTION("""COMPUTED_VALUE"""),0.0)</f>
        <v>0</v>
      </c>
    </row>
    <row r="6912">
      <c r="A6912" s="2">
        <f>IFERROR(__xludf.DUMMYFUNCTION("""COMPUTED_VALUE"""),41381.666666666664)</f>
        <v>41381.66667</v>
      </c>
      <c r="B6912" s="1">
        <f>IFERROR(__xludf.DUMMYFUNCTION("""COMPUTED_VALUE"""),1574.57)</f>
        <v>1574.57</v>
      </c>
      <c r="C6912" s="1">
        <f>IFERROR(__xludf.DUMMYFUNCTION("""COMPUTED_VALUE"""),1574.57)</f>
        <v>1574.57</v>
      </c>
      <c r="D6912" s="1">
        <f>IFERROR(__xludf.DUMMYFUNCTION("""COMPUTED_VALUE"""),1543.69)</f>
        <v>1543.69</v>
      </c>
      <c r="E6912" s="1">
        <f>IFERROR(__xludf.DUMMYFUNCTION("""COMPUTED_VALUE"""),1552.01)</f>
        <v>1552.01</v>
      </c>
      <c r="F6912" s="1">
        <f>IFERROR(__xludf.DUMMYFUNCTION("""COMPUTED_VALUE"""),0.0)</f>
        <v>0</v>
      </c>
    </row>
    <row r="6913">
      <c r="A6913" s="2">
        <f>IFERROR(__xludf.DUMMYFUNCTION("""COMPUTED_VALUE"""),41382.666666666664)</f>
        <v>41382.66667</v>
      </c>
      <c r="B6913" s="1">
        <f>IFERROR(__xludf.DUMMYFUNCTION("""COMPUTED_VALUE"""),1552.03)</f>
        <v>1552.03</v>
      </c>
      <c r="C6913" s="1">
        <f>IFERROR(__xludf.DUMMYFUNCTION("""COMPUTED_VALUE"""),1554.38)</f>
        <v>1554.38</v>
      </c>
      <c r="D6913" s="1">
        <f>IFERROR(__xludf.DUMMYFUNCTION("""COMPUTED_VALUE"""),1536.03)</f>
        <v>1536.03</v>
      </c>
      <c r="E6913" s="1">
        <f>IFERROR(__xludf.DUMMYFUNCTION("""COMPUTED_VALUE"""),1541.61)</f>
        <v>1541.61</v>
      </c>
      <c r="F6913" s="1">
        <f>IFERROR(__xludf.DUMMYFUNCTION("""COMPUTED_VALUE"""),0.0)</f>
        <v>0</v>
      </c>
    </row>
    <row r="6914">
      <c r="A6914" s="2">
        <f>IFERROR(__xludf.DUMMYFUNCTION("""COMPUTED_VALUE"""),41383.666666666664)</f>
        <v>41383.66667</v>
      </c>
      <c r="B6914" s="1">
        <f>IFERROR(__xludf.DUMMYFUNCTION("""COMPUTED_VALUE"""),1541.61)</f>
        <v>1541.61</v>
      </c>
      <c r="C6914" s="1">
        <f>IFERROR(__xludf.DUMMYFUNCTION("""COMPUTED_VALUE"""),1555.89)</f>
        <v>1555.89</v>
      </c>
      <c r="D6914" s="1">
        <f>IFERROR(__xludf.DUMMYFUNCTION("""COMPUTED_VALUE"""),1539.4)</f>
        <v>1539.4</v>
      </c>
      <c r="E6914" s="1">
        <f>IFERROR(__xludf.DUMMYFUNCTION("""COMPUTED_VALUE"""),1555.25)</f>
        <v>1555.25</v>
      </c>
      <c r="F6914" s="1">
        <f>IFERROR(__xludf.DUMMYFUNCTION("""COMPUTED_VALUE"""),0.0)</f>
        <v>0</v>
      </c>
    </row>
    <row r="6915">
      <c r="A6915" s="2">
        <f>IFERROR(__xludf.DUMMYFUNCTION("""COMPUTED_VALUE"""),41386.666666666664)</f>
        <v>41386.66667</v>
      </c>
      <c r="B6915" s="1">
        <f>IFERROR(__xludf.DUMMYFUNCTION("""COMPUTED_VALUE"""),1555.25)</f>
        <v>1555.25</v>
      </c>
      <c r="C6915" s="1">
        <f>IFERROR(__xludf.DUMMYFUNCTION("""COMPUTED_VALUE"""),1565.55)</f>
        <v>1565.55</v>
      </c>
      <c r="D6915" s="1">
        <f>IFERROR(__xludf.DUMMYFUNCTION("""COMPUTED_VALUE"""),1548.19)</f>
        <v>1548.19</v>
      </c>
      <c r="E6915" s="1">
        <f>IFERROR(__xludf.DUMMYFUNCTION("""COMPUTED_VALUE"""),1562.5)</f>
        <v>1562.5</v>
      </c>
      <c r="F6915" s="1">
        <f>IFERROR(__xludf.DUMMYFUNCTION("""COMPUTED_VALUE"""),0.0)</f>
        <v>0</v>
      </c>
    </row>
    <row r="6916">
      <c r="A6916" s="2">
        <f>IFERROR(__xludf.DUMMYFUNCTION("""COMPUTED_VALUE"""),41387.666666666664)</f>
        <v>41387.66667</v>
      </c>
      <c r="B6916" s="1">
        <f>IFERROR(__xludf.DUMMYFUNCTION("""COMPUTED_VALUE"""),1562.5)</f>
        <v>1562.5</v>
      </c>
      <c r="C6916" s="1">
        <f>IFERROR(__xludf.DUMMYFUNCTION("""COMPUTED_VALUE"""),1579.58)</f>
        <v>1579.58</v>
      </c>
      <c r="D6916" s="1">
        <f>IFERROR(__xludf.DUMMYFUNCTION("""COMPUTED_VALUE"""),1562.5)</f>
        <v>1562.5</v>
      </c>
      <c r="E6916" s="1">
        <f>IFERROR(__xludf.DUMMYFUNCTION("""COMPUTED_VALUE"""),1578.78)</f>
        <v>1578.78</v>
      </c>
      <c r="F6916" s="1">
        <f>IFERROR(__xludf.DUMMYFUNCTION("""COMPUTED_VALUE"""),0.0)</f>
        <v>0</v>
      </c>
    </row>
    <row r="6917">
      <c r="A6917" s="2">
        <f>IFERROR(__xludf.DUMMYFUNCTION("""COMPUTED_VALUE"""),41388.666666666664)</f>
        <v>41388.66667</v>
      </c>
      <c r="B6917" s="1">
        <f>IFERROR(__xludf.DUMMYFUNCTION("""COMPUTED_VALUE"""),1578.78)</f>
        <v>1578.78</v>
      </c>
      <c r="C6917" s="1">
        <f>IFERROR(__xludf.DUMMYFUNCTION("""COMPUTED_VALUE"""),1583.0)</f>
        <v>1583</v>
      </c>
      <c r="D6917" s="1">
        <f>IFERROR(__xludf.DUMMYFUNCTION("""COMPUTED_VALUE"""),1575.8)</f>
        <v>1575.8</v>
      </c>
      <c r="E6917" s="1">
        <f>IFERROR(__xludf.DUMMYFUNCTION("""COMPUTED_VALUE"""),1578.79)</f>
        <v>1578.79</v>
      </c>
      <c r="F6917" s="1">
        <f>IFERROR(__xludf.DUMMYFUNCTION("""COMPUTED_VALUE"""),0.0)</f>
        <v>0</v>
      </c>
    </row>
    <row r="6918">
      <c r="A6918" s="2">
        <f>IFERROR(__xludf.DUMMYFUNCTION("""COMPUTED_VALUE"""),41389.666666666664)</f>
        <v>41389.66667</v>
      </c>
      <c r="B6918" s="1">
        <f>IFERROR(__xludf.DUMMYFUNCTION("""COMPUTED_VALUE"""),1578.93)</f>
        <v>1578.93</v>
      </c>
      <c r="C6918" s="1">
        <f>IFERROR(__xludf.DUMMYFUNCTION("""COMPUTED_VALUE"""),1592.64)</f>
        <v>1592.64</v>
      </c>
      <c r="D6918" s="1">
        <f>IFERROR(__xludf.DUMMYFUNCTION("""COMPUTED_VALUE"""),1578.93)</f>
        <v>1578.93</v>
      </c>
      <c r="E6918" s="1">
        <f>IFERROR(__xludf.DUMMYFUNCTION("""COMPUTED_VALUE"""),1585.16)</f>
        <v>1585.16</v>
      </c>
      <c r="F6918" s="1">
        <f>IFERROR(__xludf.DUMMYFUNCTION("""COMPUTED_VALUE"""),0.0)</f>
        <v>0</v>
      </c>
    </row>
    <row r="6919">
      <c r="A6919" s="2">
        <f>IFERROR(__xludf.DUMMYFUNCTION("""COMPUTED_VALUE"""),41390.666666666664)</f>
        <v>41390.66667</v>
      </c>
      <c r="B6919" s="1">
        <f>IFERROR(__xludf.DUMMYFUNCTION("""COMPUTED_VALUE"""),1585.16)</f>
        <v>1585.16</v>
      </c>
      <c r="C6919" s="1">
        <f>IFERROR(__xludf.DUMMYFUNCTION("""COMPUTED_VALUE"""),1585.78)</f>
        <v>1585.78</v>
      </c>
      <c r="D6919" s="1">
        <f>IFERROR(__xludf.DUMMYFUNCTION("""COMPUTED_VALUE"""),1577.56)</f>
        <v>1577.56</v>
      </c>
      <c r="E6919" s="1">
        <f>IFERROR(__xludf.DUMMYFUNCTION("""COMPUTED_VALUE"""),1582.24)</f>
        <v>1582.24</v>
      </c>
      <c r="F6919" s="1">
        <f>IFERROR(__xludf.DUMMYFUNCTION("""COMPUTED_VALUE"""),0.0)</f>
        <v>0</v>
      </c>
    </row>
    <row r="6920">
      <c r="A6920" s="2">
        <f>IFERROR(__xludf.DUMMYFUNCTION("""COMPUTED_VALUE"""),41393.666666666664)</f>
        <v>41393.66667</v>
      </c>
      <c r="B6920" s="1">
        <f>IFERROR(__xludf.DUMMYFUNCTION("""COMPUTED_VALUE"""),1582.34)</f>
        <v>1582.34</v>
      </c>
      <c r="C6920" s="1">
        <f>IFERROR(__xludf.DUMMYFUNCTION("""COMPUTED_VALUE"""),1596.65)</f>
        <v>1596.65</v>
      </c>
      <c r="D6920" s="1">
        <f>IFERROR(__xludf.DUMMYFUNCTION("""COMPUTED_VALUE"""),1582.34)</f>
        <v>1582.34</v>
      </c>
      <c r="E6920" s="1">
        <f>IFERROR(__xludf.DUMMYFUNCTION("""COMPUTED_VALUE"""),1593.61)</f>
        <v>1593.61</v>
      </c>
      <c r="F6920" s="1">
        <f>IFERROR(__xludf.DUMMYFUNCTION("""COMPUTED_VALUE"""),0.0)</f>
        <v>0</v>
      </c>
    </row>
    <row r="6921">
      <c r="A6921" s="2">
        <f>IFERROR(__xludf.DUMMYFUNCTION("""COMPUTED_VALUE"""),41394.666666666664)</f>
        <v>41394.66667</v>
      </c>
      <c r="B6921" s="1">
        <f>IFERROR(__xludf.DUMMYFUNCTION("""COMPUTED_VALUE"""),1593.58)</f>
        <v>1593.58</v>
      </c>
      <c r="C6921" s="1">
        <f>IFERROR(__xludf.DUMMYFUNCTION("""COMPUTED_VALUE"""),1597.57)</f>
        <v>1597.57</v>
      </c>
      <c r="D6921" s="1">
        <f>IFERROR(__xludf.DUMMYFUNCTION("""COMPUTED_VALUE"""),1586.5)</f>
        <v>1586.5</v>
      </c>
      <c r="E6921" s="1">
        <f>IFERROR(__xludf.DUMMYFUNCTION("""COMPUTED_VALUE"""),1597.57)</f>
        <v>1597.57</v>
      </c>
      <c r="F6921" s="1">
        <f>IFERROR(__xludf.DUMMYFUNCTION("""COMPUTED_VALUE"""),0.0)</f>
        <v>0</v>
      </c>
    </row>
    <row r="6922">
      <c r="A6922" s="2">
        <f>IFERROR(__xludf.DUMMYFUNCTION("""COMPUTED_VALUE"""),41395.666666666664)</f>
        <v>41395.66667</v>
      </c>
      <c r="B6922" s="1">
        <f>IFERROR(__xludf.DUMMYFUNCTION("""COMPUTED_VALUE"""),1597.55)</f>
        <v>1597.55</v>
      </c>
      <c r="C6922" s="1">
        <f>IFERROR(__xludf.DUMMYFUNCTION("""COMPUTED_VALUE"""),1597.55)</f>
        <v>1597.55</v>
      </c>
      <c r="D6922" s="1">
        <f>IFERROR(__xludf.DUMMYFUNCTION("""COMPUTED_VALUE"""),1581.28)</f>
        <v>1581.28</v>
      </c>
      <c r="E6922" s="1">
        <f>IFERROR(__xludf.DUMMYFUNCTION("""COMPUTED_VALUE"""),1582.7)</f>
        <v>1582.7</v>
      </c>
      <c r="F6922" s="1">
        <f>IFERROR(__xludf.DUMMYFUNCTION("""COMPUTED_VALUE"""),0.0)</f>
        <v>0</v>
      </c>
    </row>
    <row r="6923">
      <c r="A6923" s="2">
        <f>IFERROR(__xludf.DUMMYFUNCTION("""COMPUTED_VALUE"""),41396.666666666664)</f>
        <v>41396.66667</v>
      </c>
      <c r="B6923" s="1">
        <f>IFERROR(__xludf.DUMMYFUNCTION("""COMPUTED_VALUE"""),1582.77)</f>
        <v>1582.77</v>
      </c>
      <c r="C6923" s="1">
        <f>IFERROR(__xludf.DUMMYFUNCTION("""COMPUTED_VALUE"""),1598.6)</f>
        <v>1598.6</v>
      </c>
      <c r="D6923" s="1">
        <f>IFERROR(__xludf.DUMMYFUNCTION("""COMPUTED_VALUE"""),1582.77)</f>
        <v>1582.77</v>
      </c>
      <c r="E6923" s="1">
        <f>IFERROR(__xludf.DUMMYFUNCTION("""COMPUTED_VALUE"""),1597.59)</f>
        <v>1597.59</v>
      </c>
      <c r="F6923" s="1">
        <f>IFERROR(__xludf.DUMMYFUNCTION("""COMPUTED_VALUE"""),0.0)</f>
        <v>0</v>
      </c>
    </row>
    <row r="6924">
      <c r="A6924" s="2">
        <f>IFERROR(__xludf.DUMMYFUNCTION("""COMPUTED_VALUE"""),41397.666666666664)</f>
        <v>41397.66667</v>
      </c>
      <c r="B6924" s="1">
        <f>IFERROR(__xludf.DUMMYFUNCTION("""COMPUTED_VALUE"""),1597.6)</f>
        <v>1597.6</v>
      </c>
      <c r="C6924" s="1">
        <f>IFERROR(__xludf.DUMMYFUNCTION("""COMPUTED_VALUE"""),1618.46)</f>
        <v>1618.46</v>
      </c>
      <c r="D6924" s="1">
        <f>IFERROR(__xludf.DUMMYFUNCTION("""COMPUTED_VALUE"""),1597.6)</f>
        <v>1597.6</v>
      </c>
      <c r="E6924" s="1">
        <f>IFERROR(__xludf.DUMMYFUNCTION("""COMPUTED_VALUE"""),1614.42)</f>
        <v>1614.42</v>
      </c>
      <c r="F6924" s="1">
        <f>IFERROR(__xludf.DUMMYFUNCTION("""COMPUTED_VALUE"""),0.0)</f>
        <v>0</v>
      </c>
    </row>
    <row r="6925">
      <c r="A6925" s="2">
        <f>IFERROR(__xludf.DUMMYFUNCTION("""COMPUTED_VALUE"""),41400.666666666664)</f>
        <v>41400.66667</v>
      </c>
      <c r="B6925" s="1">
        <f>IFERROR(__xludf.DUMMYFUNCTION("""COMPUTED_VALUE"""),1614.4)</f>
        <v>1614.4</v>
      </c>
      <c r="C6925" s="1">
        <f>IFERROR(__xludf.DUMMYFUNCTION("""COMPUTED_VALUE"""),1619.77)</f>
        <v>1619.77</v>
      </c>
      <c r="D6925" s="1">
        <f>IFERROR(__xludf.DUMMYFUNCTION("""COMPUTED_VALUE"""),1614.21)</f>
        <v>1614.21</v>
      </c>
      <c r="E6925" s="1">
        <f>IFERROR(__xludf.DUMMYFUNCTION("""COMPUTED_VALUE"""),1617.5)</f>
        <v>1617.5</v>
      </c>
      <c r="F6925" s="1">
        <f>IFERROR(__xludf.DUMMYFUNCTION("""COMPUTED_VALUE"""),0.0)</f>
        <v>0</v>
      </c>
    </row>
    <row r="6926">
      <c r="A6926" s="2">
        <f>IFERROR(__xludf.DUMMYFUNCTION("""COMPUTED_VALUE"""),41401.666666666664)</f>
        <v>41401.66667</v>
      </c>
      <c r="B6926" s="1">
        <f>IFERROR(__xludf.DUMMYFUNCTION("""COMPUTED_VALUE"""),1617.55)</f>
        <v>1617.55</v>
      </c>
      <c r="C6926" s="1">
        <f>IFERROR(__xludf.DUMMYFUNCTION("""COMPUTED_VALUE"""),1626.03)</f>
        <v>1626.03</v>
      </c>
      <c r="D6926" s="1">
        <f>IFERROR(__xludf.DUMMYFUNCTION("""COMPUTED_VALUE"""),1616.64)</f>
        <v>1616.64</v>
      </c>
      <c r="E6926" s="1">
        <f>IFERROR(__xludf.DUMMYFUNCTION("""COMPUTED_VALUE"""),1625.96)</f>
        <v>1625.96</v>
      </c>
      <c r="F6926" s="1">
        <f>IFERROR(__xludf.DUMMYFUNCTION("""COMPUTED_VALUE"""),0.0)</f>
        <v>0</v>
      </c>
    </row>
    <row r="6927">
      <c r="A6927" s="2">
        <f>IFERROR(__xludf.DUMMYFUNCTION("""COMPUTED_VALUE"""),41402.666666666664)</f>
        <v>41402.66667</v>
      </c>
      <c r="B6927" s="1">
        <f>IFERROR(__xludf.DUMMYFUNCTION("""COMPUTED_VALUE"""),1625.95)</f>
        <v>1625.95</v>
      </c>
      <c r="C6927" s="1">
        <f>IFERROR(__xludf.DUMMYFUNCTION("""COMPUTED_VALUE"""),1632.78)</f>
        <v>1632.78</v>
      </c>
      <c r="D6927" s="1">
        <f>IFERROR(__xludf.DUMMYFUNCTION("""COMPUTED_VALUE"""),1622.7)</f>
        <v>1622.7</v>
      </c>
      <c r="E6927" s="1">
        <f>IFERROR(__xludf.DUMMYFUNCTION("""COMPUTED_VALUE"""),1632.69)</f>
        <v>1632.69</v>
      </c>
      <c r="F6927" s="1">
        <f>IFERROR(__xludf.DUMMYFUNCTION("""COMPUTED_VALUE"""),0.0)</f>
        <v>0</v>
      </c>
    </row>
    <row r="6928">
      <c r="A6928" s="2">
        <f>IFERROR(__xludf.DUMMYFUNCTION("""COMPUTED_VALUE"""),41403.666666666664)</f>
        <v>41403.66667</v>
      </c>
      <c r="B6928" s="1">
        <f>IFERROR(__xludf.DUMMYFUNCTION("""COMPUTED_VALUE"""),1632.69)</f>
        <v>1632.69</v>
      </c>
      <c r="C6928" s="1">
        <f>IFERROR(__xludf.DUMMYFUNCTION("""COMPUTED_VALUE"""),1635.01)</f>
        <v>1635.01</v>
      </c>
      <c r="D6928" s="1">
        <f>IFERROR(__xludf.DUMMYFUNCTION("""COMPUTED_VALUE"""),1623.09)</f>
        <v>1623.09</v>
      </c>
      <c r="E6928" s="1">
        <f>IFERROR(__xludf.DUMMYFUNCTION("""COMPUTED_VALUE"""),1626.67)</f>
        <v>1626.67</v>
      </c>
      <c r="F6928" s="1">
        <f>IFERROR(__xludf.DUMMYFUNCTION("""COMPUTED_VALUE"""),0.0)</f>
        <v>0</v>
      </c>
    </row>
    <row r="6929">
      <c r="A6929" s="2">
        <f>IFERROR(__xludf.DUMMYFUNCTION("""COMPUTED_VALUE"""),41404.666666666664)</f>
        <v>41404.66667</v>
      </c>
      <c r="B6929" s="1">
        <f>IFERROR(__xludf.DUMMYFUNCTION("""COMPUTED_VALUE"""),1626.69)</f>
        <v>1626.69</v>
      </c>
      <c r="C6929" s="1">
        <f>IFERROR(__xludf.DUMMYFUNCTION("""COMPUTED_VALUE"""),1633.7)</f>
        <v>1633.7</v>
      </c>
      <c r="D6929" s="1">
        <f>IFERROR(__xludf.DUMMYFUNCTION("""COMPUTED_VALUE"""),1623.71)</f>
        <v>1623.71</v>
      </c>
      <c r="E6929" s="1">
        <f>IFERROR(__xludf.DUMMYFUNCTION("""COMPUTED_VALUE"""),1633.7)</f>
        <v>1633.7</v>
      </c>
      <c r="F6929" s="1">
        <f>IFERROR(__xludf.DUMMYFUNCTION("""COMPUTED_VALUE"""),0.0)</f>
        <v>0</v>
      </c>
    </row>
    <row r="6930">
      <c r="A6930" s="2">
        <f>IFERROR(__xludf.DUMMYFUNCTION("""COMPUTED_VALUE"""),41407.666666666664)</f>
        <v>41407.66667</v>
      </c>
      <c r="B6930" s="1">
        <f>IFERROR(__xludf.DUMMYFUNCTION("""COMPUTED_VALUE"""),1632.1)</f>
        <v>1632.1</v>
      </c>
      <c r="C6930" s="1">
        <f>IFERROR(__xludf.DUMMYFUNCTION("""COMPUTED_VALUE"""),1636.0)</f>
        <v>1636</v>
      </c>
      <c r="D6930" s="1">
        <f>IFERROR(__xludf.DUMMYFUNCTION("""COMPUTED_VALUE"""),1626.74)</f>
        <v>1626.74</v>
      </c>
      <c r="E6930" s="1">
        <f>IFERROR(__xludf.DUMMYFUNCTION("""COMPUTED_VALUE"""),1633.77)</f>
        <v>1633.77</v>
      </c>
      <c r="F6930" s="1">
        <f>IFERROR(__xludf.DUMMYFUNCTION("""COMPUTED_VALUE"""),0.0)</f>
        <v>0</v>
      </c>
    </row>
    <row r="6931">
      <c r="A6931" s="2">
        <f>IFERROR(__xludf.DUMMYFUNCTION("""COMPUTED_VALUE"""),41408.666666666664)</f>
        <v>41408.66667</v>
      </c>
      <c r="B6931" s="1">
        <f>IFERROR(__xludf.DUMMYFUNCTION("""COMPUTED_VALUE"""),1633.75)</f>
        <v>1633.75</v>
      </c>
      <c r="C6931" s="1">
        <f>IFERROR(__xludf.DUMMYFUNCTION("""COMPUTED_VALUE"""),1651.1)</f>
        <v>1651.1</v>
      </c>
      <c r="D6931" s="1">
        <f>IFERROR(__xludf.DUMMYFUNCTION("""COMPUTED_VALUE"""),1633.75)</f>
        <v>1633.75</v>
      </c>
      <c r="E6931" s="1">
        <f>IFERROR(__xludf.DUMMYFUNCTION("""COMPUTED_VALUE"""),1650.34)</f>
        <v>1650.34</v>
      </c>
      <c r="F6931" s="1">
        <f>IFERROR(__xludf.DUMMYFUNCTION("""COMPUTED_VALUE"""),0.0)</f>
        <v>0</v>
      </c>
    </row>
    <row r="6932">
      <c r="A6932" s="2">
        <f>IFERROR(__xludf.DUMMYFUNCTION("""COMPUTED_VALUE"""),41409.666666666664)</f>
        <v>41409.66667</v>
      </c>
      <c r="B6932" s="1">
        <f>IFERROR(__xludf.DUMMYFUNCTION("""COMPUTED_VALUE"""),1649.13)</f>
        <v>1649.13</v>
      </c>
      <c r="C6932" s="1">
        <f>IFERROR(__xludf.DUMMYFUNCTION("""COMPUTED_VALUE"""),1661.49)</f>
        <v>1661.49</v>
      </c>
      <c r="D6932" s="1">
        <f>IFERROR(__xludf.DUMMYFUNCTION("""COMPUTED_VALUE"""),1646.68)</f>
        <v>1646.68</v>
      </c>
      <c r="E6932" s="1">
        <f>IFERROR(__xludf.DUMMYFUNCTION("""COMPUTED_VALUE"""),1658.78)</f>
        <v>1658.78</v>
      </c>
      <c r="F6932" s="1">
        <f>IFERROR(__xludf.DUMMYFUNCTION("""COMPUTED_VALUE"""),0.0)</f>
        <v>0</v>
      </c>
    </row>
    <row r="6933">
      <c r="A6933" s="2">
        <f>IFERROR(__xludf.DUMMYFUNCTION("""COMPUTED_VALUE"""),41410.666666666664)</f>
        <v>41410.66667</v>
      </c>
      <c r="B6933" s="1">
        <f>IFERROR(__xludf.DUMMYFUNCTION("""COMPUTED_VALUE"""),1658.07)</f>
        <v>1658.07</v>
      </c>
      <c r="C6933" s="1">
        <f>IFERROR(__xludf.DUMMYFUNCTION("""COMPUTED_VALUE"""),1660.51)</f>
        <v>1660.51</v>
      </c>
      <c r="D6933" s="1">
        <f>IFERROR(__xludf.DUMMYFUNCTION("""COMPUTED_VALUE"""),1648.6)</f>
        <v>1648.6</v>
      </c>
      <c r="E6933" s="1">
        <f>IFERROR(__xludf.DUMMYFUNCTION("""COMPUTED_VALUE"""),1650.47)</f>
        <v>1650.47</v>
      </c>
      <c r="F6933" s="1">
        <f>IFERROR(__xludf.DUMMYFUNCTION("""COMPUTED_VALUE"""),0.0)</f>
        <v>0</v>
      </c>
    </row>
    <row r="6934">
      <c r="A6934" s="2">
        <f>IFERROR(__xludf.DUMMYFUNCTION("""COMPUTED_VALUE"""),41411.666666666664)</f>
        <v>41411.66667</v>
      </c>
      <c r="B6934" s="1">
        <f>IFERROR(__xludf.DUMMYFUNCTION("""COMPUTED_VALUE"""),1652.45)</f>
        <v>1652.45</v>
      </c>
      <c r="C6934" s="1">
        <f>IFERROR(__xludf.DUMMYFUNCTION("""COMPUTED_VALUE"""),1667.38)</f>
        <v>1667.38</v>
      </c>
      <c r="D6934" s="1">
        <f>IFERROR(__xludf.DUMMYFUNCTION("""COMPUTED_VALUE"""),1652.45)</f>
        <v>1652.45</v>
      </c>
      <c r="E6934" s="1">
        <f>IFERROR(__xludf.DUMMYFUNCTION("""COMPUTED_VALUE"""),1666.12)</f>
        <v>1666.12</v>
      </c>
      <c r="F6934" s="1">
        <f>IFERROR(__xludf.DUMMYFUNCTION("""COMPUTED_VALUE"""),0.0)</f>
        <v>0</v>
      </c>
    </row>
    <row r="6935">
      <c r="A6935" s="2">
        <f>IFERROR(__xludf.DUMMYFUNCTION("""COMPUTED_VALUE"""),41414.666666666664)</f>
        <v>41414.66667</v>
      </c>
      <c r="B6935" s="1">
        <f>IFERROR(__xludf.DUMMYFUNCTION("""COMPUTED_VALUE"""),1665.71)</f>
        <v>1665.71</v>
      </c>
      <c r="C6935" s="1">
        <f>IFERROR(__xludf.DUMMYFUNCTION("""COMPUTED_VALUE"""),1672.84)</f>
        <v>1672.84</v>
      </c>
      <c r="D6935" s="1">
        <f>IFERROR(__xludf.DUMMYFUNCTION("""COMPUTED_VALUE"""),1663.52)</f>
        <v>1663.52</v>
      </c>
      <c r="E6935" s="1">
        <f>IFERROR(__xludf.DUMMYFUNCTION("""COMPUTED_VALUE"""),1666.29)</f>
        <v>1666.29</v>
      </c>
      <c r="F6935" s="1">
        <f>IFERROR(__xludf.DUMMYFUNCTION("""COMPUTED_VALUE"""),0.0)</f>
        <v>0</v>
      </c>
    </row>
    <row r="6936">
      <c r="A6936" s="2">
        <f>IFERROR(__xludf.DUMMYFUNCTION("""COMPUTED_VALUE"""),41415.666666666664)</f>
        <v>41415.66667</v>
      </c>
      <c r="B6936" s="1">
        <f>IFERROR(__xludf.DUMMYFUNCTION("""COMPUTED_VALUE"""),1666.2)</f>
        <v>1666.2</v>
      </c>
      <c r="C6936" s="1">
        <f>IFERROR(__xludf.DUMMYFUNCTION("""COMPUTED_VALUE"""),1674.93)</f>
        <v>1674.93</v>
      </c>
      <c r="D6936" s="1">
        <f>IFERROR(__xludf.DUMMYFUNCTION("""COMPUTED_VALUE"""),1662.67)</f>
        <v>1662.67</v>
      </c>
      <c r="E6936" s="1">
        <f>IFERROR(__xludf.DUMMYFUNCTION("""COMPUTED_VALUE"""),1669.16)</f>
        <v>1669.16</v>
      </c>
      <c r="F6936" s="1">
        <f>IFERROR(__xludf.DUMMYFUNCTION("""COMPUTED_VALUE"""),0.0)</f>
        <v>0</v>
      </c>
    </row>
    <row r="6937">
      <c r="A6937" s="2">
        <f>IFERROR(__xludf.DUMMYFUNCTION("""COMPUTED_VALUE"""),41416.666666666664)</f>
        <v>41416.66667</v>
      </c>
      <c r="B6937" s="1">
        <f>IFERROR(__xludf.DUMMYFUNCTION("""COMPUTED_VALUE"""),1669.39)</f>
        <v>1669.39</v>
      </c>
      <c r="C6937" s="1">
        <f>IFERROR(__xludf.DUMMYFUNCTION("""COMPUTED_VALUE"""),1687.18)</f>
        <v>1687.18</v>
      </c>
      <c r="D6937" s="1">
        <f>IFERROR(__xludf.DUMMYFUNCTION("""COMPUTED_VALUE"""),1648.86)</f>
        <v>1648.86</v>
      </c>
      <c r="E6937" s="1">
        <f>IFERROR(__xludf.DUMMYFUNCTION("""COMPUTED_VALUE"""),1655.35)</f>
        <v>1655.35</v>
      </c>
      <c r="F6937" s="1">
        <f>IFERROR(__xludf.DUMMYFUNCTION("""COMPUTED_VALUE"""),0.0)</f>
        <v>0</v>
      </c>
    </row>
    <row r="6938">
      <c r="A6938" s="2">
        <f>IFERROR(__xludf.DUMMYFUNCTION("""COMPUTED_VALUE"""),41417.666666666664)</f>
        <v>41417.66667</v>
      </c>
      <c r="B6938" s="1">
        <f>IFERROR(__xludf.DUMMYFUNCTION("""COMPUTED_VALUE"""),1651.62)</f>
        <v>1651.62</v>
      </c>
      <c r="C6938" s="1">
        <f>IFERROR(__xludf.DUMMYFUNCTION("""COMPUTED_VALUE"""),1655.5)</f>
        <v>1655.5</v>
      </c>
      <c r="D6938" s="1">
        <f>IFERROR(__xludf.DUMMYFUNCTION("""COMPUTED_VALUE"""),1635.53)</f>
        <v>1635.53</v>
      </c>
      <c r="E6938" s="1">
        <f>IFERROR(__xludf.DUMMYFUNCTION("""COMPUTED_VALUE"""),1650.51)</f>
        <v>1650.51</v>
      </c>
      <c r="F6938" s="1">
        <f>IFERROR(__xludf.DUMMYFUNCTION("""COMPUTED_VALUE"""),0.0)</f>
        <v>0</v>
      </c>
    </row>
    <row r="6939">
      <c r="A6939" s="2">
        <f>IFERROR(__xludf.DUMMYFUNCTION("""COMPUTED_VALUE"""),41418.666666666664)</f>
        <v>41418.66667</v>
      </c>
      <c r="B6939" s="1">
        <f>IFERROR(__xludf.DUMMYFUNCTION("""COMPUTED_VALUE"""),1646.67)</f>
        <v>1646.67</v>
      </c>
      <c r="C6939" s="1">
        <f>IFERROR(__xludf.DUMMYFUNCTION("""COMPUTED_VALUE"""),1649.78)</f>
        <v>1649.78</v>
      </c>
      <c r="D6939" s="1">
        <f>IFERROR(__xludf.DUMMYFUNCTION("""COMPUTED_VALUE"""),1636.88)</f>
        <v>1636.88</v>
      </c>
      <c r="E6939" s="1">
        <f>IFERROR(__xludf.DUMMYFUNCTION("""COMPUTED_VALUE"""),1649.6)</f>
        <v>1649.6</v>
      </c>
      <c r="F6939" s="1">
        <f>IFERROR(__xludf.DUMMYFUNCTION("""COMPUTED_VALUE"""),0.0)</f>
        <v>0</v>
      </c>
    </row>
    <row r="6940">
      <c r="A6940" s="2">
        <f>IFERROR(__xludf.DUMMYFUNCTION("""COMPUTED_VALUE"""),41422.666666666664)</f>
        <v>41422.66667</v>
      </c>
      <c r="B6940" s="1">
        <f>IFERROR(__xludf.DUMMYFUNCTION("""COMPUTED_VALUE"""),1652.63)</f>
        <v>1652.63</v>
      </c>
      <c r="C6940" s="1">
        <f>IFERROR(__xludf.DUMMYFUNCTION("""COMPUTED_VALUE"""),1674.21)</f>
        <v>1674.21</v>
      </c>
      <c r="D6940" s="1">
        <f>IFERROR(__xludf.DUMMYFUNCTION("""COMPUTED_VALUE"""),1652.63)</f>
        <v>1652.63</v>
      </c>
      <c r="E6940" s="1">
        <f>IFERROR(__xludf.DUMMYFUNCTION("""COMPUTED_VALUE"""),1660.06)</f>
        <v>1660.06</v>
      </c>
      <c r="F6940" s="1">
        <f>IFERROR(__xludf.DUMMYFUNCTION("""COMPUTED_VALUE"""),0.0)</f>
        <v>0</v>
      </c>
    </row>
    <row r="6941">
      <c r="A6941" s="2">
        <f>IFERROR(__xludf.DUMMYFUNCTION("""COMPUTED_VALUE"""),41423.666666666664)</f>
        <v>41423.66667</v>
      </c>
      <c r="B6941" s="1">
        <f>IFERROR(__xludf.DUMMYFUNCTION("""COMPUTED_VALUE"""),1656.57)</f>
        <v>1656.57</v>
      </c>
      <c r="C6941" s="1">
        <f>IFERROR(__xludf.DUMMYFUNCTION("""COMPUTED_VALUE"""),1656.57)</f>
        <v>1656.57</v>
      </c>
      <c r="D6941" s="1">
        <f>IFERROR(__xludf.DUMMYFUNCTION("""COMPUTED_VALUE"""),1640.05)</f>
        <v>1640.05</v>
      </c>
      <c r="E6941" s="1">
        <f>IFERROR(__xludf.DUMMYFUNCTION("""COMPUTED_VALUE"""),1648.36)</f>
        <v>1648.36</v>
      </c>
      <c r="F6941" s="1">
        <f>IFERROR(__xludf.DUMMYFUNCTION("""COMPUTED_VALUE"""),0.0)</f>
        <v>0</v>
      </c>
    </row>
    <row r="6942">
      <c r="A6942" s="2">
        <f>IFERROR(__xludf.DUMMYFUNCTION("""COMPUTED_VALUE"""),41424.666666666664)</f>
        <v>41424.66667</v>
      </c>
      <c r="B6942" s="1">
        <f>IFERROR(__xludf.DUMMYFUNCTION("""COMPUTED_VALUE"""),1649.14)</f>
        <v>1649.14</v>
      </c>
      <c r="C6942" s="1">
        <f>IFERROR(__xludf.DUMMYFUNCTION("""COMPUTED_VALUE"""),1661.91)</f>
        <v>1661.91</v>
      </c>
      <c r="D6942" s="1">
        <f>IFERROR(__xludf.DUMMYFUNCTION("""COMPUTED_VALUE"""),1648.61)</f>
        <v>1648.61</v>
      </c>
      <c r="E6942" s="1">
        <f>IFERROR(__xludf.DUMMYFUNCTION("""COMPUTED_VALUE"""),1654.41)</f>
        <v>1654.41</v>
      </c>
      <c r="F6942" s="1">
        <f>IFERROR(__xludf.DUMMYFUNCTION("""COMPUTED_VALUE"""),0.0)</f>
        <v>0</v>
      </c>
    </row>
    <row r="6943">
      <c r="A6943" s="2">
        <f>IFERROR(__xludf.DUMMYFUNCTION("""COMPUTED_VALUE"""),41425.666666666664)</f>
        <v>41425.66667</v>
      </c>
      <c r="B6943" s="1">
        <f>IFERROR(__xludf.DUMMYFUNCTION("""COMPUTED_VALUE"""),1652.13)</f>
        <v>1652.13</v>
      </c>
      <c r="C6943" s="1">
        <f>IFERROR(__xludf.DUMMYFUNCTION("""COMPUTED_VALUE"""),1658.99)</f>
        <v>1658.99</v>
      </c>
      <c r="D6943" s="1">
        <f>IFERROR(__xludf.DUMMYFUNCTION("""COMPUTED_VALUE"""),1630.74)</f>
        <v>1630.74</v>
      </c>
      <c r="E6943" s="1">
        <f>IFERROR(__xludf.DUMMYFUNCTION("""COMPUTED_VALUE"""),1630.74)</f>
        <v>1630.74</v>
      </c>
      <c r="F6943" s="1">
        <f>IFERROR(__xludf.DUMMYFUNCTION("""COMPUTED_VALUE"""),0.0)</f>
        <v>0</v>
      </c>
    </row>
    <row r="6944">
      <c r="A6944" s="2">
        <f>IFERROR(__xludf.DUMMYFUNCTION("""COMPUTED_VALUE"""),41428.666666666664)</f>
        <v>41428.66667</v>
      </c>
      <c r="B6944" s="1">
        <f>IFERROR(__xludf.DUMMYFUNCTION("""COMPUTED_VALUE"""),1631.71)</f>
        <v>1631.71</v>
      </c>
      <c r="C6944" s="1">
        <f>IFERROR(__xludf.DUMMYFUNCTION("""COMPUTED_VALUE"""),1640.42)</f>
        <v>1640.42</v>
      </c>
      <c r="D6944" s="1">
        <f>IFERROR(__xludf.DUMMYFUNCTION("""COMPUTED_VALUE"""),1622.72)</f>
        <v>1622.72</v>
      </c>
      <c r="E6944" s="1">
        <f>IFERROR(__xludf.DUMMYFUNCTION("""COMPUTED_VALUE"""),1640.42)</f>
        <v>1640.42</v>
      </c>
      <c r="F6944" s="1">
        <f>IFERROR(__xludf.DUMMYFUNCTION("""COMPUTED_VALUE"""),0.0)</f>
        <v>0</v>
      </c>
    </row>
    <row r="6945">
      <c r="A6945" s="2">
        <f>IFERROR(__xludf.DUMMYFUNCTION("""COMPUTED_VALUE"""),41429.666666666664)</f>
        <v>41429.66667</v>
      </c>
      <c r="B6945" s="1">
        <f>IFERROR(__xludf.DUMMYFUNCTION("""COMPUTED_VALUE"""),1640.73)</f>
        <v>1640.73</v>
      </c>
      <c r="C6945" s="1">
        <f>IFERROR(__xludf.DUMMYFUNCTION("""COMPUTED_VALUE"""),1646.53)</f>
        <v>1646.53</v>
      </c>
      <c r="D6945" s="1">
        <f>IFERROR(__xludf.DUMMYFUNCTION("""COMPUTED_VALUE"""),1623.62)</f>
        <v>1623.62</v>
      </c>
      <c r="E6945" s="1">
        <f>IFERROR(__xludf.DUMMYFUNCTION("""COMPUTED_VALUE"""),1631.38)</f>
        <v>1631.38</v>
      </c>
      <c r="F6945" s="1">
        <f>IFERROR(__xludf.DUMMYFUNCTION("""COMPUTED_VALUE"""),0.0)</f>
        <v>0</v>
      </c>
    </row>
    <row r="6946">
      <c r="A6946" s="2">
        <f>IFERROR(__xludf.DUMMYFUNCTION("""COMPUTED_VALUE"""),41430.666666666664)</f>
        <v>41430.66667</v>
      </c>
      <c r="B6946" s="1">
        <f>IFERROR(__xludf.DUMMYFUNCTION("""COMPUTED_VALUE"""),1629.05)</f>
        <v>1629.05</v>
      </c>
      <c r="C6946" s="1">
        <f>IFERROR(__xludf.DUMMYFUNCTION("""COMPUTED_VALUE"""),1629.31)</f>
        <v>1629.31</v>
      </c>
      <c r="D6946" s="1">
        <f>IFERROR(__xludf.DUMMYFUNCTION("""COMPUTED_VALUE"""),1607.09)</f>
        <v>1607.09</v>
      </c>
      <c r="E6946" s="1">
        <f>IFERROR(__xludf.DUMMYFUNCTION("""COMPUTED_VALUE"""),1608.9)</f>
        <v>1608.9</v>
      </c>
      <c r="F6946" s="1">
        <f>IFERROR(__xludf.DUMMYFUNCTION("""COMPUTED_VALUE"""),0.0)</f>
        <v>0</v>
      </c>
    </row>
    <row r="6947">
      <c r="A6947" s="2">
        <f>IFERROR(__xludf.DUMMYFUNCTION("""COMPUTED_VALUE"""),41431.666666666664)</f>
        <v>41431.66667</v>
      </c>
      <c r="B6947" s="1">
        <f>IFERROR(__xludf.DUMMYFUNCTION("""COMPUTED_VALUE"""),1609.29)</f>
        <v>1609.29</v>
      </c>
      <c r="C6947" s="1">
        <f>IFERROR(__xludf.DUMMYFUNCTION("""COMPUTED_VALUE"""),1622.56)</f>
        <v>1622.56</v>
      </c>
      <c r="D6947" s="1">
        <f>IFERROR(__xludf.DUMMYFUNCTION("""COMPUTED_VALUE"""),1598.23)</f>
        <v>1598.23</v>
      </c>
      <c r="E6947" s="1">
        <f>IFERROR(__xludf.DUMMYFUNCTION("""COMPUTED_VALUE"""),1622.56)</f>
        <v>1622.56</v>
      </c>
      <c r="F6947" s="1">
        <f>IFERROR(__xludf.DUMMYFUNCTION("""COMPUTED_VALUE"""),0.0)</f>
        <v>0</v>
      </c>
    </row>
    <row r="6948">
      <c r="A6948" s="2">
        <f>IFERROR(__xludf.DUMMYFUNCTION("""COMPUTED_VALUE"""),41432.666666666664)</f>
        <v>41432.66667</v>
      </c>
      <c r="B6948" s="1">
        <f>IFERROR(__xludf.DUMMYFUNCTION("""COMPUTED_VALUE"""),1625.27)</f>
        <v>1625.27</v>
      </c>
      <c r="C6948" s="1">
        <f>IFERROR(__xludf.DUMMYFUNCTION("""COMPUTED_VALUE"""),1644.4)</f>
        <v>1644.4</v>
      </c>
      <c r="D6948" s="1">
        <f>IFERROR(__xludf.DUMMYFUNCTION("""COMPUTED_VALUE"""),1625.27)</f>
        <v>1625.27</v>
      </c>
      <c r="E6948" s="1">
        <f>IFERROR(__xludf.DUMMYFUNCTION("""COMPUTED_VALUE"""),1643.38)</f>
        <v>1643.38</v>
      </c>
      <c r="F6948" s="1">
        <f>IFERROR(__xludf.DUMMYFUNCTION("""COMPUTED_VALUE"""),0.0)</f>
        <v>0</v>
      </c>
    </row>
    <row r="6949">
      <c r="A6949" s="2">
        <f>IFERROR(__xludf.DUMMYFUNCTION("""COMPUTED_VALUE"""),41435.666666666664)</f>
        <v>41435.66667</v>
      </c>
      <c r="B6949" s="1">
        <f>IFERROR(__xludf.DUMMYFUNCTION("""COMPUTED_VALUE"""),1644.67)</f>
        <v>1644.67</v>
      </c>
      <c r="C6949" s="1">
        <f>IFERROR(__xludf.DUMMYFUNCTION("""COMPUTED_VALUE"""),1648.69)</f>
        <v>1648.69</v>
      </c>
      <c r="D6949" s="1">
        <f>IFERROR(__xludf.DUMMYFUNCTION("""COMPUTED_VALUE"""),1639.26)</f>
        <v>1639.26</v>
      </c>
      <c r="E6949" s="1">
        <f>IFERROR(__xludf.DUMMYFUNCTION("""COMPUTED_VALUE"""),1642.81)</f>
        <v>1642.81</v>
      </c>
      <c r="F6949" s="1">
        <f>IFERROR(__xludf.DUMMYFUNCTION("""COMPUTED_VALUE"""),0.0)</f>
        <v>0</v>
      </c>
    </row>
    <row r="6950">
      <c r="A6950" s="2">
        <f>IFERROR(__xludf.DUMMYFUNCTION("""COMPUTED_VALUE"""),41436.666666666664)</f>
        <v>41436.66667</v>
      </c>
      <c r="B6950" s="1">
        <f>IFERROR(__xludf.DUMMYFUNCTION("""COMPUTED_VALUE"""),1638.64)</f>
        <v>1638.64</v>
      </c>
      <c r="C6950" s="1">
        <f>IFERROR(__xludf.DUMMYFUNCTION("""COMPUTED_VALUE"""),1640.13)</f>
        <v>1640.13</v>
      </c>
      <c r="D6950" s="1">
        <f>IFERROR(__xludf.DUMMYFUNCTION("""COMPUTED_VALUE"""),1622.92)</f>
        <v>1622.92</v>
      </c>
      <c r="E6950" s="1">
        <f>IFERROR(__xludf.DUMMYFUNCTION("""COMPUTED_VALUE"""),1626.13)</f>
        <v>1626.13</v>
      </c>
      <c r="F6950" s="1">
        <f>IFERROR(__xludf.DUMMYFUNCTION("""COMPUTED_VALUE"""),0.0)</f>
        <v>0</v>
      </c>
    </row>
    <row r="6951">
      <c r="A6951" s="2">
        <f>IFERROR(__xludf.DUMMYFUNCTION("""COMPUTED_VALUE"""),41437.666666666664)</f>
        <v>41437.66667</v>
      </c>
      <c r="B6951" s="1">
        <f>IFERROR(__xludf.DUMMYFUNCTION("""COMPUTED_VALUE"""),1629.94)</f>
        <v>1629.94</v>
      </c>
      <c r="C6951" s="1">
        <f>IFERROR(__xludf.DUMMYFUNCTION("""COMPUTED_VALUE"""),1637.71)</f>
        <v>1637.71</v>
      </c>
      <c r="D6951" s="1">
        <f>IFERROR(__xludf.DUMMYFUNCTION("""COMPUTED_VALUE"""),1610.92)</f>
        <v>1610.92</v>
      </c>
      <c r="E6951" s="1">
        <f>IFERROR(__xludf.DUMMYFUNCTION("""COMPUTED_VALUE"""),1612.52)</f>
        <v>1612.52</v>
      </c>
      <c r="F6951" s="1">
        <f>IFERROR(__xludf.DUMMYFUNCTION("""COMPUTED_VALUE"""),0.0)</f>
        <v>0</v>
      </c>
    </row>
    <row r="6952">
      <c r="A6952" s="2">
        <f>IFERROR(__xludf.DUMMYFUNCTION("""COMPUTED_VALUE"""),41438.666666666664)</f>
        <v>41438.66667</v>
      </c>
      <c r="B6952" s="1">
        <f>IFERROR(__xludf.DUMMYFUNCTION("""COMPUTED_VALUE"""),1612.15)</f>
        <v>1612.15</v>
      </c>
      <c r="C6952" s="1">
        <f>IFERROR(__xludf.DUMMYFUNCTION("""COMPUTED_VALUE"""),1639.25)</f>
        <v>1639.25</v>
      </c>
      <c r="D6952" s="1">
        <f>IFERROR(__xludf.DUMMYFUNCTION("""COMPUTED_VALUE"""),1608.07)</f>
        <v>1608.07</v>
      </c>
      <c r="E6952" s="1">
        <f>IFERROR(__xludf.DUMMYFUNCTION("""COMPUTED_VALUE"""),1636.36)</f>
        <v>1636.36</v>
      </c>
      <c r="F6952" s="1">
        <f>IFERROR(__xludf.DUMMYFUNCTION("""COMPUTED_VALUE"""),0.0)</f>
        <v>0</v>
      </c>
    </row>
    <row r="6953">
      <c r="A6953" s="2">
        <f>IFERROR(__xludf.DUMMYFUNCTION("""COMPUTED_VALUE"""),41439.666666666664)</f>
        <v>41439.66667</v>
      </c>
      <c r="B6953" s="1">
        <f>IFERROR(__xludf.DUMMYFUNCTION("""COMPUTED_VALUE"""),1635.52)</f>
        <v>1635.52</v>
      </c>
      <c r="C6953" s="1">
        <f>IFERROR(__xludf.DUMMYFUNCTION("""COMPUTED_VALUE"""),1640.8)</f>
        <v>1640.8</v>
      </c>
      <c r="D6953" s="1">
        <f>IFERROR(__xludf.DUMMYFUNCTION("""COMPUTED_VALUE"""),1623.96)</f>
        <v>1623.96</v>
      </c>
      <c r="E6953" s="1">
        <f>IFERROR(__xludf.DUMMYFUNCTION("""COMPUTED_VALUE"""),1626.73)</f>
        <v>1626.73</v>
      </c>
      <c r="F6953" s="1">
        <f>IFERROR(__xludf.DUMMYFUNCTION("""COMPUTED_VALUE"""),0.0)</f>
        <v>0</v>
      </c>
    </row>
    <row r="6954">
      <c r="A6954" s="2">
        <f>IFERROR(__xludf.DUMMYFUNCTION("""COMPUTED_VALUE"""),41442.666666666664)</f>
        <v>41442.66667</v>
      </c>
      <c r="B6954" s="1">
        <f>IFERROR(__xludf.DUMMYFUNCTION("""COMPUTED_VALUE"""),1630.64)</f>
        <v>1630.64</v>
      </c>
      <c r="C6954" s="1">
        <f>IFERROR(__xludf.DUMMYFUNCTION("""COMPUTED_VALUE"""),1646.5)</f>
        <v>1646.5</v>
      </c>
      <c r="D6954" s="1">
        <f>IFERROR(__xludf.DUMMYFUNCTION("""COMPUTED_VALUE"""),1630.34)</f>
        <v>1630.34</v>
      </c>
      <c r="E6954" s="1">
        <f>IFERROR(__xludf.DUMMYFUNCTION("""COMPUTED_VALUE"""),1639.04)</f>
        <v>1639.04</v>
      </c>
      <c r="F6954" s="1">
        <f>IFERROR(__xludf.DUMMYFUNCTION("""COMPUTED_VALUE"""),0.0)</f>
        <v>0</v>
      </c>
    </row>
    <row r="6955">
      <c r="A6955" s="2">
        <f>IFERROR(__xludf.DUMMYFUNCTION("""COMPUTED_VALUE"""),41443.666666666664)</f>
        <v>41443.66667</v>
      </c>
      <c r="B6955" s="1">
        <f>IFERROR(__xludf.DUMMYFUNCTION("""COMPUTED_VALUE"""),1639.77)</f>
        <v>1639.77</v>
      </c>
      <c r="C6955" s="1">
        <f>IFERROR(__xludf.DUMMYFUNCTION("""COMPUTED_VALUE"""),1654.19)</f>
        <v>1654.19</v>
      </c>
      <c r="D6955" s="1">
        <f>IFERROR(__xludf.DUMMYFUNCTION("""COMPUTED_VALUE"""),1639.77)</f>
        <v>1639.77</v>
      </c>
      <c r="E6955" s="1">
        <f>IFERROR(__xludf.DUMMYFUNCTION("""COMPUTED_VALUE"""),1651.81)</f>
        <v>1651.81</v>
      </c>
      <c r="F6955" s="1">
        <f>IFERROR(__xludf.DUMMYFUNCTION("""COMPUTED_VALUE"""),0.0)</f>
        <v>0</v>
      </c>
    </row>
    <row r="6956">
      <c r="A6956" s="2">
        <f>IFERROR(__xludf.DUMMYFUNCTION("""COMPUTED_VALUE"""),41444.666666666664)</f>
        <v>41444.66667</v>
      </c>
      <c r="B6956" s="1">
        <f>IFERROR(__xludf.DUMMYFUNCTION("""COMPUTED_VALUE"""),1651.83)</f>
        <v>1651.83</v>
      </c>
      <c r="C6956" s="1">
        <f>IFERROR(__xludf.DUMMYFUNCTION("""COMPUTED_VALUE"""),1652.45)</f>
        <v>1652.45</v>
      </c>
      <c r="D6956" s="1">
        <f>IFERROR(__xludf.DUMMYFUNCTION("""COMPUTED_VALUE"""),1628.91)</f>
        <v>1628.91</v>
      </c>
      <c r="E6956" s="1">
        <f>IFERROR(__xludf.DUMMYFUNCTION("""COMPUTED_VALUE"""),1628.93)</f>
        <v>1628.93</v>
      </c>
      <c r="F6956" s="1">
        <f>IFERROR(__xludf.DUMMYFUNCTION("""COMPUTED_VALUE"""),0.0)</f>
        <v>0</v>
      </c>
    </row>
    <row r="6957">
      <c r="A6957" s="2">
        <f>IFERROR(__xludf.DUMMYFUNCTION("""COMPUTED_VALUE"""),41445.666666666664)</f>
        <v>41445.66667</v>
      </c>
      <c r="B6957" s="1">
        <f>IFERROR(__xludf.DUMMYFUNCTION("""COMPUTED_VALUE"""),1624.62)</f>
        <v>1624.62</v>
      </c>
      <c r="C6957" s="1">
        <f>IFERROR(__xludf.DUMMYFUNCTION("""COMPUTED_VALUE"""),1624.62)</f>
        <v>1624.62</v>
      </c>
      <c r="D6957" s="1">
        <f>IFERROR(__xludf.DUMMYFUNCTION("""COMPUTED_VALUE"""),1584.32)</f>
        <v>1584.32</v>
      </c>
      <c r="E6957" s="1">
        <f>IFERROR(__xludf.DUMMYFUNCTION("""COMPUTED_VALUE"""),1588.19)</f>
        <v>1588.19</v>
      </c>
      <c r="F6957" s="1">
        <f>IFERROR(__xludf.DUMMYFUNCTION("""COMPUTED_VALUE"""),0.0)</f>
        <v>0</v>
      </c>
    </row>
    <row r="6958">
      <c r="A6958" s="2">
        <f>IFERROR(__xludf.DUMMYFUNCTION("""COMPUTED_VALUE"""),41446.666666666664)</f>
        <v>41446.66667</v>
      </c>
      <c r="B6958" s="1">
        <f>IFERROR(__xludf.DUMMYFUNCTION("""COMPUTED_VALUE"""),1588.62)</f>
        <v>1588.62</v>
      </c>
      <c r="C6958" s="1">
        <f>IFERROR(__xludf.DUMMYFUNCTION("""COMPUTED_VALUE"""),1599.19)</f>
        <v>1599.19</v>
      </c>
      <c r="D6958" s="1">
        <f>IFERROR(__xludf.DUMMYFUNCTION("""COMPUTED_VALUE"""),1577.7)</f>
        <v>1577.7</v>
      </c>
      <c r="E6958" s="1">
        <f>IFERROR(__xludf.DUMMYFUNCTION("""COMPUTED_VALUE"""),1592.43)</f>
        <v>1592.43</v>
      </c>
      <c r="F6958" s="1">
        <f>IFERROR(__xludf.DUMMYFUNCTION("""COMPUTED_VALUE"""),0.0)</f>
        <v>0</v>
      </c>
    </row>
    <row r="6959">
      <c r="A6959" s="2">
        <f>IFERROR(__xludf.DUMMYFUNCTION("""COMPUTED_VALUE"""),41449.666666666664)</f>
        <v>41449.66667</v>
      </c>
      <c r="B6959" s="1">
        <f>IFERROR(__xludf.DUMMYFUNCTION("""COMPUTED_VALUE"""),1588.77)</f>
        <v>1588.77</v>
      </c>
      <c r="C6959" s="1">
        <f>IFERROR(__xludf.DUMMYFUNCTION("""COMPUTED_VALUE"""),1588.77)</f>
        <v>1588.77</v>
      </c>
      <c r="D6959" s="1">
        <f>IFERROR(__xludf.DUMMYFUNCTION("""COMPUTED_VALUE"""),1560.33)</f>
        <v>1560.33</v>
      </c>
      <c r="E6959" s="1">
        <f>IFERROR(__xludf.DUMMYFUNCTION("""COMPUTED_VALUE"""),1573.09)</f>
        <v>1573.09</v>
      </c>
      <c r="F6959" s="1">
        <f>IFERROR(__xludf.DUMMYFUNCTION("""COMPUTED_VALUE"""),0.0)</f>
        <v>0</v>
      </c>
    </row>
    <row r="6960">
      <c r="A6960" s="2">
        <f>IFERROR(__xludf.DUMMYFUNCTION("""COMPUTED_VALUE"""),41450.666666666664)</f>
        <v>41450.66667</v>
      </c>
      <c r="B6960" s="1">
        <f>IFERROR(__xludf.DUMMYFUNCTION("""COMPUTED_VALUE"""),1577.52)</f>
        <v>1577.52</v>
      </c>
      <c r="C6960" s="1">
        <f>IFERROR(__xludf.DUMMYFUNCTION("""COMPUTED_VALUE"""),1593.79)</f>
        <v>1593.79</v>
      </c>
      <c r="D6960" s="1">
        <f>IFERROR(__xludf.DUMMYFUNCTION("""COMPUTED_VALUE"""),1577.09)</f>
        <v>1577.09</v>
      </c>
      <c r="E6960" s="1">
        <f>IFERROR(__xludf.DUMMYFUNCTION("""COMPUTED_VALUE"""),1588.03)</f>
        <v>1588.03</v>
      </c>
      <c r="F6960" s="1">
        <f>IFERROR(__xludf.DUMMYFUNCTION("""COMPUTED_VALUE"""),0.0)</f>
        <v>0</v>
      </c>
    </row>
    <row r="6961">
      <c r="A6961" s="2">
        <f>IFERROR(__xludf.DUMMYFUNCTION("""COMPUTED_VALUE"""),41451.666666666664)</f>
        <v>41451.66667</v>
      </c>
      <c r="B6961" s="1">
        <f>IFERROR(__xludf.DUMMYFUNCTION("""COMPUTED_VALUE"""),1592.27)</f>
        <v>1592.27</v>
      </c>
      <c r="C6961" s="1">
        <f>IFERROR(__xludf.DUMMYFUNCTION("""COMPUTED_VALUE"""),1606.83)</f>
        <v>1606.83</v>
      </c>
      <c r="D6961" s="1">
        <f>IFERROR(__xludf.DUMMYFUNCTION("""COMPUTED_VALUE"""),1592.27)</f>
        <v>1592.27</v>
      </c>
      <c r="E6961" s="1">
        <f>IFERROR(__xludf.DUMMYFUNCTION("""COMPUTED_VALUE"""),1603.26)</f>
        <v>1603.26</v>
      </c>
      <c r="F6961" s="1">
        <f>IFERROR(__xludf.DUMMYFUNCTION("""COMPUTED_VALUE"""),0.0)</f>
        <v>0</v>
      </c>
    </row>
    <row r="6962">
      <c r="A6962" s="2">
        <f>IFERROR(__xludf.DUMMYFUNCTION("""COMPUTED_VALUE"""),41452.666666666664)</f>
        <v>41452.66667</v>
      </c>
      <c r="B6962" s="1">
        <f>IFERROR(__xludf.DUMMYFUNCTION("""COMPUTED_VALUE"""),1606.44)</f>
        <v>1606.44</v>
      </c>
      <c r="C6962" s="1">
        <f>IFERROR(__xludf.DUMMYFUNCTION("""COMPUTED_VALUE"""),1620.07)</f>
        <v>1620.07</v>
      </c>
      <c r="D6962" s="1">
        <f>IFERROR(__xludf.DUMMYFUNCTION("""COMPUTED_VALUE"""),1606.44)</f>
        <v>1606.44</v>
      </c>
      <c r="E6962" s="1">
        <f>IFERROR(__xludf.DUMMYFUNCTION("""COMPUTED_VALUE"""),1613.2)</f>
        <v>1613.2</v>
      </c>
      <c r="F6962" s="1">
        <f>IFERROR(__xludf.DUMMYFUNCTION("""COMPUTED_VALUE"""),0.0)</f>
        <v>0</v>
      </c>
    </row>
    <row r="6963">
      <c r="A6963" s="2">
        <f>IFERROR(__xludf.DUMMYFUNCTION("""COMPUTED_VALUE"""),41453.666666666664)</f>
        <v>41453.66667</v>
      </c>
      <c r="B6963" s="1">
        <f>IFERROR(__xludf.DUMMYFUNCTION("""COMPUTED_VALUE"""),1611.12)</f>
        <v>1611.12</v>
      </c>
      <c r="C6963" s="1">
        <f>IFERROR(__xludf.DUMMYFUNCTION("""COMPUTED_VALUE"""),1615.94)</f>
        <v>1615.94</v>
      </c>
      <c r="D6963" s="1">
        <f>IFERROR(__xludf.DUMMYFUNCTION("""COMPUTED_VALUE"""),1601.06)</f>
        <v>1601.06</v>
      </c>
      <c r="E6963" s="1">
        <f>IFERROR(__xludf.DUMMYFUNCTION("""COMPUTED_VALUE"""),1606.28)</f>
        <v>1606.28</v>
      </c>
      <c r="F6963" s="1">
        <f>IFERROR(__xludf.DUMMYFUNCTION("""COMPUTED_VALUE"""),0.0)</f>
        <v>0</v>
      </c>
    </row>
    <row r="6964">
      <c r="A6964" s="2">
        <f>IFERROR(__xludf.DUMMYFUNCTION("""COMPUTED_VALUE"""),41456.666666666664)</f>
        <v>41456.66667</v>
      </c>
      <c r="B6964" s="1">
        <f>IFERROR(__xludf.DUMMYFUNCTION("""COMPUTED_VALUE"""),1609.78)</f>
        <v>1609.78</v>
      </c>
      <c r="C6964" s="1">
        <f>IFERROR(__xludf.DUMMYFUNCTION("""COMPUTED_VALUE"""),1626.61)</f>
        <v>1626.61</v>
      </c>
      <c r="D6964" s="1">
        <f>IFERROR(__xludf.DUMMYFUNCTION("""COMPUTED_VALUE"""),1609.78)</f>
        <v>1609.78</v>
      </c>
      <c r="E6964" s="1">
        <f>IFERROR(__xludf.DUMMYFUNCTION("""COMPUTED_VALUE"""),1614.96)</f>
        <v>1614.96</v>
      </c>
      <c r="F6964" s="1">
        <f>IFERROR(__xludf.DUMMYFUNCTION("""COMPUTED_VALUE"""),0.0)</f>
        <v>0</v>
      </c>
    </row>
    <row r="6965">
      <c r="A6965" s="2">
        <f>IFERROR(__xludf.DUMMYFUNCTION("""COMPUTED_VALUE"""),41457.666666666664)</f>
        <v>41457.66667</v>
      </c>
      <c r="B6965" s="1">
        <f>IFERROR(__xludf.DUMMYFUNCTION("""COMPUTED_VALUE"""),1614.29)</f>
        <v>1614.29</v>
      </c>
      <c r="C6965" s="1">
        <f>IFERROR(__xludf.DUMMYFUNCTION("""COMPUTED_VALUE"""),1624.26)</f>
        <v>1624.26</v>
      </c>
      <c r="D6965" s="1">
        <f>IFERROR(__xludf.DUMMYFUNCTION("""COMPUTED_VALUE"""),1606.77)</f>
        <v>1606.77</v>
      </c>
      <c r="E6965" s="1">
        <f>IFERROR(__xludf.DUMMYFUNCTION("""COMPUTED_VALUE"""),1614.08)</f>
        <v>1614.08</v>
      </c>
      <c r="F6965" s="1">
        <f>IFERROR(__xludf.DUMMYFUNCTION("""COMPUTED_VALUE"""),0.0)</f>
        <v>0</v>
      </c>
    </row>
    <row r="6966">
      <c r="A6966" s="2">
        <f>IFERROR(__xludf.DUMMYFUNCTION("""COMPUTED_VALUE"""),41458.666666666664)</f>
        <v>41458.66667</v>
      </c>
      <c r="B6966" s="1">
        <f>IFERROR(__xludf.DUMMYFUNCTION("""COMPUTED_VALUE"""),1611.48)</f>
        <v>1611.48</v>
      </c>
      <c r="C6966" s="1">
        <f>IFERROR(__xludf.DUMMYFUNCTION("""COMPUTED_VALUE"""),1618.97)</f>
        <v>1618.97</v>
      </c>
      <c r="D6966" s="1">
        <f>IFERROR(__xludf.DUMMYFUNCTION("""COMPUTED_VALUE"""),1604.57)</f>
        <v>1604.57</v>
      </c>
      <c r="E6966" s="1">
        <f>IFERROR(__xludf.DUMMYFUNCTION("""COMPUTED_VALUE"""),1615.41)</f>
        <v>1615.41</v>
      </c>
      <c r="F6966" s="1">
        <f>IFERROR(__xludf.DUMMYFUNCTION("""COMPUTED_VALUE"""),0.0)</f>
        <v>0</v>
      </c>
    </row>
    <row r="6967">
      <c r="A6967" s="2">
        <f>IFERROR(__xludf.DUMMYFUNCTION("""COMPUTED_VALUE"""),41460.666666666664)</f>
        <v>41460.66667</v>
      </c>
      <c r="B6967" s="1">
        <f>IFERROR(__xludf.DUMMYFUNCTION("""COMPUTED_VALUE"""),1618.65)</f>
        <v>1618.65</v>
      </c>
      <c r="C6967" s="1">
        <f>IFERROR(__xludf.DUMMYFUNCTION("""COMPUTED_VALUE"""),1632.07)</f>
        <v>1632.07</v>
      </c>
      <c r="D6967" s="1">
        <f>IFERROR(__xludf.DUMMYFUNCTION("""COMPUTED_VALUE"""),1614.71)</f>
        <v>1614.71</v>
      </c>
      <c r="E6967" s="1">
        <f>IFERROR(__xludf.DUMMYFUNCTION("""COMPUTED_VALUE"""),1631.89)</f>
        <v>1631.89</v>
      </c>
      <c r="F6967" s="1">
        <f>IFERROR(__xludf.DUMMYFUNCTION("""COMPUTED_VALUE"""),0.0)</f>
        <v>0</v>
      </c>
    </row>
    <row r="6968">
      <c r="A6968" s="2">
        <f>IFERROR(__xludf.DUMMYFUNCTION("""COMPUTED_VALUE"""),41463.666666666664)</f>
        <v>41463.66667</v>
      </c>
      <c r="B6968" s="1">
        <f>IFERROR(__xludf.DUMMYFUNCTION("""COMPUTED_VALUE"""),1634.2)</f>
        <v>1634.2</v>
      </c>
      <c r="C6968" s="1">
        <f>IFERROR(__xludf.DUMMYFUNCTION("""COMPUTED_VALUE"""),1644.68)</f>
        <v>1644.68</v>
      </c>
      <c r="D6968" s="1">
        <f>IFERROR(__xludf.DUMMYFUNCTION("""COMPUTED_VALUE"""),1634.2)</f>
        <v>1634.2</v>
      </c>
      <c r="E6968" s="1">
        <f>IFERROR(__xludf.DUMMYFUNCTION("""COMPUTED_VALUE"""),1640.46)</f>
        <v>1640.46</v>
      </c>
      <c r="F6968" s="1">
        <f>IFERROR(__xludf.DUMMYFUNCTION("""COMPUTED_VALUE"""),0.0)</f>
        <v>0</v>
      </c>
    </row>
    <row r="6969">
      <c r="A6969" s="2">
        <f>IFERROR(__xludf.DUMMYFUNCTION("""COMPUTED_VALUE"""),41464.666666666664)</f>
        <v>41464.66667</v>
      </c>
      <c r="B6969" s="1">
        <f>IFERROR(__xludf.DUMMYFUNCTION("""COMPUTED_VALUE"""),1642.89)</f>
        <v>1642.89</v>
      </c>
      <c r="C6969" s="1">
        <f>IFERROR(__xludf.DUMMYFUNCTION("""COMPUTED_VALUE"""),1654.18)</f>
        <v>1654.18</v>
      </c>
      <c r="D6969" s="1">
        <f>IFERROR(__xludf.DUMMYFUNCTION("""COMPUTED_VALUE"""),1642.89)</f>
        <v>1642.89</v>
      </c>
      <c r="E6969" s="1">
        <f>IFERROR(__xludf.DUMMYFUNCTION("""COMPUTED_VALUE"""),1652.32)</f>
        <v>1652.32</v>
      </c>
      <c r="F6969" s="1">
        <f>IFERROR(__xludf.DUMMYFUNCTION("""COMPUTED_VALUE"""),0.0)</f>
        <v>0</v>
      </c>
    </row>
    <row r="6970">
      <c r="A6970" s="2">
        <f>IFERROR(__xludf.DUMMYFUNCTION("""COMPUTED_VALUE"""),41465.666666666664)</f>
        <v>41465.66667</v>
      </c>
      <c r="B6970" s="1">
        <f>IFERROR(__xludf.DUMMYFUNCTION("""COMPUTED_VALUE"""),1651.56)</f>
        <v>1651.56</v>
      </c>
      <c r="C6970" s="1">
        <f>IFERROR(__xludf.DUMMYFUNCTION("""COMPUTED_VALUE"""),1657.92)</f>
        <v>1657.92</v>
      </c>
      <c r="D6970" s="1">
        <f>IFERROR(__xludf.DUMMYFUNCTION("""COMPUTED_VALUE"""),1647.66)</f>
        <v>1647.66</v>
      </c>
      <c r="E6970" s="1">
        <f>IFERROR(__xludf.DUMMYFUNCTION("""COMPUTED_VALUE"""),1652.62)</f>
        <v>1652.62</v>
      </c>
      <c r="F6970" s="1">
        <f>IFERROR(__xludf.DUMMYFUNCTION("""COMPUTED_VALUE"""),0.0)</f>
        <v>0</v>
      </c>
    </row>
    <row r="6971">
      <c r="A6971" s="2">
        <f>IFERROR(__xludf.DUMMYFUNCTION("""COMPUTED_VALUE"""),41466.666666666664)</f>
        <v>41466.66667</v>
      </c>
      <c r="B6971" s="1">
        <f>IFERROR(__xludf.DUMMYFUNCTION("""COMPUTED_VALUE"""),1657.41)</f>
        <v>1657.41</v>
      </c>
      <c r="C6971" s="1">
        <f>IFERROR(__xludf.DUMMYFUNCTION("""COMPUTED_VALUE"""),1676.63)</f>
        <v>1676.63</v>
      </c>
      <c r="D6971" s="1">
        <f>IFERROR(__xludf.DUMMYFUNCTION("""COMPUTED_VALUE"""),1657.41)</f>
        <v>1657.41</v>
      </c>
      <c r="E6971" s="1">
        <f>IFERROR(__xludf.DUMMYFUNCTION("""COMPUTED_VALUE"""),1675.02)</f>
        <v>1675.02</v>
      </c>
      <c r="F6971" s="1">
        <f>IFERROR(__xludf.DUMMYFUNCTION("""COMPUTED_VALUE"""),0.0)</f>
        <v>0</v>
      </c>
    </row>
    <row r="6972">
      <c r="A6972" s="2">
        <f>IFERROR(__xludf.DUMMYFUNCTION("""COMPUTED_VALUE"""),41467.666666666664)</f>
        <v>41467.66667</v>
      </c>
      <c r="B6972" s="1">
        <f>IFERROR(__xludf.DUMMYFUNCTION("""COMPUTED_VALUE"""),1675.26)</f>
        <v>1675.26</v>
      </c>
      <c r="C6972" s="1">
        <f>IFERROR(__xludf.DUMMYFUNCTION("""COMPUTED_VALUE"""),1680.19)</f>
        <v>1680.19</v>
      </c>
      <c r="D6972" s="1">
        <f>IFERROR(__xludf.DUMMYFUNCTION("""COMPUTED_VALUE"""),1672.33)</f>
        <v>1672.33</v>
      </c>
      <c r="E6972" s="1">
        <f>IFERROR(__xludf.DUMMYFUNCTION("""COMPUTED_VALUE"""),1680.19)</f>
        <v>1680.19</v>
      </c>
      <c r="F6972" s="1">
        <f>IFERROR(__xludf.DUMMYFUNCTION("""COMPUTED_VALUE"""),0.0)</f>
        <v>0</v>
      </c>
    </row>
    <row r="6973">
      <c r="A6973" s="2">
        <f>IFERROR(__xludf.DUMMYFUNCTION("""COMPUTED_VALUE"""),41470.666666666664)</f>
        <v>41470.66667</v>
      </c>
      <c r="B6973" s="1">
        <f>IFERROR(__xludf.DUMMYFUNCTION("""COMPUTED_VALUE"""),1679.59)</f>
        <v>1679.59</v>
      </c>
      <c r="C6973" s="1">
        <f>IFERROR(__xludf.DUMMYFUNCTION("""COMPUTED_VALUE"""),1684.51)</f>
        <v>1684.51</v>
      </c>
      <c r="D6973" s="1">
        <f>IFERROR(__xludf.DUMMYFUNCTION("""COMPUTED_VALUE"""),1677.89)</f>
        <v>1677.89</v>
      </c>
      <c r="E6973" s="1">
        <f>IFERROR(__xludf.DUMMYFUNCTION("""COMPUTED_VALUE"""),1682.5)</f>
        <v>1682.5</v>
      </c>
      <c r="F6973" s="1">
        <f>IFERROR(__xludf.DUMMYFUNCTION("""COMPUTED_VALUE"""),0.0)</f>
        <v>0</v>
      </c>
    </row>
    <row r="6974">
      <c r="A6974" s="2">
        <f>IFERROR(__xludf.DUMMYFUNCTION("""COMPUTED_VALUE"""),41471.666666666664)</f>
        <v>41471.66667</v>
      </c>
      <c r="B6974" s="1">
        <f>IFERROR(__xludf.DUMMYFUNCTION("""COMPUTED_VALUE"""),1682.7)</f>
        <v>1682.7</v>
      </c>
      <c r="C6974" s="1">
        <f>IFERROR(__xludf.DUMMYFUNCTION("""COMPUTED_VALUE"""),1683.73)</f>
        <v>1683.73</v>
      </c>
      <c r="D6974" s="1">
        <f>IFERROR(__xludf.DUMMYFUNCTION("""COMPUTED_VALUE"""),1671.84)</f>
        <v>1671.84</v>
      </c>
      <c r="E6974" s="1">
        <f>IFERROR(__xludf.DUMMYFUNCTION("""COMPUTED_VALUE"""),1676.26)</f>
        <v>1676.26</v>
      </c>
      <c r="F6974" s="1">
        <f>IFERROR(__xludf.DUMMYFUNCTION("""COMPUTED_VALUE"""),0.0)</f>
        <v>0</v>
      </c>
    </row>
    <row r="6975">
      <c r="A6975" s="2">
        <f>IFERROR(__xludf.DUMMYFUNCTION("""COMPUTED_VALUE"""),41472.666666666664)</f>
        <v>41472.66667</v>
      </c>
      <c r="B6975" s="1">
        <f>IFERROR(__xludf.DUMMYFUNCTION("""COMPUTED_VALUE"""),1677.91)</f>
        <v>1677.91</v>
      </c>
      <c r="C6975" s="1">
        <f>IFERROR(__xludf.DUMMYFUNCTION("""COMPUTED_VALUE"""),1684.75)</f>
        <v>1684.75</v>
      </c>
      <c r="D6975" s="1">
        <f>IFERROR(__xludf.DUMMYFUNCTION("""COMPUTED_VALUE"""),1677.91)</f>
        <v>1677.91</v>
      </c>
      <c r="E6975" s="1">
        <f>IFERROR(__xludf.DUMMYFUNCTION("""COMPUTED_VALUE"""),1680.91)</f>
        <v>1680.91</v>
      </c>
      <c r="F6975" s="1">
        <f>IFERROR(__xludf.DUMMYFUNCTION("""COMPUTED_VALUE"""),0.0)</f>
        <v>0</v>
      </c>
    </row>
    <row r="6976">
      <c r="A6976" s="2">
        <f>IFERROR(__xludf.DUMMYFUNCTION("""COMPUTED_VALUE"""),41473.666666666664)</f>
        <v>41473.66667</v>
      </c>
      <c r="B6976" s="1">
        <f>IFERROR(__xludf.DUMMYFUNCTION("""COMPUTED_VALUE"""),1681.05)</f>
        <v>1681.05</v>
      </c>
      <c r="C6976" s="1">
        <f>IFERROR(__xludf.DUMMYFUNCTION("""COMPUTED_VALUE"""),1693.12)</f>
        <v>1693.12</v>
      </c>
      <c r="D6976" s="1">
        <f>IFERROR(__xludf.DUMMYFUNCTION("""COMPUTED_VALUE"""),1681.05)</f>
        <v>1681.05</v>
      </c>
      <c r="E6976" s="1">
        <f>IFERROR(__xludf.DUMMYFUNCTION("""COMPUTED_VALUE"""),1689.37)</f>
        <v>1689.37</v>
      </c>
      <c r="F6976" s="1">
        <f>IFERROR(__xludf.DUMMYFUNCTION("""COMPUTED_VALUE"""),0.0)</f>
        <v>0</v>
      </c>
    </row>
    <row r="6977">
      <c r="A6977" s="2">
        <f>IFERROR(__xludf.DUMMYFUNCTION("""COMPUTED_VALUE"""),41474.666666666664)</f>
        <v>41474.66667</v>
      </c>
      <c r="B6977" s="1">
        <f>IFERROR(__xludf.DUMMYFUNCTION("""COMPUTED_VALUE"""),1686.15)</f>
        <v>1686.15</v>
      </c>
      <c r="C6977" s="1">
        <f>IFERROR(__xludf.DUMMYFUNCTION("""COMPUTED_VALUE"""),1692.09)</f>
        <v>1692.09</v>
      </c>
      <c r="D6977" s="1">
        <f>IFERROR(__xludf.DUMMYFUNCTION("""COMPUTED_VALUE"""),1684.08)</f>
        <v>1684.08</v>
      </c>
      <c r="E6977" s="1">
        <f>IFERROR(__xludf.DUMMYFUNCTION("""COMPUTED_VALUE"""),1692.09)</f>
        <v>1692.09</v>
      </c>
      <c r="F6977" s="1">
        <f>IFERROR(__xludf.DUMMYFUNCTION("""COMPUTED_VALUE"""),0.0)</f>
        <v>0</v>
      </c>
    </row>
    <row r="6978">
      <c r="A6978" s="2">
        <f>IFERROR(__xludf.DUMMYFUNCTION("""COMPUTED_VALUE"""),41477.666666666664)</f>
        <v>41477.66667</v>
      </c>
      <c r="B6978" s="1">
        <f>IFERROR(__xludf.DUMMYFUNCTION("""COMPUTED_VALUE"""),1694.41)</f>
        <v>1694.41</v>
      </c>
      <c r="C6978" s="1">
        <f>IFERROR(__xludf.DUMMYFUNCTION("""COMPUTED_VALUE"""),1697.61)</f>
        <v>1697.61</v>
      </c>
      <c r="D6978" s="1">
        <f>IFERROR(__xludf.DUMMYFUNCTION("""COMPUTED_VALUE"""),1690.67)</f>
        <v>1690.67</v>
      </c>
      <c r="E6978" s="1">
        <f>IFERROR(__xludf.DUMMYFUNCTION("""COMPUTED_VALUE"""),1695.53)</f>
        <v>1695.53</v>
      </c>
      <c r="F6978" s="1">
        <f>IFERROR(__xludf.DUMMYFUNCTION("""COMPUTED_VALUE"""),0.0)</f>
        <v>0</v>
      </c>
    </row>
    <row r="6979">
      <c r="A6979" s="2">
        <f>IFERROR(__xludf.DUMMYFUNCTION("""COMPUTED_VALUE"""),41478.666666666664)</f>
        <v>41478.66667</v>
      </c>
      <c r="B6979" s="1">
        <f>IFERROR(__xludf.DUMMYFUNCTION("""COMPUTED_VALUE"""),1696.63)</f>
        <v>1696.63</v>
      </c>
      <c r="C6979" s="1">
        <f>IFERROR(__xludf.DUMMYFUNCTION("""COMPUTED_VALUE"""),1698.78)</f>
        <v>1698.78</v>
      </c>
      <c r="D6979" s="1">
        <f>IFERROR(__xludf.DUMMYFUNCTION("""COMPUTED_VALUE"""),1691.13)</f>
        <v>1691.13</v>
      </c>
      <c r="E6979" s="1">
        <f>IFERROR(__xludf.DUMMYFUNCTION("""COMPUTED_VALUE"""),1692.39)</f>
        <v>1692.39</v>
      </c>
      <c r="F6979" s="1">
        <f>IFERROR(__xludf.DUMMYFUNCTION("""COMPUTED_VALUE"""),0.0)</f>
        <v>0</v>
      </c>
    </row>
    <row r="6980">
      <c r="A6980" s="2">
        <f>IFERROR(__xludf.DUMMYFUNCTION("""COMPUTED_VALUE"""),41479.666666666664)</f>
        <v>41479.66667</v>
      </c>
      <c r="B6980" s="1">
        <f>IFERROR(__xludf.DUMMYFUNCTION("""COMPUTED_VALUE"""),1696.06)</f>
        <v>1696.06</v>
      </c>
      <c r="C6980" s="1">
        <f>IFERROR(__xludf.DUMMYFUNCTION("""COMPUTED_VALUE"""),1698.38)</f>
        <v>1698.38</v>
      </c>
      <c r="D6980" s="1">
        <f>IFERROR(__xludf.DUMMYFUNCTION("""COMPUTED_VALUE"""),1682.57)</f>
        <v>1682.57</v>
      </c>
      <c r="E6980" s="1">
        <f>IFERROR(__xludf.DUMMYFUNCTION("""COMPUTED_VALUE"""),1685.94)</f>
        <v>1685.94</v>
      </c>
      <c r="F6980" s="1">
        <f>IFERROR(__xludf.DUMMYFUNCTION("""COMPUTED_VALUE"""),0.0)</f>
        <v>0</v>
      </c>
    </row>
    <row r="6981">
      <c r="A6981" s="2">
        <f>IFERROR(__xludf.DUMMYFUNCTION("""COMPUTED_VALUE"""),41480.666666666664)</f>
        <v>41480.66667</v>
      </c>
      <c r="B6981" s="1">
        <f>IFERROR(__xludf.DUMMYFUNCTION("""COMPUTED_VALUE"""),1685.21)</f>
        <v>1685.21</v>
      </c>
      <c r="C6981" s="1">
        <f>IFERROR(__xludf.DUMMYFUNCTION("""COMPUTED_VALUE"""),1690.94)</f>
        <v>1690.94</v>
      </c>
      <c r="D6981" s="1">
        <f>IFERROR(__xludf.DUMMYFUNCTION("""COMPUTED_VALUE"""),1680.07)</f>
        <v>1680.07</v>
      </c>
      <c r="E6981" s="1">
        <f>IFERROR(__xludf.DUMMYFUNCTION("""COMPUTED_VALUE"""),1690.25)</f>
        <v>1690.25</v>
      </c>
      <c r="F6981" s="1">
        <f>IFERROR(__xludf.DUMMYFUNCTION("""COMPUTED_VALUE"""),0.0)</f>
        <v>0</v>
      </c>
    </row>
    <row r="6982">
      <c r="A6982" s="2">
        <f>IFERROR(__xludf.DUMMYFUNCTION("""COMPUTED_VALUE"""),41481.666666666664)</f>
        <v>41481.66667</v>
      </c>
      <c r="B6982" s="1">
        <f>IFERROR(__xludf.DUMMYFUNCTION("""COMPUTED_VALUE"""),1687.31)</f>
        <v>1687.31</v>
      </c>
      <c r="C6982" s="1">
        <f>IFERROR(__xludf.DUMMYFUNCTION("""COMPUTED_VALUE"""),1691.85)</f>
        <v>1691.85</v>
      </c>
      <c r="D6982" s="1">
        <f>IFERROR(__xludf.DUMMYFUNCTION("""COMPUTED_VALUE"""),1676.03)</f>
        <v>1676.03</v>
      </c>
      <c r="E6982" s="1">
        <f>IFERROR(__xludf.DUMMYFUNCTION("""COMPUTED_VALUE"""),1691.65)</f>
        <v>1691.65</v>
      </c>
      <c r="F6982" s="1">
        <f>IFERROR(__xludf.DUMMYFUNCTION("""COMPUTED_VALUE"""),0.0)</f>
        <v>0</v>
      </c>
    </row>
    <row r="6983">
      <c r="A6983" s="2">
        <f>IFERROR(__xludf.DUMMYFUNCTION("""COMPUTED_VALUE"""),41484.666666666664)</f>
        <v>41484.66667</v>
      </c>
      <c r="B6983" s="1">
        <f>IFERROR(__xludf.DUMMYFUNCTION("""COMPUTED_VALUE"""),1690.32)</f>
        <v>1690.32</v>
      </c>
      <c r="C6983" s="1">
        <f>IFERROR(__xludf.DUMMYFUNCTION("""COMPUTED_VALUE"""),1690.92)</f>
        <v>1690.92</v>
      </c>
      <c r="D6983" s="1">
        <f>IFERROR(__xludf.DUMMYFUNCTION("""COMPUTED_VALUE"""),1681.86)</f>
        <v>1681.86</v>
      </c>
      <c r="E6983" s="1">
        <f>IFERROR(__xludf.DUMMYFUNCTION("""COMPUTED_VALUE"""),1685.33)</f>
        <v>1685.33</v>
      </c>
      <c r="F6983" s="1">
        <f>IFERROR(__xludf.DUMMYFUNCTION("""COMPUTED_VALUE"""),0.0)</f>
        <v>0</v>
      </c>
    </row>
    <row r="6984">
      <c r="A6984" s="2">
        <f>IFERROR(__xludf.DUMMYFUNCTION("""COMPUTED_VALUE"""),41485.666666666664)</f>
        <v>41485.66667</v>
      </c>
      <c r="B6984" s="1">
        <f>IFERROR(__xludf.DUMMYFUNCTION("""COMPUTED_VALUE"""),1687.92)</f>
        <v>1687.92</v>
      </c>
      <c r="C6984" s="1">
        <f>IFERROR(__xludf.DUMMYFUNCTION("""COMPUTED_VALUE"""),1693.19)</f>
        <v>1693.19</v>
      </c>
      <c r="D6984" s="1">
        <f>IFERROR(__xludf.DUMMYFUNCTION("""COMPUTED_VALUE"""),1682.42)</f>
        <v>1682.42</v>
      </c>
      <c r="E6984" s="1">
        <f>IFERROR(__xludf.DUMMYFUNCTION("""COMPUTED_VALUE"""),1685.96)</f>
        <v>1685.96</v>
      </c>
      <c r="F6984" s="1">
        <f>IFERROR(__xludf.DUMMYFUNCTION("""COMPUTED_VALUE"""),0.0)</f>
        <v>0</v>
      </c>
    </row>
    <row r="6985">
      <c r="A6985" s="2">
        <f>IFERROR(__xludf.DUMMYFUNCTION("""COMPUTED_VALUE"""),41486.666666666664)</f>
        <v>41486.66667</v>
      </c>
      <c r="B6985" s="1">
        <f>IFERROR(__xludf.DUMMYFUNCTION("""COMPUTED_VALUE"""),1687.76)</f>
        <v>1687.76</v>
      </c>
      <c r="C6985" s="1">
        <f>IFERROR(__xludf.DUMMYFUNCTION("""COMPUTED_VALUE"""),1698.43)</f>
        <v>1698.43</v>
      </c>
      <c r="D6985" s="1">
        <f>IFERROR(__xludf.DUMMYFUNCTION("""COMPUTED_VALUE"""),1684.94)</f>
        <v>1684.94</v>
      </c>
      <c r="E6985" s="1">
        <f>IFERROR(__xludf.DUMMYFUNCTION("""COMPUTED_VALUE"""),1685.73)</f>
        <v>1685.73</v>
      </c>
      <c r="F6985" s="1">
        <f>IFERROR(__xludf.DUMMYFUNCTION("""COMPUTED_VALUE"""),0.0)</f>
        <v>0</v>
      </c>
    </row>
    <row r="6986">
      <c r="A6986" s="2">
        <f>IFERROR(__xludf.DUMMYFUNCTION("""COMPUTED_VALUE"""),41487.666666666664)</f>
        <v>41487.66667</v>
      </c>
      <c r="B6986" s="1">
        <f>IFERROR(__xludf.DUMMYFUNCTION("""COMPUTED_VALUE"""),1689.42)</f>
        <v>1689.42</v>
      </c>
      <c r="C6986" s="1">
        <f>IFERROR(__xludf.DUMMYFUNCTION("""COMPUTED_VALUE"""),1707.85)</f>
        <v>1707.85</v>
      </c>
      <c r="D6986" s="1">
        <f>IFERROR(__xludf.DUMMYFUNCTION("""COMPUTED_VALUE"""),1689.42)</f>
        <v>1689.42</v>
      </c>
      <c r="E6986" s="1">
        <f>IFERROR(__xludf.DUMMYFUNCTION("""COMPUTED_VALUE"""),1706.87)</f>
        <v>1706.87</v>
      </c>
      <c r="F6986" s="1">
        <f>IFERROR(__xludf.DUMMYFUNCTION("""COMPUTED_VALUE"""),0.0)</f>
        <v>0</v>
      </c>
    </row>
    <row r="6987">
      <c r="A6987" s="2">
        <f>IFERROR(__xludf.DUMMYFUNCTION("""COMPUTED_VALUE"""),41488.666666666664)</f>
        <v>41488.66667</v>
      </c>
      <c r="B6987" s="1">
        <f>IFERROR(__xludf.DUMMYFUNCTION("""COMPUTED_VALUE"""),1706.1)</f>
        <v>1706.1</v>
      </c>
      <c r="C6987" s="1">
        <f>IFERROR(__xludf.DUMMYFUNCTION("""COMPUTED_VALUE"""),1709.67)</f>
        <v>1709.67</v>
      </c>
      <c r="D6987" s="1">
        <f>IFERROR(__xludf.DUMMYFUNCTION("""COMPUTED_VALUE"""),1700.68)</f>
        <v>1700.68</v>
      </c>
      <c r="E6987" s="1">
        <f>IFERROR(__xludf.DUMMYFUNCTION("""COMPUTED_VALUE"""),1709.67)</f>
        <v>1709.67</v>
      </c>
      <c r="F6987" s="1">
        <f>IFERROR(__xludf.DUMMYFUNCTION("""COMPUTED_VALUE"""),0.0)</f>
        <v>0</v>
      </c>
    </row>
    <row r="6988">
      <c r="A6988" s="2">
        <f>IFERROR(__xludf.DUMMYFUNCTION("""COMPUTED_VALUE"""),41491.666666666664)</f>
        <v>41491.66667</v>
      </c>
      <c r="B6988" s="1">
        <f>IFERROR(__xludf.DUMMYFUNCTION("""COMPUTED_VALUE"""),1708.01)</f>
        <v>1708.01</v>
      </c>
      <c r="C6988" s="1">
        <f>IFERROR(__xludf.DUMMYFUNCTION("""COMPUTED_VALUE"""),1709.24)</f>
        <v>1709.24</v>
      </c>
      <c r="D6988" s="1">
        <f>IFERROR(__xludf.DUMMYFUNCTION("""COMPUTED_VALUE"""),1703.55)</f>
        <v>1703.55</v>
      </c>
      <c r="E6988" s="1">
        <f>IFERROR(__xludf.DUMMYFUNCTION("""COMPUTED_VALUE"""),1707.14)</f>
        <v>1707.14</v>
      </c>
      <c r="F6988" s="1">
        <f>IFERROR(__xludf.DUMMYFUNCTION("""COMPUTED_VALUE"""),0.0)</f>
        <v>0</v>
      </c>
    </row>
    <row r="6989">
      <c r="A6989" s="2">
        <f>IFERROR(__xludf.DUMMYFUNCTION("""COMPUTED_VALUE"""),41492.666666666664)</f>
        <v>41492.66667</v>
      </c>
      <c r="B6989" s="1">
        <f>IFERROR(__xludf.DUMMYFUNCTION("""COMPUTED_VALUE"""),1705.79)</f>
        <v>1705.79</v>
      </c>
      <c r="C6989" s="1">
        <f>IFERROR(__xludf.DUMMYFUNCTION("""COMPUTED_VALUE"""),1705.79)</f>
        <v>1705.79</v>
      </c>
      <c r="D6989" s="1">
        <f>IFERROR(__xludf.DUMMYFUNCTION("""COMPUTED_VALUE"""),1693.29)</f>
        <v>1693.29</v>
      </c>
      <c r="E6989" s="1">
        <f>IFERROR(__xludf.DUMMYFUNCTION("""COMPUTED_VALUE"""),1697.37)</f>
        <v>1697.37</v>
      </c>
      <c r="F6989" s="1">
        <f>IFERROR(__xludf.DUMMYFUNCTION("""COMPUTED_VALUE"""),0.0)</f>
        <v>0</v>
      </c>
    </row>
    <row r="6990">
      <c r="A6990" s="2">
        <f>IFERROR(__xludf.DUMMYFUNCTION("""COMPUTED_VALUE"""),41493.666666666664)</f>
        <v>41493.66667</v>
      </c>
      <c r="B6990" s="1">
        <f>IFERROR(__xludf.DUMMYFUNCTION("""COMPUTED_VALUE"""),1695.3)</f>
        <v>1695.3</v>
      </c>
      <c r="C6990" s="1">
        <f>IFERROR(__xludf.DUMMYFUNCTION("""COMPUTED_VALUE"""),1695.3)</f>
        <v>1695.3</v>
      </c>
      <c r="D6990" s="1">
        <f>IFERROR(__xludf.DUMMYFUNCTION("""COMPUTED_VALUE"""),1684.91)</f>
        <v>1684.91</v>
      </c>
      <c r="E6990" s="1">
        <f>IFERROR(__xludf.DUMMYFUNCTION("""COMPUTED_VALUE"""),1690.91)</f>
        <v>1690.91</v>
      </c>
      <c r="F6990" s="1">
        <f>IFERROR(__xludf.DUMMYFUNCTION("""COMPUTED_VALUE"""),0.0)</f>
        <v>0</v>
      </c>
    </row>
    <row r="6991">
      <c r="A6991" s="2">
        <f>IFERROR(__xludf.DUMMYFUNCTION("""COMPUTED_VALUE"""),41494.666666666664)</f>
        <v>41494.66667</v>
      </c>
      <c r="B6991" s="1">
        <f>IFERROR(__xludf.DUMMYFUNCTION("""COMPUTED_VALUE"""),1693.35)</f>
        <v>1693.35</v>
      </c>
      <c r="C6991" s="1">
        <f>IFERROR(__xludf.DUMMYFUNCTION("""COMPUTED_VALUE"""),1700.18)</f>
        <v>1700.18</v>
      </c>
      <c r="D6991" s="1">
        <f>IFERROR(__xludf.DUMMYFUNCTION("""COMPUTED_VALUE"""),1688.38)</f>
        <v>1688.38</v>
      </c>
      <c r="E6991" s="1">
        <f>IFERROR(__xludf.DUMMYFUNCTION("""COMPUTED_VALUE"""),1697.48)</f>
        <v>1697.48</v>
      </c>
      <c r="F6991" s="1">
        <f>IFERROR(__xludf.DUMMYFUNCTION("""COMPUTED_VALUE"""),0.0)</f>
        <v>0</v>
      </c>
    </row>
    <row r="6992">
      <c r="A6992" s="2">
        <f>IFERROR(__xludf.DUMMYFUNCTION("""COMPUTED_VALUE"""),41495.666666666664)</f>
        <v>41495.66667</v>
      </c>
      <c r="B6992" s="1">
        <f>IFERROR(__xludf.DUMMYFUNCTION("""COMPUTED_VALUE"""),1696.1)</f>
        <v>1696.1</v>
      </c>
      <c r="C6992" s="1">
        <f>IFERROR(__xludf.DUMMYFUNCTION("""COMPUTED_VALUE"""),1699.42)</f>
        <v>1699.42</v>
      </c>
      <c r="D6992" s="1">
        <f>IFERROR(__xludf.DUMMYFUNCTION("""COMPUTED_VALUE"""),1686.02)</f>
        <v>1686.02</v>
      </c>
      <c r="E6992" s="1">
        <f>IFERROR(__xludf.DUMMYFUNCTION("""COMPUTED_VALUE"""),1691.42)</f>
        <v>1691.42</v>
      </c>
      <c r="F6992" s="1">
        <f>IFERROR(__xludf.DUMMYFUNCTION("""COMPUTED_VALUE"""),0.0)</f>
        <v>0</v>
      </c>
    </row>
    <row r="6993">
      <c r="A6993" s="2">
        <f>IFERROR(__xludf.DUMMYFUNCTION("""COMPUTED_VALUE"""),41498.666666666664)</f>
        <v>41498.66667</v>
      </c>
      <c r="B6993" s="1">
        <f>IFERROR(__xludf.DUMMYFUNCTION("""COMPUTED_VALUE"""),1688.37)</f>
        <v>1688.37</v>
      </c>
      <c r="C6993" s="1">
        <f>IFERROR(__xludf.DUMMYFUNCTION("""COMPUTED_VALUE"""),1691.49)</f>
        <v>1691.49</v>
      </c>
      <c r="D6993" s="1">
        <f>IFERROR(__xludf.DUMMYFUNCTION("""COMPUTED_VALUE"""),1683.35)</f>
        <v>1683.35</v>
      </c>
      <c r="E6993" s="1">
        <f>IFERROR(__xludf.DUMMYFUNCTION("""COMPUTED_VALUE"""),1689.47)</f>
        <v>1689.47</v>
      </c>
      <c r="F6993" s="1">
        <f>IFERROR(__xludf.DUMMYFUNCTION("""COMPUTED_VALUE"""),0.0)</f>
        <v>0</v>
      </c>
    </row>
    <row r="6994">
      <c r="A6994" s="2">
        <f>IFERROR(__xludf.DUMMYFUNCTION("""COMPUTED_VALUE"""),41499.666666666664)</f>
        <v>41499.66667</v>
      </c>
      <c r="B6994" s="1">
        <f>IFERROR(__xludf.DUMMYFUNCTION("""COMPUTED_VALUE"""),1690.65)</f>
        <v>1690.65</v>
      </c>
      <c r="C6994" s="1">
        <f>IFERROR(__xludf.DUMMYFUNCTION("""COMPUTED_VALUE"""),1696.81)</f>
        <v>1696.81</v>
      </c>
      <c r="D6994" s="1">
        <f>IFERROR(__xludf.DUMMYFUNCTION("""COMPUTED_VALUE"""),1682.62)</f>
        <v>1682.62</v>
      </c>
      <c r="E6994" s="1">
        <f>IFERROR(__xludf.DUMMYFUNCTION("""COMPUTED_VALUE"""),1694.16)</f>
        <v>1694.16</v>
      </c>
      <c r="F6994" s="1">
        <f>IFERROR(__xludf.DUMMYFUNCTION("""COMPUTED_VALUE"""),0.0)</f>
        <v>0</v>
      </c>
    </row>
    <row r="6995">
      <c r="A6995" s="2">
        <f>IFERROR(__xludf.DUMMYFUNCTION("""COMPUTED_VALUE"""),41500.666666666664)</f>
        <v>41500.66667</v>
      </c>
      <c r="B6995" s="1">
        <f>IFERROR(__xludf.DUMMYFUNCTION("""COMPUTED_VALUE"""),1693.88)</f>
        <v>1693.88</v>
      </c>
      <c r="C6995" s="1">
        <f>IFERROR(__xludf.DUMMYFUNCTION("""COMPUTED_VALUE"""),1695.52)</f>
        <v>1695.52</v>
      </c>
      <c r="D6995" s="1">
        <f>IFERROR(__xludf.DUMMYFUNCTION("""COMPUTED_VALUE"""),1684.83)</f>
        <v>1684.83</v>
      </c>
      <c r="E6995" s="1">
        <f>IFERROR(__xludf.DUMMYFUNCTION("""COMPUTED_VALUE"""),1685.39)</f>
        <v>1685.39</v>
      </c>
      <c r="F6995" s="1">
        <f>IFERROR(__xludf.DUMMYFUNCTION("""COMPUTED_VALUE"""),0.0)</f>
        <v>0</v>
      </c>
    </row>
    <row r="6996">
      <c r="A6996" s="2">
        <f>IFERROR(__xludf.DUMMYFUNCTION("""COMPUTED_VALUE"""),41501.666666666664)</f>
        <v>41501.66667</v>
      </c>
      <c r="B6996" s="1">
        <f>IFERROR(__xludf.DUMMYFUNCTION("""COMPUTED_VALUE"""),1679.61)</f>
        <v>1679.61</v>
      </c>
      <c r="C6996" s="1">
        <f>IFERROR(__xludf.DUMMYFUNCTION("""COMPUTED_VALUE"""),1679.61)</f>
        <v>1679.61</v>
      </c>
      <c r="D6996" s="1">
        <f>IFERROR(__xludf.DUMMYFUNCTION("""COMPUTED_VALUE"""),1658.59)</f>
        <v>1658.59</v>
      </c>
      <c r="E6996" s="1">
        <f>IFERROR(__xludf.DUMMYFUNCTION("""COMPUTED_VALUE"""),1661.32)</f>
        <v>1661.32</v>
      </c>
      <c r="F6996" s="1">
        <f>IFERROR(__xludf.DUMMYFUNCTION("""COMPUTED_VALUE"""),0.0)</f>
        <v>0</v>
      </c>
    </row>
    <row r="6997">
      <c r="A6997" s="2">
        <f>IFERROR(__xludf.DUMMYFUNCTION("""COMPUTED_VALUE"""),41502.666666666664)</f>
        <v>41502.66667</v>
      </c>
      <c r="B6997" s="1">
        <f>IFERROR(__xludf.DUMMYFUNCTION("""COMPUTED_VALUE"""),1661.22)</f>
        <v>1661.22</v>
      </c>
      <c r="C6997" s="1">
        <f>IFERROR(__xludf.DUMMYFUNCTION("""COMPUTED_VALUE"""),1663.6)</f>
        <v>1663.6</v>
      </c>
      <c r="D6997" s="1">
        <f>IFERROR(__xludf.DUMMYFUNCTION("""COMPUTED_VALUE"""),1652.61)</f>
        <v>1652.61</v>
      </c>
      <c r="E6997" s="1">
        <f>IFERROR(__xludf.DUMMYFUNCTION("""COMPUTED_VALUE"""),1655.83)</f>
        <v>1655.83</v>
      </c>
      <c r="F6997" s="1">
        <f>IFERROR(__xludf.DUMMYFUNCTION("""COMPUTED_VALUE"""),0.0)</f>
        <v>0</v>
      </c>
    </row>
    <row r="6998">
      <c r="A6998" s="2">
        <f>IFERROR(__xludf.DUMMYFUNCTION("""COMPUTED_VALUE"""),41505.666666666664)</f>
        <v>41505.66667</v>
      </c>
      <c r="B6998" s="1">
        <f>IFERROR(__xludf.DUMMYFUNCTION("""COMPUTED_VALUE"""),1655.25)</f>
        <v>1655.25</v>
      </c>
      <c r="C6998" s="1">
        <f>IFERROR(__xludf.DUMMYFUNCTION("""COMPUTED_VALUE"""),1659.18)</f>
        <v>1659.18</v>
      </c>
      <c r="D6998" s="1">
        <f>IFERROR(__xludf.DUMMYFUNCTION("""COMPUTED_VALUE"""),1645.84)</f>
        <v>1645.84</v>
      </c>
      <c r="E6998" s="1">
        <f>IFERROR(__xludf.DUMMYFUNCTION("""COMPUTED_VALUE"""),1646.06)</f>
        <v>1646.06</v>
      </c>
      <c r="F6998" s="1">
        <f>IFERROR(__xludf.DUMMYFUNCTION("""COMPUTED_VALUE"""),0.0)</f>
        <v>0</v>
      </c>
    </row>
    <row r="6999">
      <c r="A6999" s="2">
        <f>IFERROR(__xludf.DUMMYFUNCTION("""COMPUTED_VALUE"""),41506.666666666664)</f>
        <v>41506.66667</v>
      </c>
      <c r="B6999" s="1">
        <f>IFERROR(__xludf.DUMMYFUNCTION("""COMPUTED_VALUE"""),1646.81)</f>
        <v>1646.81</v>
      </c>
      <c r="C6999" s="1">
        <f>IFERROR(__xludf.DUMMYFUNCTION("""COMPUTED_VALUE"""),1658.92)</f>
        <v>1658.92</v>
      </c>
      <c r="D6999" s="1">
        <f>IFERROR(__xludf.DUMMYFUNCTION("""COMPUTED_VALUE"""),1646.08)</f>
        <v>1646.08</v>
      </c>
      <c r="E6999" s="1">
        <f>IFERROR(__xludf.DUMMYFUNCTION("""COMPUTED_VALUE"""),1652.35)</f>
        <v>1652.35</v>
      </c>
      <c r="F6999" s="1">
        <f>IFERROR(__xludf.DUMMYFUNCTION("""COMPUTED_VALUE"""),0.0)</f>
        <v>0</v>
      </c>
    </row>
    <row r="7000">
      <c r="A7000" s="2">
        <f>IFERROR(__xludf.DUMMYFUNCTION("""COMPUTED_VALUE"""),41507.666666666664)</f>
        <v>41507.66667</v>
      </c>
      <c r="B7000" s="1">
        <f>IFERROR(__xludf.DUMMYFUNCTION("""COMPUTED_VALUE"""),1650.66)</f>
        <v>1650.66</v>
      </c>
      <c r="C7000" s="1">
        <f>IFERROR(__xludf.DUMMYFUNCTION("""COMPUTED_VALUE"""),1656.99)</f>
        <v>1656.99</v>
      </c>
      <c r="D7000" s="1">
        <f>IFERROR(__xludf.DUMMYFUNCTION("""COMPUTED_VALUE"""),1639.43)</f>
        <v>1639.43</v>
      </c>
      <c r="E7000" s="1">
        <f>IFERROR(__xludf.DUMMYFUNCTION("""COMPUTED_VALUE"""),1642.8)</f>
        <v>1642.8</v>
      </c>
      <c r="F7000" s="1">
        <f>IFERROR(__xludf.DUMMYFUNCTION("""COMPUTED_VALUE"""),0.0)</f>
        <v>0</v>
      </c>
    </row>
    <row r="7001">
      <c r="A7001" s="2">
        <f>IFERROR(__xludf.DUMMYFUNCTION("""COMPUTED_VALUE"""),41508.666666666664)</f>
        <v>41508.66667</v>
      </c>
      <c r="B7001" s="1">
        <f>IFERROR(__xludf.DUMMYFUNCTION("""COMPUTED_VALUE"""),1645.03)</f>
        <v>1645.03</v>
      </c>
      <c r="C7001" s="1">
        <f>IFERROR(__xludf.DUMMYFUNCTION("""COMPUTED_VALUE"""),1659.55)</f>
        <v>1659.55</v>
      </c>
      <c r="D7001" s="1">
        <f>IFERROR(__xludf.DUMMYFUNCTION("""COMPUTED_VALUE"""),1645.03)</f>
        <v>1645.03</v>
      </c>
      <c r="E7001" s="1">
        <f>IFERROR(__xludf.DUMMYFUNCTION("""COMPUTED_VALUE"""),1656.96)</f>
        <v>1656.96</v>
      </c>
      <c r="F7001" s="1">
        <f>IFERROR(__xludf.DUMMYFUNCTION("""COMPUTED_VALUE"""),0.0)</f>
        <v>0</v>
      </c>
    </row>
    <row r="7002">
      <c r="A7002" s="2">
        <f>IFERROR(__xludf.DUMMYFUNCTION("""COMPUTED_VALUE"""),41509.666666666664)</f>
        <v>41509.66667</v>
      </c>
      <c r="B7002" s="1">
        <f>IFERROR(__xludf.DUMMYFUNCTION("""COMPUTED_VALUE"""),1659.92)</f>
        <v>1659.92</v>
      </c>
      <c r="C7002" s="1">
        <f>IFERROR(__xludf.DUMMYFUNCTION("""COMPUTED_VALUE"""),1664.85)</f>
        <v>1664.85</v>
      </c>
      <c r="D7002" s="1">
        <f>IFERROR(__xludf.DUMMYFUNCTION("""COMPUTED_VALUE"""),1654.81)</f>
        <v>1654.81</v>
      </c>
      <c r="E7002" s="1">
        <f>IFERROR(__xludf.DUMMYFUNCTION("""COMPUTED_VALUE"""),1663.5)</f>
        <v>1663.5</v>
      </c>
      <c r="F7002" s="1">
        <f>IFERROR(__xludf.DUMMYFUNCTION("""COMPUTED_VALUE"""),0.0)</f>
        <v>0</v>
      </c>
    </row>
    <row r="7003">
      <c r="A7003" s="2">
        <f>IFERROR(__xludf.DUMMYFUNCTION("""COMPUTED_VALUE"""),41512.666666666664)</f>
        <v>41512.66667</v>
      </c>
      <c r="B7003" s="1">
        <f>IFERROR(__xludf.DUMMYFUNCTION("""COMPUTED_VALUE"""),1664.29)</f>
        <v>1664.29</v>
      </c>
      <c r="C7003" s="1">
        <f>IFERROR(__xludf.DUMMYFUNCTION("""COMPUTED_VALUE"""),1669.51)</f>
        <v>1669.51</v>
      </c>
      <c r="D7003" s="1">
        <f>IFERROR(__xludf.DUMMYFUNCTION("""COMPUTED_VALUE"""),1656.02)</f>
        <v>1656.02</v>
      </c>
      <c r="E7003" s="1">
        <f>IFERROR(__xludf.DUMMYFUNCTION("""COMPUTED_VALUE"""),1656.78)</f>
        <v>1656.78</v>
      </c>
      <c r="F7003" s="1">
        <f>IFERROR(__xludf.DUMMYFUNCTION("""COMPUTED_VALUE"""),0.0)</f>
        <v>0</v>
      </c>
    </row>
    <row r="7004">
      <c r="A7004" s="2">
        <f>IFERROR(__xludf.DUMMYFUNCTION("""COMPUTED_VALUE"""),41513.666666666664)</f>
        <v>41513.66667</v>
      </c>
      <c r="B7004" s="1">
        <f>IFERROR(__xludf.DUMMYFUNCTION("""COMPUTED_VALUE"""),1652.54)</f>
        <v>1652.54</v>
      </c>
      <c r="C7004" s="1">
        <f>IFERROR(__xludf.DUMMYFUNCTION("""COMPUTED_VALUE"""),1652.54)</f>
        <v>1652.54</v>
      </c>
      <c r="D7004" s="1">
        <f>IFERROR(__xludf.DUMMYFUNCTION("""COMPUTED_VALUE"""),1629.05)</f>
        <v>1629.05</v>
      </c>
      <c r="E7004" s="1">
        <f>IFERROR(__xludf.DUMMYFUNCTION("""COMPUTED_VALUE"""),1630.48)</f>
        <v>1630.48</v>
      </c>
      <c r="F7004" s="1">
        <f>IFERROR(__xludf.DUMMYFUNCTION("""COMPUTED_VALUE"""),0.0)</f>
        <v>0</v>
      </c>
    </row>
    <row r="7005">
      <c r="A7005" s="2">
        <f>IFERROR(__xludf.DUMMYFUNCTION("""COMPUTED_VALUE"""),41514.666666666664)</f>
        <v>41514.66667</v>
      </c>
      <c r="B7005" s="1">
        <f>IFERROR(__xludf.DUMMYFUNCTION("""COMPUTED_VALUE"""),1630.25)</f>
        <v>1630.25</v>
      </c>
      <c r="C7005" s="1">
        <f>IFERROR(__xludf.DUMMYFUNCTION("""COMPUTED_VALUE"""),1641.18)</f>
        <v>1641.18</v>
      </c>
      <c r="D7005" s="1">
        <f>IFERROR(__xludf.DUMMYFUNCTION("""COMPUTED_VALUE"""),1627.47)</f>
        <v>1627.47</v>
      </c>
      <c r="E7005" s="1">
        <f>IFERROR(__xludf.DUMMYFUNCTION("""COMPUTED_VALUE"""),1634.96)</f>
        <v>1634.96</v>
      </c>
      <c r="F7005" s="1">
        <f>IFERROR(__xludf.DUMMYFUNCTION("""COMPUTED_VALUE"""),0.0)</f>
        <v>0</v>
      </c>
    </row>
    <row r="7006">
      <c r="A7006" s="2">
        <f>IFERROR(__xludf.DUMMYFUNCTION("""COMPUTED_VALUE"""),41515.666666666664)</f>
        <v>41515.66667</v>
      </c>
      <c r="B7006" s="1">
        <f>IFERROR(__xludf.DUMMYFUNCTION("""COMPUTED_VALUE"""),1633.5)</f>
        <v>1633.5</v>
      </c>
      <c r="C7006" s="1">
        <f>IFERROR(__xludf.DUMMYFUNCTION("""COMPUTED_VALUE"""),1646.41)</f>
        <v>1646.41</v>
      </c>
      <c r="D7006" s="1">
        <f>IFERROR(__xludf.DUMMYFUNCTION("""COMPUTED_VALUE"""),1630.88)</f>
        <v>1630.88</v>
      </c>
      <c r="E7006" s="1">
        <f>IFERROR(__xludf.DUMMYFUNCTION("""COMPUTED_VALUE"""),1638.17)</f>
        <v>1638.17</v>
      </c>
      <c r="F7006" s="1">
        <f>IFERROR(__xludf.DUMMYFUNCTION("""COMPUTED_VALUE"""),0.0)</f>
        <v>0</v>
      </c>
    </row>
    <row r="7007">
      <c r="A7007" s="2">
        <f>IFERROR(__xludf.DUMMYFUNCTION("""COMPUTED_VALUE"""),41516.666666666664)</f>
        <v>41516.66667</v>
      </c>
      <c r="B7007" s="1">
        <f>IFERROR(__xludf.DUMMYFUNCTION("""COMPUTED_VALUE"""),1638.89)</f>
        <v>1638.89</v>
      </c>
      <c r="C7007" s="1">
        <f>IFERROR(__xludf.DUMMYFUNCTION("""COMPUTED_VALUE"""),1640.08)</f>
        <v>1640.08</v>
      </c>
      <c r="D7007" s="1">
        <f>IFERROR(__xludf.DUMMYFUNCTION("""COMPUTED_VALUE"""),1628.05)</f>
        <v>1628.05</v>
      </c>
      <c r="E7007" s="1">
        <f>IFERROR(__xludf.DUMMYFUNCTION("""COMPUTED_VALUE"""),1632.97)</f>
        <v>1632.97</v>
      </c>
      <c r="F7007" s="1">
        <f>IFERROR(__xludf.DUMMYFUNCTION("""COMPUTED_VALUE"""),0.0)</f>
        <v>0</v>
      </c>
    </row>
    <row r="7008">
      <c r="A7008" s="2">
        <f>IFERROR(__xludf.DUMMYFUNCTION("""COMPUTED_VALUE"""),41520.666666666664)</f>
        <v>41520.66667</v>
      </c>
      <c r="B7008" s="1">
        <f>IFERROR(__xludf.DUMMYFUNCTION("""COMPUTED_VALUE"""),1635.95)</f>
        <v>1635.95</v>
      </c>
      <c r="C7008" s="1">
        <f>IFERROR(__xludf.DUMMYFUNCTION("""COMPUTED_VALUE"""),1651.35)</f>
        <v>1651.35</v>
      </c>
      <c r="D7008" s="1">
        <f>IFERROR(__xludf.DUMMYFUNCTION("""COMPUTED_VALUE"""),1633.41)</f>
        <v>1633.41</v>
      </c>
      <c r="E7008" s="1">
        <f>IFERROR(__xludf.DUMMYFUNCTION("""COMPUTED_VALUE"""),1639.77)</f>
        <v>1639.77</v>
      </c>
      <c r="F7008" s="1">
        <f>IFERROR(__xludf.DUMMYFUNCTION("""COMPUTED_VALUE"""),0.0)</f>
        <v>0</v>
      </c>
    </row>
    <row r="7009">
      <c r="A7009" s="2">
        <f>IFERROR(__xludf.DUMMYFUNCTION("""COMPUTED_VALUE"""),41521.666666666664)</f>
        <v>41521.66667</v>
      </c>
      <c r="B7009" s="1">
        <f>IFERROR(__xludf.DUMMYFUNCTION("""COMPUTED_VALUE"""),1640.72)</f>
        <v>1640.72</v>
      </c>
      <c r="C7009" s="1">
        <f>IFERROR(__xludf.DUMMYFUNCTION("""COMPUTED_VALUE"""),1655.72)</f>
        <v>1655.72</v>
      </c>
      <c r="D7009" s="1">
        <f>IFERROR(__xludf.DUMMYFUNCTION("""COMPUTED_VALUE"""),1637.41)</f>
        <v>1637.41</v>
      </c>
      <c r="E7009" s="1">
        <f>IFERROR(__xludf.DUMMYFUNCTION("""COMPUTED_VALUE"""),1653.08)</f>
        <v>1653.08</v>
      </c>
      <c r="F7009" s="1">
        <f>IFERROR(__xludf.DUMMYFUNCTION("""COMPUTED_VALUE"""),0.0)</f>
        <v>0</v>
      </c>
    </row>
    <row r="7010">
      <c r="A7010" s="2">
        <f>IFERROR(__xludf.DUMMYFUNCTION("""COMPUTED_VALUE"""),41522.666666666664)</f>
        <v>41522.66667</v>
      </c>
      <c r="B7010" s="1">
        <f>IFERROR(__xludf.DUMMYFUNCTION("""COMPUTED_VALUE"""),1653.28)</f>
        <v>1653.28</v>
      </c>
      <c r="C7010" s="1">
        <f>IFERROR(__xludf.DUMMYFUNCTION("""COMPUTED_VALUE"""),1659.17)</f>
        <v>1659.17</v>
      </c>
      <c r="D7010" s="1">
        <f>IFERROR(__xludf.DUMMYFUNCTION("""COMPUTED_VALUE"""),1653.07)</f>
        <v>1653.07</v>
      </c>
      <c r="E7010" s="1">
        <f>IFERROR(__xludf.DUMMYFUNCTION("""COMPUTED_VALUE"""),1655.08)</f>
        <v>1655.08</v>
      </c>
      <c r="F7010" s="1">
        <f>IFERROR(__xludf.DUMMYFUNCTION("""COMPUTED_VALUE"""),0.0)</f>
        <v>0</v>
      </c>
    </row>
    <row r="7011">
      <c r="A7011" s="2">
        <f>IFERROR(__xludf.DUMMYFUNCTION("""COMPUTED_VALUE"""),41523.666666666664)</f>
        <v>41523.66667</v>
      </c>
      <c r="B7011" s="1">
        <f>IFERROR(__xludf.DUMMYFUNCTION("""COMPUTED_VALUE"""),1657.44)</f>
        <v>1657.44</v>
      </c>
      <c r="C7011" s="1">
        <f>IFERROR(__xludf.DUMMYFUNCTION("""COMPUTED_VALUE"""),1664.83)</f>
        <v>1664.83</v>
      </c>
      <c r="D7011" s="1">
        <f>IFERROR(__xludf.DUMMYFUNCTION("""COMPUTED_VALUE"""),1640.62)</f>
        <v>1640.62</v>
      </c>
      <c r="E7011" s="1">
        <f>IFERROR(__xludf.DUMMYFUNCTION("""COMPUTED_VALUE"""),1655.17)</f>
        <v>1655.17</v>
      </c>
      <c r="F7011" s="1">
        <f>IFERROR(__xludf.DUMMYFUNCTION("""COMPUTED_VALUE"""),0.0)</f>
        <v>0</v>
      </c>
    </row>
    <row r="7012">
      <c r="A7012" s="2">
        <f>IFERROR(__xludf.DUMMYFUNCTION("""COMPUTED_VALUE"""),41526.666666666664)</f>
        <v>41526.66667</v>
      </c>
      <c r="B7012" s="1">
        <f>IFERROR(__xludf.DUMMYFUNCTION("""COMPUTED_VALUE"""),1656.85)</f>
        <v>1656.85</v>
      </c>
      <c r="C7012" s="1">
        <f>IFERROR(__xludf.DUMMYFUNCTION("""COMPUTED_VALUE"""),1672.4)</f>
        <v>1672.4</v>
      </c>
      <c r="D7012" s="1">
        <f>IFERROR(__xludf.DUMMYFUNCTION("""COMPUTED_VALUE"""),1656.85)</f>
        <v>1656.85</v>
      </c>
      <c r="E7012" s="1">
        <f>IFERROR(__xludf.DUMMYFUNCTION("""COMPUTED_VALUE"""),1671.71)</f>
        <v>1671.71</v>
      </c>
      <c r="F7012" s="1">
        <f>IFERROR(__xludf.DUMMYFUNCTION("""COMPUTED_VALUE"""),0.0)</f>
        <v>0</v>
      </c>
    </row>
    <row r="7013">
      <c r="A7013" s="2">
        <f>IFERROR(__xludf.DUMMYFUNCTION("""COMPUTED_VALUE"""),41527.666666666664)</f>
        <v>41527.66667</v>
      </c>
      <c r="B7013" s="1">
        <f>IFERROR(__xludf.DUMMYFUNCTION("""COMPUTED_VALUE"""),1674.32)</f>
        <v>1674.32</v>
      </c>
      <c r="C7013" s="1">
        <f>IFERROR(__xludf.DUMMYFUNCTION("""COMPUTED_VALUE"""),1684.09)</f>
        <v>1684.09</v>
      </c>
      <c r="D7013" s="1">
        <f>IFERROR(__xludf.DUMMYFUNCTION("""COMPUTED_VALUE"""),1674.32)</f>
        <v>1674.32</v>
      </c>
      <c r="E7013" s="1">
        <f>IFERROR(__xludf.DUMMYFUNCTION("""COMPUTED_VALUE"""),1683.99)</f>
        <v>1683.99</v>
      </c>
      <c r="F7013" s="1">
        <f>IFERROR(__xludf.DUMMYFUNCTION("""COMPUTED_VALUE"""),0.0)</f>
        <v>0</v>
      </c>
    </row>
    <row r="7014">
      <c r="A7014" s="2">
        <f>IFERROR(__xludf.DUMMYFUNCTION("""COMPUTED_VALUE"""),41528.666666666664)</f>
        <v>41528.66667</v>
      </c>
      <c r="B7014" s="1">
        <f>IFERROR(__xludf.DUMMYFUNCTION("""COMPUTED_VALUE"""),1681.04)</f>
        <v>1681.04</v>
      </c>
      <c r="C7014" s="1">
        <f>IFERROR(__xludf.DUMMYFUNCTION("""COMPUTED_VALUE"""),1689.13)</f>
        <v>1689.13</v>
      </c>
      <c r="D7014" s="1">
        <f>IFERROR(__xludf.DUMMYFUNCTION("""COMPUTED_VALUE"""),1678.7)</f>
        <v>1678.7</v>
      </c>
      <c r="E7014" s="1">
        <f>IFERROR(__xludf.DUMMYFUNCTION("""COMPUTED_VALUE"""),1689.13)</f>
        <v>1689.13</v>
      </c>
      <c r="F7014" s="1">
        <f>IFERROR(__xludf.DUMMYFUNCTION("""COMPUTED_VALUE"""),0.0)</f>
        <v>0</v>
      </c>
    </row>
    <row r="7015">
      <c r="A7015" s="2">
        <f>IFERROR(__xludf.DUMMYFUNCTION("""COMPUTED_VALUE"""),41529.666666666664)</f>
        <v>41529.66667</v>
      </c>
      <c r="B7015" s="1">
        <f>IFERROR(__xludf.DUMMYFUNCTION("""COMPUTED_VALUE"""),1689.21)</f>
        <v>1689.21</v>
      </c>
      <c r="C7015" s="1">
        <f>IFERROR(__xludf.DUMMYFUNCTION("""COMPUTED_VALUE"""),1689.97)</f>
        <v>1689.97</v>
      </c>
      <c r="D7015" s="1">
        <f>IFERROR(__xludf.DUMMYFUNCTION("""COMPUTED_VALUE"""),1681.96)</f>
        <v>1681.96</v>
      </c>
      <c r="E7015" s="1">
        <f>IFERROR(__xludf.DUMMYFUNCTION("""COMPUTED_VALUE"""),1683.42)</f>
        <v>1683.42</v>
      </c>
      <c r="F7015" s="1">
        <f>IFERROR(__xludf.DUMMYFUNCTION("""COMPUTED_VALUE"""),0.0)</f>
        <v>0</v>
      </c>
    </row>
    <row r="7016">
      <c r="A7016" s="2">
        <f>IFERROR(__xludf.DUMMYFUNCTION("""COMPUTED_VALUE"""),41530.666666666664)</f>
        <v>41530.66667</v>
      </c>
      <c r="B7016" s="1">
        <f>IFERROR(__xludf.DUMMYFUNCTION("""COMPUTED_VALUE"""),1685.04)</f>
        <v>1685.04</v>
      </c>
      <c r="C7016" s="1">
        <f>IFERROR(__xludf.DUMMYFUNCTION("""COMPUTED_VALUE"""),1688.73)</f>
        <v>1688.73</v>
      </c>
      <c r="D7016" s="1">
        <f>IFERROR(__xludf.DUMMYFUNCTION("""COMPUTED_VALUE"""),1682.22)</f>
        <v>1682.22</v>
      </c>
      <c r="E7016" s="1">
        <f>IFERROR(__xludf.DUMMYFUNCTION("""COMPUTED_VALUE"""),1687.99)</f>
        <v>1687.99</v>
      </c>
      <c r="F7016" s="1">
        <f>IFERROR(__xludf.DUMMYFUNCTION("""COMPUTED_VALUE"""),0.0)</f>
        <v>0</v>
      </c>
    </row>
    <row r="7017">
      <c r="A7017" s="2">
        <f>IFERROR(__xludf.DUMMYFUNCTION("""COMPUTED_VALUE"""),41533.666666666664)</f>
        <v>41533.66667</v>
      </c>
      <c r="B7017" s="1">
        <f>IFERROR(__xludf.DUMMYFUNCTION("""COMPUTED_VALUE"""),1691.7)</f>
        <v>1691.7</v>
      </c>
      <c r="C7017" s="1">
        <f>IFERROR(__xludf.DUMMYFUNCTION("""COMPUTED_VALUE"""),1704.95)</f>
        <v>1704.95</v>
      </c>
      <c r="D7017" s="1">
        <f>IFERROR(__xludf.DUMMYFUNCTION("""COMPUTED_VALUE"""),1691.7)</f>
        <v>1691.7</v>
      </c>
      <c r="E7017" s="1">
        <f>IFERROR(__xludf.DUMMYFUNCTION("""COMPUTED_VALUE"""),1697.6)</f>
        <v>1697.6</v>
      </c>
      <c r="F7017" s="1">
        <f>IFERROR(__xludf.DUMMYFUNCTION("""COMPUTED_VALUE"""),0.0)</f>
        <v>0</v>
      </c>
    </row>
    <row r="7018">
      <c r="A7018" s="2">
        <f>IFERROR(__xludf.DUMMYFUNCTION("""COMPUTED_VALUE"""),41534.666666666664)</f>
        <v>41534.66667</v>
      </c>
      <c r="B7018" s="1">
        <f>IFERROR(__xludf.DUMMYFUNCTION("""COMPUTED_VALUE"""),1697.73)</f>
        <v>1697.73</v>
      </c>
      <c r="C7018" s="1">
        <f>IFERROR(__xludf.DUMMYFUNCTION("""COMPUTED_VALUE"""),1705.52)</f>
        <v>1705.52</v>
      </c>
      <c r="D7018" s="1">
        <f>IFERROR(__xludf.DUMMYFUNCTION("""COMPUTED_VALUE"""),1697.73)</f>
        <v>1697.73</v>
      </c>
      <c r="E7018" s="1">
        <f>IFERROR(__xludf.DUMMYFUNCTION("""COMPUTED_VALUE"""),1704.76)</f>
        <v>1704.76</v>
      </c>
      <c r="F7018" s="1">
        <f>IFERROR(__xludf.DUMMYFUNCTION("""COMPUTED_VALUE"""),0.0)</f>
        <v>0</v>
      </c>
    </row>
    <row r="7019">
      <c r="A7019" s="2">
        <f>IFERROR(__xludf.DUMMYFUNCTION("""COMPUTED_VALUE"""),41535.666666666664)</f>
        <v>41535.66667</v>
      </c>
      <c r="B7019" s="1">
        <f>IFERROR(__xludf.DUMMYFUNCTION("""COMPUTED_VALUE"""),1705.74)</f>
        <v>1705.74</v>
      </c>
      <c r="C7019" s="1">
        <f>IFERROR(__xludf.DUMMYFUNCTION("""COMPUTED_VALUE"""),1729.44)</f>
        <v>1729.44</v>
      </c>
      <c r="D7019" s="1">
        <f>IFERROR(__xludf.DUMMYFUNCTION("""COMPUTED_VALUE"""),1700.35)</f>
        <v>1700.35</v>
      </c>
      <c r="E7019" s="1">
        <f>IFERROR(__xludf.DUMMYFUNCTION("""COMPUTED_VALUE"""),1725.52)</f>
        <v>1725.52</v>
      </c>
      <c r="F7019" s="1">
        <f>IFERROR(__xludf.DUMMYFUNCTION("""COMPUTED_VALUE"""),0.0)</f>
        <v>0</v>
      </c>
    </row>
    <row r="7020">
      <c r="A7020" s="2">
        <f>IFERROR(__xludf.DUMMYFUNCTION("""COMPUTED_VALUE"""),41536.666666666664)</f>
        <v>41536.66667</v>
      </c>
      <c r="B7020" s="1">
        <f>IFERROR(__xludf.DUMMYFUNCTION("""COMPUTED_VALUE"""),1727.34)</f>
        <v>1727.34</v>
      </c>
      <c r="C7020" s="1">
        <f>IFERROR(__xludf.DUMMYFUNCTION("""COMPUTED_VALUE"""),1729.86)</f>
        <v>1729.86</v>
      </c>
      <c r="D7020" s="1">
        <f>IFERROR(__xludf.DUMMYFUNCTION("""COMPUTED_VALUE"""),1720.2)</f>
        <v>1720.2</v>
      </c>
      <c r="E7020" s="1">
        <f>IFERROR(__xludf.DUMMYFUNCTION("""COMPUTED_VALUE"""),1722.34)</f>
        <v>1722.34</v>
      </c>
      <c r="F7020" s="1">
        <f>IFERROR(__xludf.DUMMYFUNCTION("""COMPUTED_VALUE"""),0.0)</f>
        <v>0</v>
      </c>
    </row>
    <row r="7021">
      <c r="A7021" s="2">
        <f>IFERROR(__xludf.DUMMYFUNCTION("""COMPUTED_VALUE"""),41537.666666666664)</f>
        <v>41537.66667</v>
      </c>
      <c r="B7021" s="1">
        <f>IFERROR(__xludf.DUMMYFUNCTION("""COMPUTED_VALUE"""),1722.44)</f>
        <v>1722.44</v>
      </c>
      <c r="C7021" s="1">
        <f>IFERROR(__xludf.DUMMYFUNCTION("""COMPUTED_VALUE"""),1725.23)</f>
        <v>1725.23</v>
      </c>
      <c r="D7021" s="1">
        <f>IFERROR(__xludf.DUMMYFUNCTION("""COMPUTED_VALUE"""),1708.89)</f>
        <v>1708.89</v>
      </c>
      <c r="E7021" s="1">
        <f>IFERROR(__xludf.DUMMYFUNCTION("""COMPUTED_VALUE"""),1709.91)</f>
        <v>1709.91</v>
      </c>
      <c r="F7021" s="1">
        <f>IFERROR(__xludf.DUMMYFUNCTION("""COMPUTED_VALUE"""),0.0)</f>
        <v>0</v>
      </c>
    </row>
    <row r="7022">
      <c r="A7022" s="2">
        <f>IFERROR(__xludf.DUMMYFUNCTION("""COMPUTED_VALUE"""),41540.666666666664)</f>
        <v>41540.66667</v>
      </c>
      <c r="B7022" s="1">
        <f>IFERROR(__xludf.DUMMYFUNCTION("""COMPUTED_VALUE"""),1711.44)</f>
        <v>1711.44</v>
      </c>
      <c r="C7022" s="1">
        <f>IFERROR(__xludf.DUMMYFUNCTION("""COMPUTED_VALUE"""),1711.44)</f>
        <v>1711.44</v>
      </c>
      <c r="D7022" s="1">
        <f>IFERROR(__xludf.DUMMYFUNCTION("""COMPUTED_VALUE"""),1697.1)</f>
        <v>1697.1</v>
      </c>
      <c r="E7022" s="1">
        <f>IFERROR(__xludf.DUMMYFUNCTION("""COMPUTED_VALUE"""),1701.84)</f>
        <v>1701.84</v>
      </c>
      <c r="F7022" s="1">
        <f>IFERROR(__xludf.DUMMYFUNCTION("""COMPUTED_VALUE"""),0.0)</f>
        <v>0</v>
      </c>
    </row>
    <row r="7023">
      <c r="A7023" s="2">
        <f>IFERROR(__xludf.DUMMYFUNCTION("""COMPUTED_VALUE"""),41541.666666666664)</f>
        <v>41541.66667</v>
      </c>
      <c r="B7023" s="1">
        <f>IFERROR(__xludf.DUMMYFUNCTION("""COMPUTED_VALUE"""),1702.6)</f>
        <v>1702.6</v>
      </c>
      <c r="C7023" s="1">
        <f>IFERROR(__xludf.DUMMYFUNCTION("""COMPUTED_VALUE"""),1707.63)</f>
        <v>1707.63</v>
      </c>
      <c r="D7023" s="1">
        <f>IFERROR(__xludf.DUMMYFUNCTION("""COMPUTED_VALUE"""),1694.9)</f>
        <v>1694.9</v>
      </c>
      <c r="E7023" s="1">
        <f>IFERROR(__xludf.DUMMYFUNCTION("""COMPUTED_VALUE"""),1697.42)</f>
        <v>1697.42</v>
      </c>
      <c r="F7023" s="1">
        <f>IFERROR(__xludf.DUMMYFUNCTION("""COMPUTED_VALUE"""),0.0)</f>
        <v>0</v>
      </c>
    </row>
    <row r="7024">
      <c r="A7024" s="2">
        <f>IFERROR(__xludf.DUMMYFUNCTION("""COMPUTED_VALUE"""),41542.666666666664)</f>
        <v>41542.66667</v>
      </c>
      <c r="B7024" s="1">
        <f>IFERROR(__xludf.DUMMYFUNCTION("""COMPUTED_VALUE"""),1698.02)</f>
        <v>1698.02</v>
      </c>
      <c r="C7024" s="1">
        <f>IFERROR(__xludf.DUMMYFUNCTION("""COMPUTED_VALUE"""),1701.71)</f>
        <v>1701.71</v>
      </c>
      <c r="D7024" s="1">
        <f>IFERROR(__xludf.DUMMYFUNCTION("""COMPUTED_VALUE"""),1691.88)</f>
        <v>1691.88</v>
      </c>
      <c r="E7024" s="1">
        <f>IFERROR(__xludf.DUMMYFUNCTION("""COMPUTED_VALUE"""),1692.77)</f>
        <v>1692.77</v>
      </c>
      <c r="F7024" s="1">
        <f>IFERROR(__xludf.DUMMYFUNCTION("""COMPUTED_VALUE"""),0.0)</f>
        <v>0</v>
      </c>
    </row>
    <row r="7025">
      <c r="A7025" s="2">
        <f>IFERROR(__xludf.DUMMYFUNCTION("""COMPUTED_VALUE"""),41543.666666666664)</f>
        <v>41543.66667</v>
      </c>
      <c r="B7025" s="1">
        <f>IFERROR(__xludf.DUMMYFUNCTION("""COMPUTED_VALUE"""),1694.05)</f>
        <v>1694.05</v>
      </c>
      <c r="C7025" s="1">
        <f>IFERROR(__xludf.DUMMYFUNCTION("""COMPUTED_VALUE"""),1703.85)</f>
        <v>1703.85</v>
      </c>
      <c r="D7025" s="1">
        <f>IFERROR(__xludf.DUMMYFUNCTION("""COMPUTED_VALUE"""),1693.11)</f>
        <v>1693.11</v>
      </c>
      <c r="E7025" s="1">
        <f>IFERROR(__xludf.DUMMYFUNCTION("""COMPUTED_VALUE"""),1698.67)</f>
        <v>1698.67</v>
      </c>
      <c r="F7025" s="1">
        <f>IFERROR(__xludf.DUMMYFUNCTION("""COMPUTED_VALUE"""),0.0)</f>
        <v>0</v>
      </c>
    </row>
    <row r="7026">
      <c r="A7026" s="2">
        <f>IFERROR(__xludf.DUMMYFUNCTION("""COMPUTED_VALUE"""),41544.666666666664)</f>
        <v>41544.66667</v>
      </c>
      <c r="B7026" s="1">
        <f>IFERROR(__xludf.DUMMYFUNCTION("""COMPUTED_VALUE"""),1695.52)</f>
        <v>1695.52</v>
      </c>
      <c r="C7026" s="1">
        <f>IFERROR(__xludf.DUMMYFUNCTION("""COMPUTED_VALUE"""),1695.52)</f>
        <v>1695.52</v>
      </c>
      <c r="D7026" s="1">
        <f>IFERROR(__xludf.DUMMYFUNCTION("""COMPUTED_VALUE"""),1687.11)</f>
        <v>1687.11</v>
      </c>
      <c r="E7026" s="1">
        <f>IFERROR(__xludf.DUMMYFUNCTION("""COMPUTED_VALUE"""),1691.75)</f>
        <v>1691.75</v>
      </c>
      <c r="F7026" s="1">
        <f>IFERROR(__xludf.DUMMYFUNCTION("""COMPUTED_VALUE"""),0.0)</f>
        <v>0</v>
      </c>
    </row>
    <row r="7027">
      <c r="A7027" s="2">
        <f>IFERROR(__xludf.DUMMYFUNCTION("""COMPUTED_VALUE"""),41547.666666666664)</f>
        <v>41547.66667</v>
      </c>
      <c r="B7027" s="1">
        <f>IFERROR(__xludf.DUMMYFUNCTION("""COMPUTED_VALUE"""),1687.26)</f>
        <v>1687.26</v>
      </c>
      <c r="C7027" s="1">
        <f>IFERROR(__xludf.DUMMYFUNCTION("""COMPUTED_VALUE"""),1687.26)</f>
        <v>1687.26</v>
      </c>
      <c r="D7027" s="1">
        <f>IFERROR(__xludf.DUMMYFUNCTION("""COMPUTED_VALUE"""),1674.99)</f>
        <v>1674.99</v>
      </c>
      <c r="E7027" s="1">
        <f>IFERROR(__xludf.DUMMYFUNCTION("""COMPUTED_VALUE"""),1681.55)</f>
        <v>1681.55</v>
      </c>
      <c r="F7027" s="1">
        <f>IFERROR(__xludf.DUMMYFUNCTION("""COMPUTED_VALUE"""),0.0)</f>
        <v>0</v>
      </c>
    </row>
    <row r="7028">
      <c r="A7028" s="2">
        <f>IFERROR(__xludf.DUMMYFUNCTION("""COMPUTED_VALUE"""),41548.666666666664)</f>
        <v>41548.66667</v>
      </c>
      <c r="B7028" s="1">
        <f>IFERROR(__xludf.DUMMYFUNCTION("""COMPUTED_VALUE"""),1682.41)</f>
        <v>1682.41</v>
      </c>
      <c r="C7028" s="1">
        <f>IFERROR(__xludf.DUMMYFUNCTION("""COMPUTED_VALUE"""),1696.55)</f>
        <v>1696.55</v>
      </c>
      <c r="D7028" s="1">
        <f>IFERROR(__xludf.DUMMYFUNCTION("""COMPUTED_VALUE"""),1682.07)</f>
        <v>1682.07</v>
      </c>
      <c r="E7028" s="1">
        <f>IFERROR(__xludf.DUMMYFUNCTION("""COMPUTED_VALUE"""),1695.0)</f>
        <v>1695</v>
      </c>
      <c r="F7028" s="1">
        <f>IFERROR(__xludf.DUMMYFUNCTION("""COMPUTED_VALUE"""),0.0)</f>
        <v>0</v>
      </c>
    </row>
    <row r="7029">
      <c r="A7029" s="2">
        <f>IFERROR(__xludf.DUMMYFUNCTION("""COMPUTED_VALUE"""),41549.666666666664)</f>
        <v>41549.66667</v>
      </c>
      <c r="B7029" s="1">
        <f>IFERROR(__xludf.DUMMYFUNCTION("""COMPUTED_VALUE"""),1691.9)</f>
        <v>1691.9</v>
      </c>
      <c r="C7029" s="1">
        <f>IFERROR(__xludf.DUMMYFUNCTION("""COMPUTED_VALUE"""),1693.87)</f>
        <v>1693.87</v>
      </c>
      <c r="D7029" s="1">
        <f>IFERROR(__xludf.DUMMYFUNCTION("""COMPUTED_VALUE"""),1680.34)</f>
        <v>1680.34</v>
      </c>
      <c r="E7029" s="1">
        <f>IFERROR(__xludf.DUMMYFUNCTION("""COMPUTED_VALUE"""),1693.87)</f>
        <v>1693.87</v>
      </c>
      <c r="F7029" s="1">
        <f>IFERROR(__xludf.DUMMYFUNCTION("""COMPUTED_VALUE"""),0.0)</f>
        <v>0</v>
      </c>
    </row>
    <row r="7030">
      <c r="A7030" s="2">
        <f>IFERROR(__xludf.DUMMYFUNCTION("""COMPUTED_VALUE"""),41550.666666666664)</f>
        <v>41550.66667</v>
      </c>
      <c r="B7030" s="1">
        <f>IFERROR(__xludf.DUMMYFUNCTION("""COMPUTED_VALUE"""),1692.35)</f>
        <v>1692.35</v>
      </c>
      <c r="C7030" s="1">
        <f>IFERROR(__xludf.DUMMYFUNCTION("""COMPUTED_VALUE"""),1692.35)</f>
        <v>1692.35</v>
      </c>
      <c r="D7030" s="1">
        <f>IFERROR(__xludf.DUMMYFUNCTION("""COMPUTED_VALUE"""),1670.36)</f>
        <v>1670.36</v>
      </c>
      <c r="E7030" s="1">
        <f>IFERROR(__xludf.DUMMYFUNCTION("""COMPUTED_VALUE"""),1678.66)</f>
        <v>1678.66</v>
      </c>
      <c r="F7030" s="1">
        <f>IFERROR(__xludf.DUMMYFUNCTION("""COMPUTED_VALUE"""),0.0)</f>
        <v>0</v>
      </c>
    </row>
    <row r="7031">
      <c r="A7031" s="2">
        <f>IFERROR(__xludf.DUMMYFUNCTION("""COMPUTED_VALUE"""),41551.666666666664)</f>
        <v>41551.66667</v>
      </c>
      <c r="B7031" s="1">
        <f>IFERROR(__xludf.DUMMYFUNCTION("""COMPUTED_VALUE"""),1678.79)</f>
        <v>1678.79</v>
      </c>
      <c r="C7031" s="1">
        <f>IFERROR(__xludf.DUMMYFUNCTION("""COMPUTED_VALUE"""),1691.94)</f>
        <v>1691.94</v>
      </c>
      <c r="D7031" s="1">
        <f>IFERROR(__xludf.DUMMYFUNCTION("""COMPUTED_VALUE"""),1677.33)</f>
        <v>1677.33</v>
      </c>
      <c r="E7031" s="1">
        <f>IFERROR(__xludf.DUMMYFUNCTION("""COMPUTED_VALUE"""),1690.5)</f>
        <v>1690.5</v>
      </c>
      <c r="F7031" s="1">
        <f>IFERROR(__xludf.DUMMYFUNCTION("""COMPUTED_VALUE"""),0.0)</f>
        <v>0</v>
      </c>
    </row>
    <row r="7032">
      <c r="A7032" s="2">
        <f>IFERROR(__xludf.DUMMYFUNCTION("""COMPUTED_VALUE"""),41554.666666666664)</f>
        <v>41554.66667</v>
      </c>
      <c r="B7032" s="1">
        <f>IFERROR(__xludf.DUMMYFUNCTION("""COMPUTED_VALUE"""),1687.15)</f>
        <v>1687.15</v>
      </c>
      <c r="C7032" s="1">
        <f>IFERROR(__xludf.DUMMYFUNCTION("""COMPUTED_VALUE"""),1687.15)</f>
        <v>1687.15</v>
      </c>
      <c r="D7032" s="1">
        <f>IFERROR(__xludf.DUMMYFUNCTION("""COMPUTED_VALUE"""),1674.7)</f>
        <v>1674.7</v>
      </c>
      <c r="E7032" s="1">
        <f>IFERROR(__xludf.DUMMYFUNCTION("""COMPUTED_VALUE"""),1676.12)</f>
        <v>1676.12</v>
      </c>
      <c r="F7032" s="1">
        <f>IFERROR(__xludf.DUMMYFUNCTION("""COMPUTED_VALUE"""),0.0)</f>
        <v>0</v>
      </c>
    </row>
    <row r="7033">
      <c r="A7033" s="2">
        <f>IFERROR(__xludf.DUMMYFUNCTION("""COMPUTED_VALUE"""),41555.666666666664)</f>
        <v>41555.66667</v>
      </c>
      <c r="B7033" s="1">
        <f>IFERROR(__xludf.DUMMYFUNCTION("""COMPUTED_VALUE"""),1676.22)</f>
        <v>1676.22</v>
      </c>
      <c r="C7033" s="1">
        <f>IFERROR(__xludf.DUMMYFUNCTION("""COMPUTED_VALUE"""),1676.79)</f>
        <v>1676.79</v>
      </c>
      <c r="D7033" s="1">
        <f>IFERROR(__xludf.DUMMYFUNCTION("""COMPUTED_VALUE"""),1655.03)</f>
        <v>1655.03</v>
      </c>
      <c r="E7033" s="1">
        <f>IFERROR(__xludf.DUMMYFUNCTION("""COMPUTED_VALUE"""),1655.45)</f>
        <v>1655.45</v>
      </c>
      <c r="F7033" s="1">
        <f>IFERROR(__xludf.DUMMYFUNCTION("""COMPUTED_VALUE"""),0.0)</f>
        <v>0</v>
      </c>
    </row>
    <row r="7034">
      <c r="A7034" s="2">
        <f>IFERROR(__xludf.DUMMYFUNCTION("""COMPUTED_VALUE"""),41556.666666666664)</f>
        <v>41556.66667</v>
      </c>
      <c r="B7034" s="1">
        <f>IFERROR(__xludf.DUMMYFUNCTION("""COMPUTED_VALUE"""),1656.99)</f>
        <v>1656.99</v>
      </c>
      <c r="C7034" s="1">
        <f>IFERROR(__xludf.DUMMYFUNCTION("""COMPUTED_VALUE"""),1662.47)</f>
        <v>1662.47</v>
      </c>
      <c r="D7034" s="1">
        <f>IFERROR(__xludf.DUMMYFUNCTION("""COMPUTED_VALUE"""),1646.47)</f>
        <v>1646.47</v>
      </c>
      <c r="E7034" s="1">
        <f>IFERROR(__xludf.DUMMYFUNCTION("""COMPUTED_VALUE"""),1656.4)</f>
        <v>1656.4</v>
      </c>
      <c r="F7034" s="1">
        <f>IFERROR(__xludf.DUMMYFUNCTION("""COMPUTED_VALUE"""),0.0)</f>
        <v>0</v>
      </c>
    </row>
    <row r="7035">
      <c r="A7035" s="2">
        <f>IFERROR(__xludf.DUMMYFUNCTION("""COMPUTED_VALUE"""),41557.666666666664)</f>
        <v>41557.66667</v>
      </c>
      <c r="B7035" s="1">
        <f>IFERROR(__xludf.DUMMYFUNCTION("""COMPUTED_VALUE"""),1660.88)</f>
        <v>1660.88</v>
      </c>
      <c r="C7035" s="1">
        <f>IFERROR(__xludf.DUMMYFUNCTION("""COMPUTED_VALUE"""),1692.56)</f>
        <v>1692.56</v>
      </c>
      <c r="D7035" s="1">
        <f>IFERROR(__xludf.DUMMYFUNCTION("""COMPUTED_VALUE"""),1660.88)</f>
        <v>1660.88</v>
      </c>
      <c r="E7035" s="1">
        <f>IFERROR(__xludf.DUMMYFUNCTION("""COMPUTED_VALUE"""),1692.56)</f>
        <v>1692.56</v>
      </c>
      <c r="F7035" s="1">
        <f>IFERROR(__xludf.DUMMYFUNCTION("""COMPUTED_VALUE"""),0.0)</f>
        <v>0</v>
      </c>
    </row>
    <row r="7036">
      <c r="A7036" s="2">
        <f>IFERROR(__xludf.DUMMYFUNCTION("""COMPUTED_VALUE"""),41558.666666666664)</f>
        <v>41558.66667</v>
      </c>
      <c r="B7036" s="1">
        <f>IFERROR(__xludf.DUMMYFUNCTION("""COMPUTED_VALUE"""),1691.09)</f>
        <v>1691.09</v>
      </c>
      <c r="C7036" s="1">
        <f>IFERROR(__xludf.DUMMYFUNCTION("""COMPUTED_VALUE"""),1703.44)</f>
        <v>1703.44</v>
      </c>
      <c r="D7036" s="1">
        <f>IFERROR(__xludf.DUMMYFUNCTION("""COMPUTED_VALUE"""),1688.52)</f>
        <v>1688.52</v>
      </c>
      <c r="E7036" s="1">
        <f>IFERROR(__xludf.DUMMYFUNCTION("""COMPUTED_VALUE"""),1703.2)</f>
        <v>1703.2</v>
      </c>
      <c r="F7036" s="1">
        <f>IFERROR(__xludf.DUMMYFUNCTION("""COMPUTED_VALUE"""),0.0)</f>
        <v>0</v>
      </c>
    </row>
    <row r="7037">
      <c r="A7037" s="2">
        <f>IFERROR(__xludf.DUMMYFUNCTION("""COMPUTED_VALUE"""),41561.666666666664)</f>
        <v>41561.66667</v>
      </c>
      <c r="B7037" s="1">
        <f>IFERROR(__xludf.DUMMYFUNCTION("""COMPUTED_VALUE"""),1699.86)</f>
        <v>1699.86</v>
      </c>
      <c r="C7037" s="1">
        <f>IFERROR(__xludf.DUMMYFUNCTION("""COMPUTED_VALUE"""),1711.03)</f>
        <v>1711.03</v>
      </c>
      <c r="D7037" s="1">
        <f>IFERROR(__xludf.DUMMYFUNCTION("""COMPUTED_VALUE"""),1692.13)</f>
        <v>1692.13</v>
      </c>
      <c r="E7037" s="1">
        <f>IFERROR(__xludf.DUMMYFUNCTION("""COMPUTED_VALUE"""),1710.14)</f>
        <v>1710.14</v>
      </c>
      <c r="F7037" s="1">
        <f>IFERROR(__xludf.DUMMYFUNCTION("""COMPUTED_VALUE"""),0.0)</f>
        <v>0</v>
      </c>
    </row>
    <row r="7038">
      <c r="A7038" s="2">
        <f>IFERROR(__xludf.DUMMYFUNCTION("""COMPUTED_VALUE"""),41562.666666666664)</f>
        <v>41562.66667</v>
      </c>
      <c r="B7038" s="1">
        <f>IFERROR(__xludf.DUMMYFUNCTION("""COMPUTED_VALUE"""),1709.17)</f>
        <v>1709.17</v>
      </c>
      <c r="C7038" s="1">
        <f>IFERROR(__xludf.DUMMYFUNCTION("""COMPUTED_VALUE"""),1711.57)</f>
        <v>1711.57</v>
      </c>
      <c r="D7038" s="1">
        <f>IFERROR(__xludf.DUMMYFUNCTION("""COMPUTED_VALUE"""),1695.93)</f>
        <v>1695.93</v>
      </c>
      <c r="E7038" s="1">
        <f>IFERROR(__xludf.DUMMYFUNCTION("""COMPUTED_VALUE"""),1698.06)</f>
        <v>1698.06</v>
      </c>
      <c r="F7038" s="1">
        <f>IFERROR(__xludf.DUMMYFUNCTION("""COMPUTED_VALUE"""),0.0)</f>
        <v>0</v>
      </c>
    </row>
    <row r="7039">
      <c r="A7039" s="2">
        <f>IFERROR(__xludf.DUMMYFUNCTION("""COMPUTED_VALUE"""),41563.666666666664)</f>
        <v>41563.66667</v>
      </c>
      <c r="B7039" s="1">
        <f>IFERROR(__xludf.DUMMYFUNCTION("""COMPUTED_VALUE"""),1700.49)</f>
        <v>1700.49</v>
      </c>
      <c r="C7039" s="1">
        <f>IFERROR(__xludf.DUMMYFUNCTION("""COMPUTED_VALUE"""),1721.76)</f>
        <v>1721.76</v>
      </c>
      <c r="D7039" s="1">
        <f>IFERROR(__xludf.DUMMYFUNCTION("""COMPUTED_VALUE"""),1700.49)</f>
        <v>1700.49</v>
      </c>
      <c r="E7039" s="1">
        <f>IFERROR(__xludf.DUMMYFUNCTION("""COMPUTED_VALUE"""),1721.54)</f>
        <v>1721.54</v>
      </c>
      <c r="F7039" s="1">
        <f>IFERROR(__xludf.DUMMYFUNCTION("""COMPUTED_VALUE"""),0.0)</f>
        <v>0</v>
      </c>
    </row>
    <row r="7040">
      <c r="A7040" s="2">
        <f>IFERROR(__xludf.DUMMYFUNCTION("""COMPUTED_VALUE"""),41564.666666666664)</f>
        <v>41564.66667</v>
      </c>
      <c r="B7040" s="1">
        <f>IFERROR(__xludf.DUMMYFUNCTION("""COMPUTED_VALUE"""),1720.17)</f>
        <v>1720.17</v>
      </c>
      <c r="C7040" s="1">
        <f>IFERROR(__xludf.DUMMYFUNCTION("""COMPUTED_VALUE"""),1733.45)</f>
        <v>1733.45</v>
      </c>
      <c r="D7040" s="1">
        <f>IFERROR(__xludf.DUMMYFUNCTION("""COMPUTED_VALUE"""),1714.12)</f>
        <v>1714.12</v>
      </c>
      <c r="E7040" s="1">
        <f>IFERROR(__xludf.DUMMYFUNCTION("""COMPUTED_VALUE"""),1733.15)</f>
        <v>1733.15</v>
      </c>
      <c r="F7040" s="1">
        <f>IFERROR(__xludf.DUMMYFUNCTION("""COMPUTED_VALUE"""),0.0)</f>
        <v>0</v>
      </c>
    </row>
    <row r="7041">
      <c r="A7041" s="2">
        <f>IFERROR(__xludf.DUMMYFUNCTION("""COMPUTED_VALUE"""),41565.666666666664)</f>
        <v>41565.66667</v>
      </c>
      <c r="B7041" s="1">
        <f>IFERROR(__xludf.DUMMYFUNCTION("""COMPUTED_VALUE"""),1736.72)</f>
        <v>1736.72</v>
      </c>
      <c r="C7041" s="1">
        <f>IFERROR(__xludf.DUMMYFUNCTION("""COMPUTED_VALUE"""),1745.31)</f>
        <v>1745.31</v>
      </c>
      <c r="D7041" s="1">
        <f>IFERROR(__xludf.DUMMYFUNCTION("""COMPUTED_VALUE"""),1735.74)</f>
        <v>1735.74</v>
      </c>
      <c r="E7041" s="1">
        <f>IFERROR(__xludf.DUMMYFUNCTION("""COMPUTED_VALUE"""),1744.5)</f>
        <v>1744.5</v>
      </c>
      <c r="F7041" s="1">
        <f>IFERROR(__xludf.DUMMYFUNCTION("""COMPUTED_VALUE"""),0.0)</f>
        <v>0</v>
      </c>
    </row>
    <row r="7042">
      <c r="A7042" s="2">
        <f>IFERROR(__xludf.DUMMYFUNCTION("""COMPUTED_VALUE"""),41568.666666666664)</f>
        <v>41568.66667</v>
      </c>
      <c r="B7042" s="1">
        <f>IFERROR(__xludf.DUMMYFUNCTION("""COMPUTED_VALUE"""),1745.2)</f>
        <v>1745.2</v>
      </c>
      <c r="C7042" s="1">
        <f>IFERROR(__xludf.DUMMYFUNCTION("""COMPUTED_VALUE"""),1747.79)</f>
        <v>1747.79</v>
      </c>
      <c r="D7042" s="1">
        <f>IFERROR(__xludf.DUMMYFUNCTION("""COMPUTED_VALUE"""),1740.67)</f>
        <v>1740.67</v>
      </c>
      <c r="E7042" s="1">
        <f>IFERROR(__xludf.DUMMYFUNCTION("""COMPUTED_VALUE"""),1744.66)</f>
        <v>1744.66</v>
      </c>
      <c r="F7042" s="1">
        <f>IFERROR(__xludf.DUMMYFUNCTION("""COMPUTED_VALUE"""),0.0)</f>
        <v>0</v>
      </c>
    </row>
    <row r="7043">
      <c r="A7043" s="2">
        <f>IFERROR(__xludf.DUMMYFUNCTION("""COMPUTED_VALUE"""),41569.666666666664)</f>
        <v>41569.66667</v>
      </c>
      <c r="B7043" s="1">
        <f>IFERROR(__xludf.DUMMYFUNCTION("""COMPUTED_VALUE"""),1746.48)</f>
        <v>1746.48</v>
      </c>
      <c r="C7043" s="1">
        <f>IFERROR(__xludf.DUMMYFUNCTION("""COMPUTED_VALUE"""),1759.33)</f>
        <v>1759.33</v>
      </c>
      <c r="D7043" s="1">
        <f>IFERROR(__xludf.DUMMYFUNCTION("""COMPUTED_VALUE"""),1746.48)</f>
        <v>1746.48</v>
      </c>
      <c r="E7043" s="1">
        <f>IFERROR(__xludf.DUMMYFUNCTION("""COMPUTED_VALUE"""),1754.67)</f>
        <v>1754.67</v>
      </c>
      <c r="F7043" s="1">
        <f>IFERROR(__xludf.DUMMYFUNCTION("""COMPUTED_VALUE"""),0.0)</f>
        <v>0</v>
      </c>
    </row>
    <row r="7044">
      <c r="A7044" s="2">
        <f>IFERROR(__xludf.DUMMYFUNCTION("""COMPUTED_VALUE"""),41570.666666666664)</f>
        <v>41570.66667</v>
      </c>
      <c r="B7044" s="1">
        <f>IFERROR(__xludf.DUMMYFUNCTION("""COMPUTED_VALUE"""),1752.27)</f>
        <v>1752.27</v>
      </c>
      <c r="C7044" s="1">
        <f>IFERROR(__xludf.DUMMYFUNCTION("""COMPUTED_VALUE"""),1752.27)</f>
        <v>1752.27</v>
      </c>
      <c r="D7044" s="1">
        <f>IFERROR(__xludf.DUMMYFUNCTION("""COMPUTED_VALUE"""),1740.5)</f>
        <v>1740.5</v>
      </c>
      <c r="E7044" s="1">
        <f>IFERROR(__xludf.DUMMYFUNCTION("""COMPUTED_VALUE"""),1746.38)</f>
        <v>1746.38</v>
      </c>
      <c r="F7044" s="1">
        <f>IFERROR(__xludf.DUMMYFUNCTION("""COMPUTED_VALUE"""),0.0)</f>
        <v>0</v>
      </c>
    </row>
    <row r="7045">
      <c r="A7045" s="2">
        <f>IFERROR(__xludf.DUMMYFUNCTION("""COMPUTED_VALUE"""),41571.666666666664)</f>
        <v>41571.66667</v>
      </c>
      <c r="B7045" s="1">
        <f>IFERROR(__xludf.DUMMYFUNCTION("""COMPUTED_VALUE"""),1747.48)</f>
        <v>1747.48</v>
      </c>
      <c r="C7045" s="1">
        <f>IFERROR(__xludf.DUMMYFUNCTION("""COMPUTED_VALUE"""),1753.94)</f>
        <v>1753.94</v>
      </c>
      <c r="D7045" s="1">
        <f>IFERROR(__xludf.DUMMYFUNCTION("""COMPUTED_VALUE"""),1745.5)</f>
        <v>1745.5</v>
      </c>
      <c r="E7045" s="1">
        <f>IFERROR(__xludf.DUMMYFUNCTION("""COMPUTED_VALUE"""),1752.07)</f>
        <v>1752.07</v>
      </c>
      <c r="F7045" s="1">
        <f>IFERROR(__xludf.DUMMYFUNCTION("""COMPUTED_VALUE"""),0.0)</f>
        <v>0</v>
      </c>
    </row>
    <row r="7046">
      <c r="A7046" s="2">
        <f>IFERROR(__xludf.DUMMYFUNCTION("""COMPUTED_VALUE"""),41572.666666666664)</f>
        <v>41572.66667</v>
      </c>
      <c r="B7046" s="1">
        <f>IFERROR(__xludf.DUMMYFUNCTION("""COMPUTED_VALUE"""),1756.01)</f>
        <v>1756.01</v>
      </c>
      <c r="C7046" s="1">
        <f>IFERROR(__xludf.DUMMYFUNCTION("""COMPUTED_VALUE"""),1759.82)</f>
        <v>1759.82</v>
      </c>
      <c r="D7046" s="1">
        <f>IFERROR(__xludf.DUMMYFUNCTION("""COMPUTED_VALUE"""),1752.45)</f>
        <v>1752.45</v>
      </c>
      <c r="E7046" s="1">
        <f>IFERROR(__xludf.DUMMYFUNCTION("""COMPUTED_VALUE"""),1759.77)</f>
        <v>1759.77</v>
      </c>
      <c r="F7046" s="1">
        <f>IFERROR(__xludf.DUMMYFUNCTION("""COMPUTED_VALUE"""),0.0)</f>
        <v>0</v>
      </c>
    </row>
    <row r="7047">
      <c r="A7047" s="2">
        <f>IFERROR(__xludf.DUMMYFUNCTION("""COMPUTED_VALUE"""),41575.666666666664)</f>
        <v>41575.66667</v>
      </c>
      <c r="B7047" s="1">
        <f>IFERROR(__xludf.DUMMYFUNCTION("""COMPUTED_VALUE"""),1759.42)</f>
        <v>1759.42</v>
      </c>
      <c r="C7047" s="1">
        <f>IFERROR(__xludf.DUMMYFUNCTION("""COMPUTED_VALUE"""),1764.99)</f>
        <v>1764.99</v>
      </c>
      <c r="D7047" s="1">
        <f>IFERROR(__xludf.DUMMYFUNCTION("""COMPUTED_VALUE"""),1757.67)</f>
        <v>1757.67</v>
      </c>
      <c r="E7047" s="1">
        <f>IFERROR(__xludf.DUMMYFUNCTION("""COMPUTED_VALUE"""),1762.11)</f>
        <v>1762.11</v>
      </c>
      <c r="F7047" s="1">
        <f>IFERROR(__xludf.DUMMYFUNCTION("""COMPUTED_VALUE"""),0.0)</f>
        <v>0</v>
      </c>
    </row>
    <row r="7048">
      <c r="A7048" s="2">
        <f>IFERROR(__xludf.DUMMYFUNCTION("""COMPUTED_VALUE"""),41576.666666666664)</f>
        <v>41576.66667</v>
      </c>
      <c r="B7048" s="1">
        <f>IFERROR(__xludf.DUMMYFUNCTION("""COMPUTED_VALUE"""),1762.93)</f>
        <v>1762.93</v>
      </c>
      <c r="C7048" s="1">
        <f>IFERROR(__xludf.DUMMYFUNCTION("""COMPUTED_VALUE"""),1772.09)</f>
        <v>1772.09</v>
      </c>
      <c r="D7048" s="1">
        <f>IFERROR(__xludf.DUMMYFUNCTION("""COMPUTED_VALUE"""),1762.93)</f>
        <v>1762.93</v>
      </c>
      <c r="E7048" s="1">
        <f>IFERROR(__xludf.DUMMYFUNCTION("""COMPUTED_VALUE"""),1771.95)</f>
        <v>1771.95</v>
      </c>
      <c r="F7048" s="1">
        <f>IFERROR(__xludf.DUMMYFUNCTION("""COMPUTED_VALUE"""),0.0)</f>
        <v>0</v>
      </c>
    </row>
    <row r="7049">
      <c r="A7049" s="2">
        <f>IFERROR(__xludf.DUMMYFUNCTION("""COMPUTED_VALUE"""),41577.666666666664)</f>
        <v>41577.66667</v>
      </c>
      <c r="B7049" s="1">
        <f>IFERROR(__xludf.DUMMYFUNCTION("""COMPUTED_VALUE"""),1772.27)</f>
        <v>1772.27</v>
      </c>
      <c r="C7049" s="1">
        <f>IFERROR(__xludf.DUMMYFUNCTION("""COMPUTED_VALUE"""),1775.22)</f>
        <v>1775.22</v>
      </c>
      <c r="D7049" s="1">
        <f>IFERROR(__xludf.DUMMYFUNCTION("""COMPUTED_VALUE"""),1757.24)</f>
        <v>1757.24</v>
      </c>
      <c r="E7049" s="1">
        <f>IFERROR(__xludf.DUMMYFUNCTION("""COMPUTED_VALUE"""),1763.31)</f>
        <v>1763.31</v>
      </c>
      <c r="F7049" s="1">
        <f>IFERROR(__xludf.DUMMYFUNCTION("""COMPUTED_VALUE"""),0.0)</f>
        <v>0</v>
      </c>
    </row>
    <row r="7050">
      <c r="A7050" s="2">
        <f>IFERROR(__xludf.DUMMYFUNCTION("""COMPUTED_VALUE"""),41578.666666666664)</f>
        <v>41578.66667</v>
      </c>
      <c r="B7050" s="1">
        <f>IFERROR(__xludf.DUMMYFUNCTION("""COMPUTED_VALUE"""),1763.24)</f>
        <v>1763.24</v>
      </c>
      <c r="C7050" s="1">
        <f>IFERROR(__xludf.DUMMYFUNCTION("""COMPUTED_VALUE"""),1768.53)</f>
        <v>1768.53</v>
      </c>
      <c r="D7050" s="1">
        <f>IFERROR(__xludf.DUMMYFUNCTION("""COMPUTED_VALUE"""),1755.72)</f>
        <v>1755.72</v>
      </c>
      <c r="E7050" s="1">
        <f>IFERROR(__xludf.DUMMYFUNCTION("""COMPUTED_VALUE"""),1756.54)</f>
        <v>1756.54</v>
      </c>
      <c r="F7050" s="1">
        <f>IFERROR(__xludf.DUMMYFUNCTION("""COMPUTED_VALUE"""),0.0)</f>
        <v>0</v>
      </c>
    </row>
    <row r="7051">
      <c r="A7051" s="2">
        <f>IFERROR(__xludf.DUMMYFUNCTION("""COMPUTED_VALUE"""),41579.666666666664)</f>
        <v>41579.66667</v>
      </c>
      <c r="B7051" s="1">
        <f>IFERROR(__xludf.DUMMYFUNCTION("""COMPUTED_VALUE"""),1758.7)</f>
        <v>1758.7</v>
      </c>
      <c r="C7051" s="1">
        <f>IFERROR(__xludf.DUMMYFUNCTION("""COMPUTED_VALUE"""),1765.67)</f>
        <v>1765.67</v>
      </c>
      <c r="D7051" s="1">
        <f>IFERROR(__xludf.DUMMYFUNCTION("""COMPUTED_VALUE"""),1752.7)</f>
        <v>1752.7</v>
      </c>
      <c r="E7051" s="1">
        <f>IFERROR(__xludf.DUMMYFUNCTION("""COMPUTED_VALUE"""),1761.64)</f>
        <v>1761.64</v>
      </c>
      <c r="F7051" s="1">
        <f>IFERROR(__xludf.DUMMYFUNCTION("""COMPUTED_VALUE"""),0.0)</f>
        <v>0</v>
      </c>
    </row>
    <row r="7052">
      <c r="A7052" s="2">
        <f>IFERROR(__xludf.DUMMYFUNCTION("""COMPUTED_VALUE"""),41582.666666666664)</f>
        <v>41582.66667</v>
      </c>
      <c r="B7052" s="1">
        <f>IFERROR(__xludf.DUMMYFUNCTION("""COMPUTED_VALUE"""),1763.4)</f>
        <v>1763.4</v>
      </c>
      <c r="C7052" s="1">
        <f>IFERROR(__xludf.DUMMYFUNCTION("""COMPUTED_VALUE"""),1768.78)</f>
        <v>1768.78</v>
      </c>
      <c r="D7052" s="1">
        <f>IFERROR(__xludf.DUMMYFUNCTION("""COMPUTED_VALUE"""),1761.56)</f>
        <v>1761.56</v>
      </c>
      <c r="E7052" s="1">
        <f>IFERROR(__xludf.DUMMYFUNCTION("""COMPUTED_VALUE"""),1767.93)</f>
        <v>1767.93</v>
      </c>
      <c r="F7052" s="1">
        <f>IFERROR(__xludf.DUMMYFUNCTION("""COMPUTED_VALUE"""),0.0)</f>
        <v>0</v>
      </c>
    </row>
    <row r="7053">
      <c r="A7053" s="2">
        <f>IFERROR(__xludf.DUMMYFUNCTION("""COMPUTED_VALUE"""),41583.666666666664)</f>
        <v>41583.66667</v>
      </c>
      <c r="B7053" s="1">
        <f>IFERROR(__xludf.DUMMYFUNCTION("""COMPUTED_VALUE"""),1765.67)</f>
        <v>1765.67</v>
      </c>
      <c r="C7053" s="1">
        <f>IFERROR(__xludf.DUMMYFUNCTION("""COMPUTED_VALUE"""),1767.03)</f>
        <v>1767.03</v>
      </c>
      <c r="D7053" s="1">
        <f>IFERROR(__xludf.DUMMYFUNCTION("""COMPUTED_VALUE"""),1755.76)</f>
        <v>1755.76</v>
      </c>
      <c r="E7053" s="1">
        <f>IFERROR(__xludf.DUMMYFUNCTION("""COMPUTED_VALUE"""),1762.97)</f>
        <v>1762.97</v>
      </c>
      <c r="F7053" s="1">
        <f>IFERROR(__xludf.DUMMYFUNCTION("""COMPUTED_VALUE"""),0.0)</f>
        <v>0</v>
      </c>
    </row>
    <row r="7054">
      <c r="A7054" s="2">
        <f>IFERROR(__xludf.DUMMYFUNCTION("""COMPUTED_VALUE"""),41584.666666666664)</f>
        <v>41584.66667</v>
      </c>
      <c r="B7054" s="1">
        <f>IFERROR(__xludf.DUMMYFUNCTION("""COMPUTED_VALUE"""),1765.0)</f>
        <v>1765</v>
      </c>
      <c r="C7054" s="1">
        <f>IFERROR(__xludf.DUMMYFUNCTION("""COMPUTED_VALUE"""),1773.74)</f>
        <v>1773.74</v>
      </c>
      <c r="D7054" s="1">
        <f>IFERROR(__xludf.DUMMYFUNCTION("""COMPUTED_VALUE"""),1764.4)</f>
        <v>1764.4</v>
      </c>
      <c r="E7054" s="1">
        <f>IFERROR(__xludf.DUMMYFUNCTION("""COMPUTED_VALUE"""),1770.49)</f>
        <v>1770.49</v>
      </c>
      <c r="F7054" s="1">
        <f>IFERROR(__xludf.DUMMYFUNCTION("""COMPUTED_VALUE"""),0.0)</f>
        <v>0</v>
      </c>
    </row>
    <row r="7055">
      <c r="A7055" s="2">
        <f>IFERROR(__xludf.DUMMYFUNCTION("""COMPUTED_VALUE"""),41585.666666666664)</f>
        <v>41585.66667</v>
      </c>
      <c r="B7055" s="1">
        <f>IFERROR(__xludf.DUMMYFUNCTION("""COMPUTED_VALUE"""),1770.74)</f>
        <v>1770.74</v>
      </c>
      <c r="C7055" s="1">
        <f>IFERROR(__xludf.DUMMYFUNCTION("""COMPUTED_VALUE"""),1774.54)</f>
        <v>1774.54</v>
      </c>
      <c r="D7055" s="1">
        <f>IFERROR(__xludf.DUMMYFUNCTION("""COMPUTED_VALUE"""),1746.2)</f>
        <v>1746.2</v>
      </c>
      <c r="E7055" s="1">
        <f>IFERROR(__xludf.DUMMYFUNCTION("""COMPUTED_VALUE"""),1747.15)</f>
        <v>1747.15</v>
      </c>
      <c r="F7055" s="1">
        <f>IFERROR(__xludf.DUMMYFUNCTION("""COMPUTED_VALUE"""),0.0)</f>
        <v>0</v>
      </c>
    </row>
    <row r="7056">
      <c r="A7056" s="2">
        <f>IFERROR(__xludf.DUMMYFUNCTION("""COMPUTED_VALUE"""),41586.666666666664)</f>
        <v>41586.66667</v>
      </c>
      <c r="B7056" s="1">
        <f>IFERROR(__xludf.DUMMYFUNCTION("""COMPUTED_VALUE"""),1748.37)</f>
        <v>1748.37</v>
      </c>
      <c r="C7056" s="1">
        <f>IFERROR(__xludf.DUMMYFUNCTION("""COMPUTED_VALUE"""),1770.78)</f>
        <v>1770.78</v>
      </c>
      <c r="D7056" s="1">
        <f>IFERROR(__xludf.DUMMYFUNCTION("""COMPUTED_VALUE"""),1747.63)</f>
        <v>1747.63</v>
      </c>
      <c r="E7056" s="1">
        <f>IFERROR(__xludf.DUMMYFUNCTION("""COMPUTED_VALUE"""),1770.61)</f>
        <v>1770.61</v>
      </c>
      <c r="F7056" s="1">
        <f>IFERROR(__xludf.DUMMYFUNCTION("""COMPUTED_VALUE"""),0.0)</f>
        <v>0</v>
      </c>
    </row>
    <row r="7057">
      <c r="A7057" s="2">
        <f>IFERROR(__xludf.DUMMYFUNCTION("""COMPUTED_VALUE"""),41589.666666666664)</f>
        <v>41589.66667</v>
      </c>
      <c r="B7057" s="1">
        <f>IFERROR(__xludf.DUMMYFUNCTION("""COMPUTED_VALUE"""),1769.96)</f>
        <v>1769.96</v>
      </c>
      <c r="C7057" s="1">
        <f>IFERROR(__xludf.DUMMYFUNCTION("""COMPUTED_VALUE"""),1773.44)</f>
        <v>1773.44</v>
      </c>
      <c r="D7057" s="1">
        <f>IFERROR(__xludf.DUMMYFUNCTION("""COMPUTED_VALUE"""),1767.85)</f>
        <v>1767.85</v>
      </c>
      <c r="E7057" s="1">
        <f>IFERROR(__xludf.DUMMYFUNCTION("""COMPUTED_VALUE"""),1771.89)</f>
        <v>1771.89</v>
      </c>
      <c r="F7057" s="1">
        <f>IFERROR(__xludf.DUMMYFUNCTION("""COMPUTED_VALUE"""),0.0)</f>
        <v>0</v>
      </c>
    </row>
    <row r="7058">
      <c r="A7058" s="2">
        <f>IFERROR(__xludf.DUMMYFUNCTION("""COMPUTED_VALUE"""),41590.666666666664)</f>
        <v>41590.66667</v>
      </c>
      <c r="B7058" s="1">
        <f>IFERROR(__xludf.DUMMYFUNCTION("""COMPUTED_VALUE"""),1769.51)</f>
        <v>1769.51</v>
      </c>
      <c r="C7058" s="1">
        <f>IFERROR(__xludf.DUMMYFUNCTION("""COMPUTED_VALUE"""),1771.78)</f>
        <v>1771.78</v>
      </c>
      <c r="D7058" s="1">
        <f>IFERROR(__xludf.DUMMYFUNCTION("""COMPUTED_VALUE"""),1762.29)</f>
        <v>1762.29</v>
      </c>
      <c r="E7058" s="1">
        <f>IFERROR(__xludf.DUMMYFUNCTION("""COMPUTED_VALUE"""),1767.69)</f>
        <v>1767.69</v>
      </c>
      <c r="F7058" s="1">
        <f>IFERROR(__xludf.DUMMYFUNCTION("""COMPUTED_VALUE"""),0.0)</f>
        <v>0</v>
      </c>
    </row>
    <row r="7059">
      <c r="A7059" s="2">
        <f>IFERROR(__xludf.DUMMYFUNCTION("""COMPUTED_VALUE"""),41591.666666666664)</f>
        <v>41591.66667</v>
      </c>
      <c r="B7059" s="1">
        <f>IFERROR(__xludf.DUMMYFUNCTION("""COMPUTED_VALUE"""),1764.37)</f>
        <v>1764.37</v>
      </c>
      <c r="C7059" s="1">
        <f>IFERROR(__xludf.DUMMYFUNCTION("""COMPUTED_VALUE"""),1782.0)</f>
        <v>1782</v>
      </c>
      <c r="D7059" s="1">
        <f>IFERROR(__xludf.DUMMYFUNCTION("""COMPUTED_VALUE"""),1760.64)</f>
        <v>1760.64</v>
      </c>
      <c r="E7059" s="1">
        <f>IFERROR(__xludf.DUMMYFUNCTION("""COMPUTED_VALUE"""),1782.0)</f>
        <v>1782</v>
      </c>
      <c r="F7059" s="1">
        <f>IFERROR(__xludf.DUMMYFUNCTION("""COMPUTED_VALUE"""),0.0)</f>
        <v>0</v>
      </c>
    </row>
    <row r="7060">
      <c r="A7060" s="2">
        <f>IFERROR(__xludf.DUMMYFUNCTION("""COMPUTED_VALUE"""),41592.666666666664)</f>
        <v>41592.66667</v>
      </c>
      <c r="B7060" s="1">
        <f>IFERROR(__xludf.DUMMYFUNCTION("""COMPUTED_VALUE"""),1782.75)</f>
        <v>1782.75</v>
      </c>
      <c r="C7060" s="1">
        <f>IFERROR(__xludf.DUMMYFUNCTION("""COMPUTED_VALUE"""),1791.53)</f>
        <v>1791.53</v>
      </c>
      <c r="D7060" s="1">
        <f>IFERROR(__xludf.DUMMYFUNCTION("""COMPUTED_VALUE"""),1780.22)</f>
        <v>1780.22</v>
      </c>
      <c r="E7060" s="1">
        <f>IFERROR(__xludf.DUMMYFUNCTION("""COMPUTED_VALUE"""),1790.62)</f>
        <v>1790.62</v>
      </c>
      <c r="F7060" s="1">
        <f>IFERROR(__xludf.DUMMYFUNCTION("""COMPUTED_VALUE"""),0.0)</f>
        <v>0</v>
      </c>
    </row>
    <row r="7061">
      <c r="A7061" s="2">
        <f>IFERROR(__xludf.DUMMYFUNCTION("""COMPUTED_VALUE"""),41593.666666666664)</f>
        <v>41593.66667</v>
      </c>
      <c r="B7061" s="1">
        <f>IFERROR(__xludf.DUMMYFUNCTION("""COMPUTED_VALUE"""),1790.66)</f>
        <v>1790.66</v>
      </c>
      <c r="C7061" s="1">
        <f>IFERROR(__xludf.DUMMYFUNCTION("""COMPUTED_VALUE"""),1798.22)</f>
        <v>1798.22</v>
      </c>
      <c r="D7061" s="1">
        <f>IFERROR(__xludf.DUMMYFUNCTION("""COMPUTED_VALUE"""),1790.66)</f>
        <v>1790.66</v>
      </c>
      <c r="E7061" s="1">
        <f>IFERROR(__xludf.DUMMYFUNCTION("""COMPUTED_VALUE"""),1798.18)</f>
        <v>1798.18</v>
      </c>
      <c r="F7061" s="1">
        <f>IFERROR(__xludf.DUMMYFUNCTION("""COMPUTED_VALUE"""),0.0)</f>
        <v>0</v>
      </c>
    </row>
    <row r="7062">
      <c r="A7062" s="2">
        <f>IFERROR(__xludf.DUMMYFUNCTION("""COMPUTED_VALUE"""),41596.666666666664)</f>
        <v>41596.66667</v>
      </c>
      <c r="B7062" s="1">
        <f>IFERROR(__xludf.DUMMYFUNCTION("""COMPUTED_VALUE"""),1798.82)</f>
        <v>1798.82</v>
      </c>
      <c r="C7062" s="1">
        <f>IFERROR(__xludf.DUMMYFUNCTION("""COMPUTED_VALUE"""),1802.33)</f>
        <v>1802.33</v>
      </c>
      <c r="D7062" s="1">
        <f>IFERROR(__xludf.DUMMYFUNCTION("""COMPUTED_VALUE"""),1788.0)</f>
        <v>1788</v>
      </c>
      <c r="E7062" s="1">
        <f>IFERROR(__xludf.DUMMYFUNCTION("""COMPUTED_VALUE"""),1791.53)</f>
        <v>1791.53</v>
      </c>
      <c r="F7062" s="1">
        <f>IFERROR(__xludf.DUMMYFUNCTION("""COMPUTED_VALUE"""),0.0)</f>
        <v>0</v>
      </c>
    </row>
    <row r="7063">
      <c r="A7063" s="2">
        <f>IFERROR(__xludf.DUMMYFUNCTION("""COMPUTED_VALUE"""),41597.666666666664)</f>
        <v>41597.66667</v>
      </c>
      <c r="B7063" s="1">
        <f>IFERROR(__xludf.DUMMYFUNCTION("""COMPUTED_VALUE"""),1790.79)</f>
        <v>1790.79</v>
      </c>
      <c r="C7063" s="1">
        <f>IFERROR(__xludf.DUMMYFUNCTION("""COMPUTED_VALUE"""),1795.51)</f>
        <v>1795.51</v>
      </c>
      <c r="D7063" s="1">
        <f>IFERROR(__xludf.DUMMYFUNCTION("""COMPUTED_VALUE"""),1784.72)</f>
        <v>1784.72</v>
      </c>
      <c r="E7063" s="1">
        <f>IFERROR(__xludf.DUMMYFUNCTION("""COMPUTED_VALUE"""),1787.87)</f>
        <v>1787.87</v>
      </c>
      <c r="F7063" s="1">
        <f>IFERROR(__xludf.DUMMYFUNCTION("""COMPUTED_VALUE"""),0.0)</f>
        <v>0</v>
      </c>
    </row>
    <row r="7064">
      <c r="A7064" s="2">
        <f>IFERROR(__xludf.DUMMYFUNCTION("""COMPUTED_VALUE"""),41598.666666666664)</f>
        <v>41598.66667</v>
      </c>
      <c r="B7064" s="1">
        <f>IFERROR(__xludf.DUMMYFUNCTION("""COMPUTED_VALUE"""),1789.59)</f>
        <v>1789.59</v>
      </c>
      <c r="C7064" s="1">
        <f>IFERROR(__xludf.DUMMYFUNCTION("""COMPUTED_VALUE"""),1795.73)</f>
        <v>1795.73</v>
      </c>
      <c r="D7064" s="1">
        <f>IFERROR(__xludf.DUMMYFUNCTION("""COMPUTED_VALUE"""),1777.23)</f>
        <v>1777.23</v>
      </c>
      <c r="E7064" s="1">
        <f>IFERROR(__xludf.DUMMYFUNCTION("""COMPUTED_VALUE"""),1781.37)</f>
        <v>1781.37</v>
      </c>
      <c r="F7064" s="1">
        <f>IFERROR(__xludf.DUMMYFUNCTION("""COMPUTED_VALUE"""),0.0)</f>
        <v>0</v>
      </c>
    </row>
    <row r="7065">
      <c r="A7065" s="2">
        <f>IFERROR(__xludf.DUMMYFUNCTION("""COMPUTED_VALUE"""),41599.666666666664)</f>
        <v>41599.66667</v>
      </c>
      <c r="B7065" s="1">
        <f>IFERROR(__xludf.DUMMYFUNCTION("""COMPUTED_VALUE"""),1783.52)</f>
        <v>1783.52</v>
      </c>
      <c r="C7065" s="1">
        <f>IFERROR(__xludf.DUMMYFUNCTION("""COMPUTED_VALUE"""),1797.16)</f>
        <v>1797.16</v>
      </c>
      <c r="D7065" s="1">
        <f>IFERROR(__xludf.DUMMYFUNCTION("""COMPUTED_VALUE"""),1783.52)</f>
        <v>1783.52</v>
      </c>
      <c r="E7065" s="1">
        <f>IFERROR(__xludf.DUMMYFUNCTION("""COMPUTED_VALUE"""),1795.85)</f>
        <v>1795.85</v>
      </c>
      <c r="F7065" s="1">
        <f>IFERROR(__xludf.DUMMYFUNCTION("""COMPUTED_VALUE"""),0.0)</f>
        <v>0</v>
      </c>
    </row>
    <row r="7066">
      <c r="A7066" s="2">
        <f>IFERROR(__xludf.DUMMYFUNCTION("""COMPUTED_VALUE"""),41600.666666666664)</f>
        <v>41600.66667</v>
      </c>
      <c r="B7066" s="1">
        <f>IFERROR(__xludf.DUMMYFUNCTION("""COMPUTED_VALUE"""),1797.21)</f>
        <v>1797.21</v>
      </c>
      <c r="C7066" s="1">
        <f>IFERROR(__xludf.DUMMYFUNCTION("""COMPUTED_VALUE"""),1804.84)</f>
        <v>1804.84</v>
      </c>
      <c r="D7066" s="1">
        <f>IFERROR(__xludf.DUMMYFUNCTION("""COMPUTED_VALUE"""),1794.7)</f>
        <v>1794.7</v>
      </c>
      <c r="E7066" s="1">
        <f>IFERROR(__xludf.DUMMYFUNCTION("""COMPUTED_VALUE"""),1804.76)</f>
        <v>1804.76</v>
      </c>
      <c r="F7066" s="1">
        <f>IFERROR(__xludf.DUMMYFUNCTION("""COMPUTED_VALUE"""),0.0)</f>
        <v>0</v>
      </c>
    </row>
    <row r="7067">
      <c r="A7067" s="2">
        <f>IFERROR(__xludf.DUMMYFUNCTION("""COMPUTED_VALUE"""),41603.666666666664)</f>
        <v>41603.66667</v>
      </c>
      <c r="B7067" s="1">
        <f>IFERROR(__xludf.DUMMYFUNCTION("""COMPUTED_VALUE"""),1806.33)</f>
        <v>1806.33</v>
      </c>
      <c r="C7067" s="1">
        <f>IFERROR(__xludf.DUMMYFUNCTION("""COMPUTED_VALUE"""),1808.1)</f>
        <v>1808.1</v>
      </c>
      <c r="D7067" s="1">
        <f>IFERROR(__xludf.DUMMYFUNCTION("""COMPUTED_VALUE"""),1800.58)</f>
        <v>1800.58</v>
      </c>
      <c r="E7067" s="1">
        <f>IFERROR(__xludf.DUMMYFUNCTION("""COMPUTED_VALUE"""),1802.48)</f>
        <v>1802.48</v>
      </c>
      <c r="F7067" s="1">
        <f>IFERROR(__xludf.DUMMYFUNCTION("""COMPUTED_VALUE"""),0.0)</f>
        <v>0</v>
      </c>
    </row>
    <row r="7068">
      <c r="A7068" s="2">
        <f>IFERROR(__xludf.DUMMYFUNCTION("""COMPUTED_VALUE"""),41604.666666666664)</f>
        <v>41604.66667</v>
      </c>
      <c r="B7068" s="1">
        <f>IFERROR(__xludf.DUMMYFUNCTION("""COMPUTED_VALUE"""),1802.87)</f>
        <v>1802.87</v>
      </c>
      <c r="C7068" s="1">
        <f>IFERROR(__xludf.DUMMYFUNCTION("""COMPUTED_VALUE"""),1808.42)</f>
        <v>1808.42</v>
      </c>
      <c r="D7068" s="1">
        <f>IFERROR(__xludf.DUMMYFUNCTION("""COMPUTED_VALUE"""),1800.77)</f>
        <v>1800.77</v>
      </c>
      <c r="E7068" s="1">
        <f>IFERROR(__xludf.DUMMYFUNCTION("""COMPUTED_VALUE"""),1802.75)</f>
        <v>1802.75</v>
      </c>
      <c r="F7068" s="1">
        <f>IFERROR(__xludf.DUMMYFUNCTION("""COMPUTED_VALUE"""),0.0)</f>
        <v>0</v>
      </c>
    </row>
    <row r="7069">
      <c r="A7069" s="2">
        <f>IFERROR(__xludf.DUMMYFUNCTION("""COMPUTED_VALUE"""),41605.666666666664)</f>
        <v>41605.66667</v>
      </c>
      <c r="B7069" s="1">
        <f>IFERROR(__xludf.DUMMYFUNCTION("""COMPUTED_VALUE"""),1803.48)</f>
        <v>1803.48</v>
      </c>
      <c r="C7069" s="1">
        <f>IFERROR(__xludf.DUMMYFUNCTION("""COMPUTED_VALUE"""),1808.27)</f>
        <v>1808.27</v>
      </c>
      <c r="D7069" s="1">
        <f>IFERROR(__xludf.DUMMYFUNCTION("""COMPUTED_VALUE"""),1802.77)</f>
        <v>1802.77</v>
      </c>
      <c r="E7069" s="1">
        <f>IFERROR(__xludf.DUMMYFUNCTION("""COMPUTED_VALUE"""),1807.23)</f>
        <v>1807.23</v>
      </c>
      <c r="F7069" s="1">
        <f>IFERROR(__xludf.DUMMYFUNCTION("""COMPUTED_VALUE"""),0.0)</f>
        <v>0</v>
      </c>
    </row>
    <row r="7070">
      <c r="A7070" s="2">
        <f>IFERROR(__xludf.DUMMYFUNCTION("""COMPUTED_VALUE"""),41607.666666666664)</f>
        <v>41607.66667</v>
      </c>
      <c r="B7070" s="1">
        <f>IFERROR(__xludf.DUMMYFUNCTION("""COMPUTED_VALUE"""),1808.69)</f>
        <v>1808.69</v>
      </c>
      <c r="C7070" s="1">
        <f>IFERROR(__xludf.DUMMYFUNCTION("""COMPUTED_VALUE"""),1813.55)</f>
        <v>1813.55</v>
      </c>
      <c r="D7070" s="1">
        <f>IFERROR(__xludf.DUMMYFUNCTION("""COMPUTED_VALUE"""),1803.98)</f>
        <v>1803.98</v>
      </c>
      <c r="E7070" s="1">
        <f>IFERROR(__xludf.DUMMYFUNCTION("""COMPUTED_VALUE"""),1805.81)</f>
        <v>1805.81</v>
      </c>
      <c r="F7070" s="1">
        <f>IFERROR(__xludf.DUMMYFUNCTION("""COMPUTED_VALUE"""),0.0)</f>
        <v>0</v>
      </c>
    </row>
    <row r="7071">
      <c r="A7071" s="2">
        <f>IFERROR(__xludf.DUMMYFUNCTION("""COMPUTED_VALUE"""),41610.666666666664)</f>
        <v>41610.66667</v>
      </c>
      <c r="B7071" s="1">
        <f>IFERROR(__xludf.DUMMYFUNCTION("""COMPUTED_VALUE"""),1806.55)</f>
        <v>1806.55</v>
      </c>
      <c r="C7071" s="1">
        <f>IFERROR(__xludf.DUMMYFUNCTION("""COMPUTED_VALUE"""),1810.02)</f>
        <v>1810.02</v>
      </c>
      <c r="D7071" s="1">
        <f>IFERROR(__xludf.DUMMYFUNCTION("""COMPUTED_VALUE"""),1798.6)</f>
        <v>1798.6</v>
      </c>
      <c r="E7071" s="1">
        <f>IFERROR(__xludf.DUMMYFUNCTION("""COMPUTED_VALUE"""),1800.9)</f>
        <v>1800.9</v>
      </c>
      <c r="F7071" s="1">
        <f>IFERROR(__xludf.DUMMYFUNCTION("""COMPUTED_VALUE"""),0.0)</f>
        <v>0</v>
      </c>
    </row>
    <row r="7072">
      <c r="A7072" s="2">
        <f>IFERROR(__xludf.DUMMYFUNCTION("""COMPUTED_VALUE"""),41611.666666666664)</f>
        <v>41611.66667</v>
      </c>
      <c r="B7072" s="1">
        <f>IFERROR(__xludf.DUMMYFUNCTION("""COMPUTED_VALUE"""),1800.1)</f>
        <v>1800.1</v>
      </c>
      <c r="C7072" s="1">
        <f>IFERROR(__xludf.DUMMYFUNCTION("""COMPUTED_VALUE"""),1800.1)</f>
        <v>1800.1</v>
      </c>
      <c r="D7072" s="1">
        <f>IFERROR(__xludf.DUMMYFUNCTION("""COMPUTED_VALUE"""),1787.85)</f>
        <v>1787.85</v>
      </c>
      <c r="E7072" s="1">
        <f>IFERROR(__xludf.DUMMYFUNCTION("""COMPUTED_VALUE"""),1795.15)</f>
        <v>1795.15</v>
      </c>
      <c r="F7072" s="1">
        <f>IFERROR(__xludf.DUMMYFUNCTION("""COMPUTED_VALUE"""),0.0)</f>
        <v>0</v>
      </c>
    </row>
    <row r="7073">
      <c r="A7073" s="2">
        <f>IFERROR(__xludf.DUMMYFUNCTION("""COMPUTED_VALUE"""),41612.666666666664)</f>
        <v>41612.66667</v>
      </c>
      <c r="B7073" s="1">
        <f>IFERROR(__xludf.DUMMYFUNCTION("""COMPUTED_VALUE"""),1793.15)</f>
        <v>1793.15</v>
      </c>
      <c r="C7073" s="1">
        <f>IFERROR(__xludf.DUMMYFUNCTION("""COMPUTED_VALUE"""),1799.8)</f>
        <v>1799.8</v>
      </c>
      <c r="D7073" s="1">
        <f>IFERROR(__xludf.DUMMYFUNCTION("""COMPUTED_VALUE"""),1779.09)</f>
        <v>1779.09</v>
      </c>
      <c r="E7073" s="1">
        <f>IFERROR(__xludf.DUMMYFUNCTION("""COMPUTED_VALUE"""),1792.81)</f>
        <v>1792.81</v>
      </c>
      <c r="F7073" s="1">
        <f>IFERROR(__xludf.DUMMYFUNCTION("""COMPUTED_VALUE"""),0.0)</f>
        <v>0</v>
      </c>
    </row>
    <row r="7074">
      <c r="A7074" s="2">
        <f>IFERROR(__xludf.DUMMYFUNCTION("""COMPUTED_VALUE"""),41613.666666666664)</f>
        <v>41613.66667</v>
      </c>
      <c r="B7074" s="1">
        <f>IFERROR(__xludf.DUMMYFUNCTION("""COMPUTED_VALUE"""),1792.82)</f>
        <v>1792.82</v>
      </c>
      <c r="C7074" s="1">
        <f>IFERROR(__xludf.DUMMYFUNCTION("""COMPUTED_VALUE"""),1792.82)</f>
        <v>1792.82</v>
      </c>
      <c r="D7074" s="1">
        <f>IFERROR(__xludf.DUMMYFUNCTION("""COMPUTED_VALUE"""),1783.38)</f>
        <v>1783.38</v>
      </c>
      <c r="E7074" s="1">
        <f>IFERROR(__xludf.DUMMYFUNCTION("""COMPUTED_VALUE"""),1785.03)</f>
        <v>1785.03</v>
      </c>
      <c r="F7074" s="1">
        <f>IFERROR(__xludf.DUMMYFUNCTION("""COMPUTED_VALUE"""),0.0)</f>
        <v>0</v>
      </c>
    </row>
    <row r="7075">
      <c r="A7075" s="2">
        <f>IFERROR(__xludf.DUMMYFUNCTION("""COMPUTED_VALUE"""),41614.666666666664)</f>
        <v>41614.66667</v>
      </c>
      <c r="B7075" s="1">
        <f>IFERROR(__xludf.DUMMYFUNCTION("""COMPUTED_VALUE"""),1788.36)</f>
        <v>1788.36</v>
      </c>
      <c r="C7075" s="1">
        <f>IFERROR(__xludf.DUMMYFUNCTION("""COMPUTED_VALUE"""),1806.04)</f>
        <v>1806.04</v>
      </c>
      <c r="D7075" s="1">
        <f>IFERROR(__xludf.DUMMYFUNCTION("""COMPUTED_VALUE"""),1788.36)</f>
        <v>1788.36</v>
      </c>
      <c r="E7075" s="1">
        <f>IFERROR(__xludf.DUMMYFUNCTION("""COMPUTED_VALUE"""),1805.09)</f>
        <v>1805.09</v>
      </c>
      <c r="F7075" s="1">
        <f>IFERROR(__xludf.DUMMYFUNCTION("""COMPUTED_VALUE"""),0.0)</f>
        <v>0</v>
      </c>
    </row>
    <row r="7076">
      <c r="A7076" s="2">
        <f>IFERROR(__xludf.DUMMYFUNCTION("""COMPUTED_VALUE"""),41617.666666666664)</f>
        <v>41617.66667</v>
      </c>
      <c r="B7076" s="1">
        <f>IFERROR(__xludf.DUMMYFUNCTION("""COMPUTED_VALUE"""),1806.21)</f>
        <v>1806.21</v>
      </c>
      <c r="C7076" s="1">
        <f>IFERROR(__xludf.DUMMYFUNCTION("""COMPUTED_VALUE"""),1811.52)</f>
        <v>1811.52</v>
      </c>
      <c r="D7076" s="1">
        <f>IFERROR(__xludf.DUMMYFUNCTION("""COMPUTED_VALUE"""),1806.21)</f>
        <v>1806.21</v>
      </c>
      <c r="E7076" s="1">
        <f>IFERROR(__xludf.DUMMYFUNCTION("""COMPUTED_VALUE"""),1808.37)</f>
        <v>1808.37</v>
      </c>
      <c r="F7076" s="1">
        <f>IFERROR(__xludf.DUMMYFUNCTION("""COMPUTED_VALUE"""),0.0)</f>
        <v>0</v>
      </c>
    </row>
    <row r="7077">
      <c r="A7077" s="2">
        <f>IFERROR(__xludf.DUMMYFUNCTION("""COMPUTED_VALUE"""),41618.666666666664)</f>
        <v>41618.66667</v>
      </c>
      <c r="B7077" s="1">
        <f>IFERROR(__xludf.DUMMYFUNCTION("""COMPUTED_VALUE"""),1807.6)</f>
        <v>1807.6</v>
      </c>
      <c r="C7077" s="1">
        <f>IFERROR(__xludf.DUMMYFUNCTION("""COMPUTED_VALUE"""),1808.52)</f>
        <v>1808.52</v>
      </c>
      <c r="D7077" s="1">
        <f>IFERROR(__xludf.DUMMYFUNCTION("""COMPUTED_VALUE"""),1801.75)</f>
        <v>1801.75</v>
      </c>
      <c r="E7077" s="1">
        <f>IFERROR(__xludf.DUMMYFUNCTION("""COMPUTED_VALUE"""),1802.62)</f>
        <v>1802.62</v>
      </c>
      <c r="F7077" s="1">
        <f>IFERROR(__xludf.DUMMYFUNCTION("""COMPUTED_VALUE"""),0.0)</f>
        <v>0</v>
      </c>
    </row>
    <row r="7078">
      <c r="A7078" s="2">
        <f>IFERROR(__xludf.DUMMYFUNCTION("""COMPUTED_VALUE"""),41619.666666666664)</f>
        <v>41619.66667</v>
      </c>
      <c r="B7078" s="1">
        <f>IFERROR(__xludf.DUMMYFUNCTION("""COMPUTED_VALUE"""),1802.76)</f>
        <v>1802.76</v>
      </c>
      <c r="C7078" s="1">
        <f>IFERROR(__xludf.DUMMYFUNCTION("""COMPUTED_VALUE"""),1802.97)</f>
        <v>1802.97</v>
      </c>
      <c r="D7078" s="1">
        <f>IFERROR(__xludf.DUMMYFUNCTION("""COMPUTED_VALUE"""),1780.09)</f>
        <v>1780.09</v>
      </c>
      <c r="E7078" s="1">
        <f>IFERROR(__xludf.DUMMYFUNCTION("""COMPUTED_VALUE"""),1782.22)</f>
        <v>1782.22</v>
      </c>
      <c r="F7078" s="1">
        <f>IFERROR(__xludf.DUMMYFUNCTION("""COMPUTED_VALUE"""),0.0)</f>
        <v>0</v>
      </c>
    </row>
    <row r="7079">
      <c r="A7079" s="2">
        <f>IFERROR(__xludf.DUMMYFUNCTION("""COMPUTED_VALUE"""),41620.666666666664)</f>
        <v>41620.66667</v>
      </c>
      <c r="B7079" s="1">
        <f>IFERROR(__xludf.DUMMYFUNCTION("""COMPUTED_VALUE"""),1781.71)</f>
        <v>1781.71</v>
      </c>
      <c r="C7079" s="1">
        <f>IFERROR(__xludf.DUMMYFUNCTION("""COMPUTED_VALUE"""),1782.99)</f>
        <v>1782.99</v>
      </c>
      <c r="D7079" s="1">
        <f>IFERROR(__xludf.DUMMYFUNCTION("""COMPUTED_VALUE"""),1772.28)</f>
        <v>1772.28</v>
      </c>
      <c r="E7079" s="1">
        <f>IFERROR(__xludf.DUMMYFUNCTION("""COMPUTED_VALUE"""),1775.5)</f>
        <v>1775.5</v>
      </c>
      <c r="F7079" s="1">
        <f>IFERROR(__xludf.DUMMYFUNCTION("""COMPUTED_VALUE"""),0.0)</f>
        <v>0</v>
      </c>
    </row>
    <row r="7080">
      <c r="A7080" s="2">
        <f>IFERROR(__xludf.DUMMYFUNCTION("""COMPUTED_VALUE"""),41621.666666666664)</f>
        <v>41621.66667</v>
      </c>
      <c r="B7080" s="1">
        <f>IFERROR(__xludf.DUMMYFUNCTION("""COMPUTED_VALUE"""),1777.98)</f>
        <v>1777.98</v>
      </c>
      <c r="C7080" s="1">
        <f>IFERROR(__xludf.DUMMYFUNCTION("""COMPUTED_VALUE"""),1780.92)</f>
        <v>1780.92</v>
      </c>
      <c r="D7080" s="1">
        <f>IFERROR(__xludf.DUMMYFUNCTION("""COMPUTED_VALUE"""),1772.45)</f>
        <v>1772.45</v>
      </c>
      <c r="E7080" s="1">
        <f>IFERROR(__xludf.DUMMYFUNCTION("""COMPUTED_VALUE"""),1775.32)</f>
        <v>1775.32</v>
      </c>
      <c r="F7080" s="1">
        <f>IFERROR(__xludf.DUMMYFUNCTION("""COMPUTED_VALUE"""),0.0)</f>
        <v>0</v>
      </c>
    </row>
    <row r="7081">
      <c r="A7081" s="2">
        <f>IFERROR(__xludf.DUMMYFUNCTION("""COMPUTED_VALUE"""),41624.666666666664)</f>
        <v>41624.66667</v>
      </c>
      <c r="B7081" s="1">
        <f>IFERROR(__xludf.DUMMYFUNCTION("""COMPUTED_VALUE"""),1777.48)</f>
        <v>1777.48</v>
      </c>
      <c r="C7081" s="1">
        <f>IFERROR(__xludf.DUMMYFUNCTION("""COMPUTED_VALUE"""),1792.22)</f>
        <v>1792.22</v>
      </c>
      <c r="D7081" s="1">
        <f>IFERROR(__xludf.DUMMYFUNCTION("""COMPUTED_VALUE"""),1777.48)</f>
        <v>1777.48</v>
      </c>
      <c r="E7081" s="1">
        <f>IFERROR(__xludf.DUMMYFUNCTION("""COMPUTED_VALUE"""),1786.54)</f>
        <v>1786.54</v>
      </c>
      <c r="F7081" s="1">
        <f>IFERROR(__xludf.DUMMYFUNCTION("""COMPUTED_VALUE"""),0.0)</f>
        <v>0</v>
      </c>
    </row>
    <row r="7082">
      <c r="A7082" s="2">
        <f>IFERROR(__xludf.DUMMYFUNCTION("""COMPUTED_VALUE"""),41625.666666666664)</f>
        <v>41625.66667</v>
      </c>
      <c r="B7082" s="1">
        <f>IFERROR(__xludf.DUMMYFUNCTION("""COMPUTED_VALUE"""),1786.47)</f>
        <v>1786.47</v>
      </c>
      <c r="C7082" s="1">
        <f>IFERROR(__xludf.DUMMYFUNCTION("""COMPUTED_VALUE"""),1786.77)</f>
        <v>1786.77</v>
      </c>
      <c r="D7082" s="1">
        <f>IFERROR(__xludf.DUMMYFUNCTION("""COMPUTED_VALUE"""),1777.05)</f>
        <v>1777.05</v>
      </c>
      <c r="E7082" s="1">
        <f>IFERROR(__xludf.DUMMYFUNCTION("""COMPUTED_VALUE"""),1781.0)</f>
        <v>1781</v>
      </c>
      <c r="F7082" s="1">
        <f>IFERROR(__xludf.DUMMYFUNCTION("""COMPUTED_VALUE"""),0.0)</f>
        <v>0</v>
      </c>
    </row>
    <row r="7083">
      <c r="A7083" s="2">
        <f>IFERROR(__xludf.DUMMYFUNCTION("""COMPUTED_VALUE"""),41626.666666666664)</f>
        <v>41626.66667</v>
      </c>
      <c r="B7083" s="1">
        <f>IFERROR(__xludf.DUMMYFUNCTION("""COMPUTED_VALUE"""),1781.46)</f>
        <v>1781.46</v>
      </c>
      <c r="C7083" s="1">
        <f>IFERROR(__xludf.DUMMYFUNCTION("""COMPUTED_VALUE"""),1811.08)</f>
        <v>1811.08</v>
      </c>
      <c r="D7083" s="1">
        <f>IFERROR(__xludf.DUMMYFUNCTION("""COMPUTED_VALUE"""),1767.99)</f>
        <v>1767.99</v>
      </c>
      <c r="E7083" s="1">
        <f>IFERROR(__xludf.DUMMYFUNCTION("""COMPUTED_VALUE"""),1810.65)</f>
        <v>1810.65</v>
      </c>
      <c r="F7083" s="1">
        <f>IFERROR(__xludf.DUMMYFUNCTION("""COMPUTED_VALUE"""),0.0)</f>
        <v>0</v>
      </c>
    </row>
    <row r="7084">
      <c r="A7084" s="2">
        <f>IFERROR(__xludf.DUMMYFUNCTION("""COMPUTED_VALUE"""),41627.666666666664)</f>
        <v>41627.66667</v>
      </c>
      <c r="B7084" s="1">
        <f>IFERROR(__xludf.DUMMYFUNCTION("""COMPUTED_VALUE"""),1809.0)</f>
        <v>1809</v>
      </c>
      <c r="C7084" s="1">
        <f>IFERROR(__xludf.DUMMYFUNCTION("""COMPUTED_VALUE"""),1810.88)</f>
        <v>1810.88</v>
      </c>
      <c r="D7084" s="1">
        <f>IFERROR(__xludf.DUMMYFUNCTION("""COMPUTED_VALUE"""),1801.35)</f>
        <v>1801.35</v>
      </c>
      <c r="E7084" s="1">
        <f>IFERROR(__xludf.DUMMYFUNCTION("""COMPUTED_VALUE"""),1809.6)</f>
        <v>1809.6</v>
      </c>
      <c r="F7084" s="1">
        <f>IFERROR(__xludf.DUMMYFUNCTION("""COMPUTED_VALUE"""),0.0)</f>
        <v>0</v>
      </c>
    </row>
    <row r="7085">
      <c r="A7085" s="2">
        <f>IFERROR(__xludf.DUMMYFUNCTION("""COMPUTED_VALUE"""),41628.666666666664)</f>
        <v>41628.66667</v>
      </c>
      <c r="B7085" s="1">
        <f>IFERROR(__xludf.DUMMYFUNCTION("""COMPUTED_VALUE"""),1810.39)</f>
        <v>1810.39</v>
      </c>
      <c r="C7085" s="1">
        <f>IFERROR(__xludf.DUMMYFUNCTION("""COMPUTED_VALUE"""),1823.75)</f>
        <v>1823.75</v>
      </c>
      <c r="D7085" s="1">
        <f>IFERROR(__xludf.DUMMYFUNCTION("""COMPUTED_VALUE"""),1810.25)</f>
        <v>1810.25</v>
      </c>
      <c r="E7085" s="1">
        <f>IFERROR(__xludf.DUMMYFUNCTION("""COMPUTED_VALUE"""),1818.31)</f>
        <v>1818.31</v>
      </c>
      <c r="F7085" s="1">
        <f>IFERROR(__xludf.DUMMYFUNCTION("""COMPUTED_VALUE"""),0.0)</f>
        <v>0</v>
      </c>
    </row>
    <row r="7086">
      <c r="A7086" s="2">
        <f>IFERROR(__xludf.DUMMYFUNCTION("""COMPUTED_VALUE"""),41631.666666666664)</f>
        <v>41631.66667</v>
      </c>
      <c r="B7086" s="1">
        <f>IFERROR(__xludf.DUMMYFUNCTION("""COMPUTED_VALUE"""),1822.92)</f>
        <v>1822.92</v>
      </c>
      <c r="C7086" s="1">
        <f>IFERROR(__xludf.DUMMYFUNCTION("""COMPUTED_VALUE"""),1829.75)</f>
        <v>1829.75</v>
      </c>
      <c r="D7086" s="1">
        <f>IFERROR(__xludf.DUMMYFUNCTION("""COMPUTED_VALUE"""),1822.92)</f>
        <v>1822.92</v>
      </c>
      <c r="E7086" s="1">
        <f>IFERROR(__xludf.DUMMYFUNCTION("""COMPUTED_VALUE"""),1827.99)</f>
        <v>1827.99</v>
      </c>
      <c r="F7086" s="1">
        <f>IFERROR(__xludf.DUMMYFUNCTION("""COMPUTED_VALUE"""),0.0)</f>
        <v>0</v>
      </c>
    </row>
    <row r="7087">
      <c r="A7087" s="2">
        <f>IFERROR(__xludf.DUMMYFUNCTION("""COMPUTED_VALUE"""),41632.666666666664)</f>
        <v>41632.66667</v>
      </c>
      <c r="B7087" s="1">
        <f>IFERROR(__xludf.DUMMYFUNCTION("""COMPUTED_VALUE"""),1828.02)</f>
        <v>1828.02</v>
      </c>
      <c r="C7087" s="1">
        <f>IFERROR(__xludf.DUMMYFUNCTION("""COMPUTED_VALUE"""),1833.32)</f>
        <v>1833.32</v>
      </c>
      <c r="D7087" s="1">
        <f>IFERROR(__xludf.DUMMYFUNCTION("""COMPUTED_VALUE"""),1828.02)</f>
        <v>1828.02</v>
      </c>
      <c r="E7087" s="1">
        <f>IFERROR(__xludf.DUMMYFUNCTION("""COMPUTED_VALUE"""),1833.32)</f>
        <v>1833.32</v>
      </c>
      <c r="F7087" s="1">
        <f>IFERROR(__xludf.DUMMYFUNCTION("""COMPUTED_VALUE"""),0.0)</f>
        <v>0</v>
      </c>
    </row>
    <row r="7088">
      <c r="A7088" s="2">
        <f>IFERROR(__xludf.DUMMYFUNCTION("""COMPUTED_VALUE"""),41634.666666666664)</f>
        <v>41634.66667</v>
      </c>
      <c r="B7088" s="1">
        <f>IFERROR(__xludf.DUMMYFUNCTION("""COMPUTED_VALUE"""),1834.96)</f>
        <v>1834.96</v>
      </c>
      <c r="C7088" s="1">
        <f>IFERROR(__xludf.DUMMYFUNCTION("""COMPUTED_VALUE"""),1842.84)</f>
        <v>1842.84</v>
      </c>
      <c r="D7088" s="1">
        <f>IFERROR(__xludf.DUMMYFUNCTION("""COMPUTED_VALUE"""),1834.96)</f>
        <v>1834.96</v>
      </c>
      <c r="E7088" s="1">
        <f>IFERROR(__xludf.DUMMYFUNCTION("""COMPUTED_VALUE"""),1842.02)</f>
        <v>1842.02</v>
      </c>
      <c r="F7088" s="1">
        <f>IFERROR(__xludf.DUMMYFUNCTION("""COMPUTED_VALUE"""),0.0)</f>
        <v>0</v>
      </c>
    </row>
    <row r="7089">
      <c r="A7089" s="2">
        <f>IFERROR(__xludf.DUMMYFUNCTION("""COMPUTED_VALUE"""),41635.666666666664)</f>
        <v>41635.66667</v>
      </c>
      <c r="B7089" s="1">
        <f>IFERROR(__xludf.DUMMYFUNCTION("""COMPUTED_VALUE"""),1842.97)</f>
        <v>1842.97</v>
      </c>
      <c r="C7089" s="1">
        <f>IFERROR(__xludf.DUMMYFUNCTION("""COMPUTED_VALUE"""),1844.89)</f>
        <v>1844.89</v>
      </c>
      <c r="D7089" s="1">
        <f>IFERROR(__xludf.DUMMYFUNCTION("""COMPUTED_VALUE"""),1839.81)</f>
        <v>1839.81</v>
      </c>
      <c r="E7089" s="1">
        <f>IFERROR(__xludf.DUMMYFUNCTION("""COMPUTED_VALUE"""),1841.4)</f>
        <v>1841.4</v>
      </c>
      <c r="F7089" s="1">
        <f>IFERROR(__xludf.DUMMYFUNCTION("""COMPUTED_VALUE"""),0.0)</f>
        <v>0</v>
      </c>
    </row>
    <row r="7090">
      <c r="A7090" s="2">
        <f>IFERROR(__xludf.DUMMYFUNCTION("""COMPUTED_VALUE"""),41638.666666666664)</f>
        <v>41638.66667</v>
      </c>
      <c r="B7090" s="1">
        <f>IFERROR(__xludf.DUMMYFUNCTION("""COMPUTED_VALUE"""),1841.47)</f>
        <v>1841.47</v>
      </c>
      <c r="C7090" s="1">
        <f>IFERROR(__xludf.DUMMYFUNCTION("""COMPUTED_VALUE"""),1842.47)</f>
        <v>1842.47</v>
      </c>
      <c r="D7090" s="1">
        <f>IFERROR(__xludf.DUMMYFUNCTION("""COMPUTED_VALUE"""),1838.77)</f>
        <v>1838.77</v>
      </c>
      <c r="E7090" s="1">
        <f>IFERROR(__xludf.DUMMYFUNCTION("""COMPUTED_VALUE"""),1841.07)</f>
        <v>1841.07</v>
      </c>
      <c r="F7090" s="1">
        <f>IFERROR(__xludf.DUMMYFUNCTION("""COMPUTED_VALUE"""),0.0)</f>
        <v>0</v>
      </c>
    </row>
    <row r="7091">
      <c r="A7091" s="2">
        <f>IFERROR(__xludf.DUMMYFUNCTION("""COMPUTED_VALUE"""),41639.666666666664)</f>
        <v>41639.66667</v>
      </c>
      <c r="B7091" s="1">
        <f>IFERROR(__xludf.DUMMYFUNCTION("""COMPUTED_VALUE"""),1842.61)</f>
        <v>1842.61</v>
      </c>
      <c r="C7091" s="1">
        <f>IFERROR(__xludf.DUMMYFUNCTION("""COMPUTED_VALUE"""),1849.44)</f>
        <v>1849.44</v>
      </c>
      <c r="D7091" s="1">
        <f>IFERROR(__xludf.DUMMYFUNCTION("""COMPUTED_VALUE"""),1842.41)</f>
        <v>1842.41</v>
      </c>
      <c r="E7091" s="1">
        <f>IFERROR(__xludf.DUMMYFUNCTION("""COMPUTED_VALUE"""),1848.36)</f>
        <v>1848.36</v>
      </c>
      <c r="F7091" s="1">
        <f>IFERROR(__xludf.DUMMYFUNCTION("""COMPUTED_VALUE"""),0.0)</f>
        <v>0</v>
      </c>
    </row>
    <row r="7092">
      <c r="A7092" s="2">
        <f>IFERROR(__xludf.DUMMYFUNCTION("""COMPUTED_VALUE"""),41641.666666666664)</f>
        <v>41641.66667</v>
      </c>
      <c r="B7092" s="1">
        <f>IFERROR(__xludf.DUMMYFUNCTION("""COMPUTED_VALUE"""),1845.86)</f>
        <v>1845.86</v>
      </c>
      <c r="C7092" s="1">
        <f>IFERROR(__xludf.DUMMYFUNCTION("""COMPUTED_VALUE"""),1845.86)</f>
        <v>1845.86</v>
      </c>
      <c r="D7092" s="1">
        <f>IFERROR(__xludf.DUMMYFUNCTION("""COMPUTED_VALUE"""),1827.74)</f>
        <v>1827.74</v>
      </c>
      <c r="E7092" s="1">
        <f>IFERROR(__xludf.DUMMYFUNCTION("""COMPUTED_VALUE"""),1831.98)</f>
        <v>1831.98</v>
      </c>
      <c r="F7092" s="1">
        <f>IFERROR(__xludf.DUMMYFUNCTION("""COMPUTED_VALUE"""),0.0)</f>
        <v>0</v>
      </c>
    </row>
    <row r="7093">
      <c r="A7093" s="2">
        <f>IFERROR(__xludf.DUMMYFUNCTION("""COMPUTED_VALUE"""),41642.666666666664)</f>
        <v>41642.66667</v>
      </c>
      <c r="B7093" s="1">
        <f>IFERROR(__xludf.DUMMYFUNCTION("""COMPUTED_VALUE"""),1833.21)</f>
        <v>1833.21</v>
      </c>
      <c r="C7093" s="1">
        <f>IFERROR(__xludf.DUMMYFUNCTION("""COMPUTED_VALUE"""),1838.24)</f>
        <v>1838.24</v>
      </c>
      <c r="D7093" s="1">
        <f>IFERROR(__xludf.DUMMYFUNCTION("""COMPUTED_VALUE"""),1829.13)</f>
        <v>1829.13</v>
      </c>
      <c r="E7093" s="1">
        <f>IFERROR(__xludf.DUMMYFUNCTION("""COMPUTED_VALUE"""),1831.37)</f>
        <v>1831.37</v>
      </c>
      <c r="F7093" s="1">
        <f>IFERROR(__xludf.DUMMYFUNCTION("""COMPUTED_VALUE"""),0.0)</f>
        <v>0</v>
      </c>
    </row>
    <row r="7094">
      <c r="A7094" s="2">
        <f>IFERROR(__xludf.DUMMYFUNCTION("""COMPUTED_VALUE"""),41645.666666666664)</f>
        <v>41645.66667</v>
      </c>
      <c r="B7094" s="1">
        <f>IFERROR(__xludf.DUMMYFUNCTION("""COMPUTED_VALUE"""),1832.31)</f>
        <v>1832.31</v>
      </c>
      <c r="C7094" s="1">
        <f>IFERROR(__xludf.DUMMYFUNCTION("""COMPUTED_VALUE"""),1837.16)</f>
        <v>1837.16</v>
      </c>
      <c r="D7094" s="1">
        <f>IFERROR(__xludf.DUMMYFUNCTION("""COMPUTED_VALUE"""),1823.73)</f>
        <v>1823.73</v>
      </c>
      <c r="E7094" s="1">
        <f>IFERROR(__xludf.DUMMYFUNCTION("""COMPUTED_VALUE"""),1826.77)</f>
        <v>1826.77</v>
      </c>
      <c r="F7094" s="1">
        <f>IFERROR(__xludf.DUMMYFUNCTION("""COMPUTED_VALUE"""),0.0)</f>
        <v>0</v>
      </c>
    </row>
    <row r="7095">
      <c r="A7095" s="2">
        <f>IFERROR(__xludf.DUMMYFUNCTION("""COMPUTED_VALUE"""),41646.666666666664)</f>
        <v>41646.66667</v>
      </c>
      <c r="B7095" s="1">
        <f>IFERROR(__xludf.DUMMYFUNCTION("""COMPUTED_VALUE"""),1828.71)</f>
        <v>1828.71</v>
      </c>
      <c r="C7095" s="1">
        <f>IFERROR(__xludf.DUMMYFUNCTION("""COMPUTED_VALUE"""),1840.1)</f>
        <v>1840.1</v>
      </c>
      <c r="D7095" s="1">
        <f>IFERROR(__xludf.DUMMYFUNCTION("""COMPUTED_VALUE"""),1828.71)</f>
        <v>1828.71</v>
      </c>
      <c r="E7095" s="1">
        <f>IFERROR(__xludf.DUMMYFUNCTION("""COMPUTED_VALUE"""),1837.88)</f>
        <v>1837.88</v>
      </c>
      <c r="F7095" s="1">
        <f>IFERROR(__xludf.DUMMYFUNCTION("""COMPUTED_VALUE"""),0.0)</f>
        <v>0</v>
      </c>
    </row>
    <row r="7096">
      <c r="A7096" s="2">
        <f>IFERROR(__xludf.DUMMYFUNCTION("""COMPUTED_VALUE"""),41647.666666666664)</f>
        <v>41647.66667</v>
      </c>
      <c r="B7096" s="1">
        <f>IFERROR(__xludf.DUMMYFUNCTION("""COMPUTED_VALUE"""),1837.9)</f>
        <v>1837.9</v>
      </c>
      <c r="C7096" s="1">
        <f>IFERROR(__xludf.DUMMYFUNCTION("""COMPUTED_VALUE"""),1840.02)</f>
        <v>1840.02</v>
      </c>
      <c r="D7096" s="1">
        <f>IFERROR(__xludf.DUMMYFUNCTION("""COMPUTED_VALUE"""),1831.4)</f>
        <v>1831.4</v>
      </c>
      <c r="E7096" s="1">
        <f>IFERROR(__xludf.DUMMYFUNCTION("""COMPUTED_VALUE"""),1837.49)</f>
        <v>1837.49</v>
      </c>
      <c r="F7096" s="1">
        <f>IFERROR(__xludf.DUMMYFUNCTION("""COMPUTED_VALUE"""),0.0)</f>
        <v>0</v>
      </c>
    </row>
    <row r="7097">
      <c r="A7097" s="2">
        <f>IFERROR(__xludf.DUMMYFUNCTION("""COMPUTED_VALUE"""),41648.666666666664)</f>
        <v>41648.66667</v>
      </c>
      <c r="B7097" s="1">
        <f>IFERROR(__xludf.DUMMYFUNCTION("""COMPUTED_VALUE"""),1839.0)</f>
        <v>1839</v>
      </c>
      <c r="C7097" s="1">
        <f>IFERROR(__xludf.DUMMYFUNCTION("""COMPUTED_VALUE"""),1843.23)</f>
        <v>1843.23</v>
      </c>
      <c r="D7097" s="1">
        <f>IFERROR(__xludf.DUMMYFUNCTION("""COMPUTED_VALUE"""),1830.38)</f>
        <v>1830.38</v>
      </c>
      <c r="E7097" s="1">
        <f>IFERROR(__xludf.DUMMYFUNCTION("""COMPUTED_VALUE"""),1838.13)</f>
        <v>1838.13</v>
      </c>
      <c r="F7097" s="1">
        <f>IFERROR(__xludf.DUMMYFUNCTION("""COMPUTED_VALUE"""),0.0)</f>
        <v>0</v>
      </c>
    </row>
    <row r="7098">
      <c r="A7098" s="2">
        <f>IFERROR(__xludf.DUMMYFUNCTION("""COMPUTED_VALUE"""),41649.666666666664)</f>
        <v>41649.66667</v>
      </c>
      <c r="B7098" s="1">
        <f>IFERROR(__xludf.DUMMYFUNCTION("""COMPUTED_VALUE"""),1840.06)</f>
        <v>1840.06</v>
      </c>
      <c r="C7098" s="1">
        <f>IFERROR(__xludf.DUMMYFUNCTION("""COMPUTED_VALUE"""),1843.15)</f>
        <v>1843.15</v>
      </c>
      <c r="D7098" s="1">
        <f>IFERROR(__xludf.DUMMYFUNCTION("""COMPUTED_VALUE"""),1832.43)</f>
        <v>1832.43</v>
      </c>
      <c r="E7098" s="1">
        <f>IFERROR(__xludf.DUMMYFUNCTION("""COMPUTED_VALUE"""),1842.37)</f>
        <v>1842.37</v>
      </c>
      <c r="F7098" s="1">
        <f>IFERROR(__xludf.DUMMYFUNCTION("""COMPUTED_VALUE"""),0.0)</f>
        <v>0</v>
      </c>
    </row>
    <row r="7099">
      <c r="A7099" s="2">
        <f>IFERROR(__xludf.DUMMYFUNCTION("""COMPUTED_VALUE"""),41652.666666666664)</f>
        <v>41652.66667</v>
      </c>
      <c r="B7099" s="1">
        <f>IFERROR(__xludf.DUMMYFUNCTION("""COMPUTED_VALUE"""),1841.26)</f>
        <v>1841.26</v>
      </c>
      <c r="C7099" s="1">
        <f>IFERROR(__xludf.DUMMYFUNCTION("""COMPUTED_VALUE"""),1843.45)</f>
        <v>1843.45</v>
      </c>
      <c r="D7099" s="1">
        <f>IFERROR(__xludf.DUMMYFUNCTION("""COMPUTED_VALUE"""),1815.52)</f>
        <v>1815.52</v>
      </c>
      <c r="E7099" s="1">
        <f>IFERROR(__xludf.DUMMYFUNCTION("""COMPUTED_VALUE"""),1819.2)</f>
        <v>1819.2</v>
      </c>
      <c r="F7099" s="1">
        <f>IFERROR(__xludf.DUMMYFUNCTION("""COMPUTED_VALUE"""),0.0)</f>
        <v>0</v>
      </c>
    </row>
    <row r="7100">
      <c r="A7100" s="2">
        <f>IFERROR(__xludf.DUMMYFUNCTION("""COMPUTED_VALUE"""),41653.666666666664)</f>
        <v>41653.66667</v>
      </c>
      <c r="B7100" s="1">
        <f>IFERROR(__xludf.DUMMYFUNCTION("""COMPUTED_VALUE"""),1821.36)</f>
        <v>1821.36</v>
      </c>
      <c r="C7100" s="1">
        <f>IFERROR(__xludf.DUMMYFUNCTION("""COMPUTED_VALUE"""),1839.26)</f>
        <v>1839.26</v>
      </c>
      <c r="D7100" s="1">
        <f>IFERROR(__xludf.DUMMYFUNCTION("""COMPUTED_VALUE"""),1821.36)</f>
        <v>1821.36</v>
      </c>
      <c r="E7100" s="1">
        <f>IFERROR(__xludf.DUMMYFUNCTION("""COMPUTED_VALUE"""),1838.88)</f>
        <v>1838.88</v>
      </c>
      <c r="F7100" s="1">
        <f>IFERROR(__xludf.DUMMYFUNCTION("""COMPUTED_VALUE"""),0.0)</f>
        <v>0</v>
      </c>
    </row>
    <row r="7101">
      <c r="A7101" s="2">
        <f>IFERROR(__xludf.DUMMYFUNCTION("""COMPUTED_VALUE"""),41654.666666666664)</f>
        <v>41654.66667</v>
      </c>
      <c r="B7101" s="1">
        <f>IFERROR(__xludf.DUMMYFUNCTION("""COMPUTED_VALUE"""),1840.52)</f>
        <v>1840.52</v>
      </c>
      <c r="C7101" s="1">
        <f>IFERROR(__xludf.DUMMYFUNCTION("""COMPUTED_VALUE"""),1850.84)</f>
        <v>1850.84</v>
      </c>
      <c r="D7101" s="1">
        <f>IFERROR(__xludf.DUMMYFUNCTION("""COMPUTED_VALUE"""),1840.52)</f>
        <v>1840.52</v>
      </c>
      <c r="E7101" s="1">
        <f>IFERROR(__xludf.DUMMYFUNCTION("""COMPUTED_VALUE"""),1848.38)</f>
        <v>1848.38</v>
      </c>
      <c r="F7101" s="1">
        <f>IFERROR(__xludf.DUMMYFUNCTION("""COMPUTED_VALUE"""),0.0)</f>
        <v>0</v>
      </c>
    </row>
    <row r="7102">
      <c r="A7102" s="2">
        <f>IFERROR(__xludf.DUMMYFUNCTION("""COMPUTED_VALUE"""),41655.666666666664)</f>
        <v>41655.66667</v>
      </c>
      <c r="B7102" s="1">
        <f>IFERROR(__xludf.DUMMYFUNCTION("""COMPUTED_VALUE"""),1847.99)</f>
        <v>1847.99</v>
      </c>
      <c r="C7102" s="1">
        <f>IFERROR(__xludf.DUMMYFUNCTION("""COMPUTED_VALUE"""),1847.99)</f>
        <v>1847.99</v>
      </c>
      <c r="D7102" s="1">
        <f>IFERROR(__xludf.DUMMYFUNCTION("""COMPUTED_VALUE"""),1840.3)</f>
        <v>1840.3</v>
      </c>
      <c r="E7102" s="1">
        <f>IFERROR(__xludf.DUMMYFUNCTION("""COMPUTED_VALUE"""),1845.89)</f>
        <v>1845.89</v>
      </c>
      <c r="F7102" s="1">
        <f>IFERROR(__xludf.DUMMYFUNCTION("""COMPUTED_VALUE"""),0.0)</f>
        <v>0</v>
      </c>
    </row>
    <row r="7103">
      <c r="A7103" s="2">
        <f>IFERROR(__xludf.DUMMYFUNCTION("""COMPUTED_VALUE"""),41656.666666666664)</f>
        <v>41656.66667</v>
      </c>
      <c r="B7103" s="1">
        <f>IFERROR(__xludf.DUMMYFUNCTION("""COMPUTED_VALUE"""),1844.23)</f>
        <v>1844.23</v>
      </c>
      <c r="C7103" s="1">
        <f>IFERROR(__xludf.DUMMYFUNCTION("""COMPUTED_VALUE"""),1846.04)</f>
        <v>1846.04</v>
      </c>
      <c r="D7103" s="1">
        <f>IFERROR(__xludf.DUMMYFUNCTION("""COMPUTED_VALUE"""),1835.23)</f>
        <v>1835.23</v>
      </c>
      <c r="E7103" s="1">
        <f>IFERROR(__xludf.DUMMYFUNCTION("""COMPUTED_VALUE"""),1838.7)</f>
        <v>1838.7</v>
      </c>
      <c r="F7103" s="1">
        <f>IFERROR(__xludf.DUMMYFUNCTION("""COMPUTED_VALUE"""),0.0)</f>
        <v>0</v>
      </c>
    </row>
    <row r="7104">
      <c r="A7104" s="2">
        <f>IFERROR(__xludf.DUMMYFUNCTION("""COMPUTED_VALUE"""),41660.666666666664)</f>
        <v>41660.66667</v>
      </c>
      <c r="B7104" s="1">
        <f>IFERROR(__xludf.DUMMYFUNCTION("""COMPUTED_VALUE"""),1842.54)</f>
        <v>1842.54</v>
      </c>
      <c r="C7104" s="1">
        <f>IFERROR(__xludf.DUMMYFUNCTION("""COMPUTED_VALUE"""),1843.81)</f>
        <v>1843.81</v>
      </c>
      <c r="D7104" s="1">
        <f>IFERROR(__xludf.DUMMYFUNCTION("""COMPUTED_VALUE"""),1840.88)</f>
        <v>1840.88</v>
      </c>
      <c r="E7104" s="1">
        <f>IFERROR(__xludf.DUMMYFUNCTION("""COMPUTED_VALUE"""),1843.8)</f>
        <v>1843.8</v>
      </c>
      <c r="F7104" s="1">
        <f>IFERROR(__xludf.DUMMYFUNCTION("""COMPUTED_VALUE"""),0.0)</f>
        <v>0</v>
      </c>
    </row>
    <row r="7105">
      <c r="A7105" s="2">
        <f>IFERROR(__xludf.DUMMYFUNCTION("""COMPUTED_VALUE"""),41661.666666666664)</f>
        <v>41661.66667</v>
      </c>
      <c r="B7105" s="1">
        <f>IFERROR(__xludf.DUMMYFUNCTION("""COMPUTED_VALUE"""),1844.71)</f>
        <v>1844.71</v>
      </c>
      <c r="C7105" s="1">
        <f>IFERROR(__xludf.DUMMYFUNCTION("""COMPUTED_VALUE"""),1846.87)</f>
        <v>1846.87</v>
      </c>
      <c r="D7105" s="1">
        <f>IFERROR(__xludf.DUMMYFUNCTION("""COMPUTED_VALUE"""),1840.88)</f>
        <v>1840.88</v>
      </c>
      <c r="E7105" s="1">
        <f>IFERROR(__xludf.DUMMYFUNCTION("""COMPUTED_VALUE"""),1844.86)</f>
        <v>1844.86</v>
      </c>
      <c r="F7105" s="1">
        <f>IFERROR(__xludf.DUMMYFUNCTION("""COMPUTED_VALUE"""),0.0)</f>
        <v>0</v>
      </c>
    </row>
    <row r="7106">
      <c r="A7106" s="2">
        <f>IFERROR(__xludf.DUMMYFUNCTION("""COMPUTED_VALUE"""),41662.666666666664)</f>
        <v>41662.66667</v>
      </c>
      <c r="B7106" s="1">
        <f>IFERROR(__xludf.DUMMYFUNCTION("""COMPUTED_VALUE"""),1842.29)</f>
        <v>1842.29</v>
      </c>
      <c r="C7106" s="1">
        <f>IFERROR(__xludf.DUMMYFUNCTION("""COMPUTED_VALUE"""),1842.29)</f>
        <v>1842.29</v>
      </c>
      <c r="D7106" s="1">
        <f>IFERROR(__xludf.DUMMYFUNCTION("""COMPUTED_VALUE"""),1820.06)</f>
        <v>1820.06</v>
      </c>
      <c r="E7106" s="1">
        <f>IFERROR(__xludf.DUMMYFUNCTION("""COMPUTED_VALUE"""),1828.46)</f>
        <v>1828.46</v>
      </c>
      <c r="F7106" s="1">
        <f>IFERROR(__xludf.DUMMYFUNCTION("""COMPUTED_VALUE"""),0.0)</f>
        <v>0</v>
      </c>
    </row>
    <row r="7107">
      <c r="A7107" s="2">
        <f>IFERROR(__xludf.DUMMYFUNCTION("""COMPUTED_VALUE"""),41663.666666666664)</f>
        <v>41663.66667</v>
      </c>
      <c r="B7107" s="1">
        <f>IFERROR(__xludf.DUMMYFUNCTION("""COMPUTED_VALUE"""),1826.96)</f>
        <v>1826.96</v>
      </c>
      <c r="C7107" s="1">
        <f>IFERROR(__xludf.DUMMYFUNCTION("""COMPUTED_VALUE"""),1826.96)</f>
        <v>1826.96</v>
      </c>
      <c r="D7107" s="1">
        <f>IFERROR(__xludf.DUMMYFUNCTION("""COMPUTED_VALUE"""),1790.29)</f>
        <v>1790.29</v>
      </c>
      <c r="E7107" s="1">
        <f>IFERROR(__xludf.DUMMYFUNCTION("""COMPUTED_VALUE"""),1790.29)</f>
        <v>1790.29</v>
      </c>
      <c r="F7107" s="1">
        <f>IFERROR(__xludf.DUMMYFUNCTION("""COMPUTED_VALUE"""),0.0)</f>
        <v>0</v>
      </c>
    </row>
    <row r="7108">
      <c r="A7108" s="2">
        <f>IFERROR(__xludf.DUMMYFUNCTION("""COMPUTED_VALUE"""),41666.666666666664)</f>
        <v>41666.66667</v>
      </c>
      <c r="B7108" s="1">
        <f>IFERROR(__xludf.DUMMYFUNCTION("""COMPUTED_VALUE"""),1791.03)</f>
        <v>1791.03</v>
      </c>
      <c r="C7108" s="1">
        <f>IFERROR(__xludf.DUMMYFUNCTION("""COMPUTED_VALUE"""),1795.98)</f>
        <v>1795.98</v>
      </c>
      <c r="D7108" s="1">
        <f>IFERROR(__xludf.DUMMYFUNCTION("""COMPUTED_VALUE"""),1772.88)</f>
        <v>1772.88</v>
      </c>
      <c r="E7108" s="1">
        <f>IFERROR(__xludf.DUMMYFUNCTION("""COMPUTED_VALUE"""),1781.56)</f>
        <v>1781.56</v>
      </c>
      <c r="F7108" s="1">
        <f>IFERROR(__xludf.DUMMYFUNCTION("""COMPUTED_VALUE"""),0.0)</f>
        <v>0</v>
      </c>
    </row>
    <row r="7109">
      <c r="A7109" s="2">
        <f>IFERROR(__xludf.DUMMYFUNCTION("""COMPUTED_VALUE"""),41667.666666666664)</f>
        <v>41667.66667</v>
      </c>
      <c r="B7109" s="1">
        <f>IFERROR(__xludf.DUMMYFUNCTION("""COMPUTED_VALUE"""),1783.0)</f>
        <v>1783</v>
      </c>
      <c r="C7109" s="1">
        <f>IFERROR(__xludf.DUMMYFUNCTION("""COMPUTED_VALUE"""),1793.87)</f>
        <v>1793.87</v>
      </c>
      <c r="D7109" s="1">
        <f>IFERROR(__xludf.DUMMYFUNCTION("""COMPUTED_VALUE"""),1779.49)</f>
        <v>1779.49</v>
      </c>
      <c r="E7109" s="1">
        <f>IFERROR(__xludf.DUMMYFUNCTION("""COMPUTED_VALUE"""),1792.5)</f>
        <v>1792.5</v>
      </c>
      <c r="F7109" s="1">
        <f>IFERROR(__xludf.DUMMYFUNCTION("""COMPUTED_VALUE"""),0.0)</f>
        <v>0</v>
      </c>
    </row>
    <row r="7110">
      <c r="A7110" s="2">
        <f>IFERROR(__xludf.DUMMYFUNCTION("""COMPUTED_VALUE"""),41668.666666666664)</f>
        <v>41668.66667</v>
      </c>
      <c r="B7110" s="1">
        <f>IFERROR(__xludf.DUMMYFUNCTION("""COMPUTED_VALUE"""),1790.15)</f>
        <v>1790.15</v>
      </c>
      <c r="C7110" s="1">
        <f>IFERROR(__xludf.DUMMYFUNCTION("""COMPUTED_VALUE"""),1790.15)</f>
        <v>1790.15</v>
      </c>
      <c r="D7110" s="1">
        <f>IFERROR(__xludf.DUMMYFUNCTION("""COMPUTED_VALUE"""),1770.45)</f>
        <v>1770.45</v>
      </c>
      <c r="E7110" s="1">
        <f>IFERROR(__xludf.DUMMYFUNCTION("""COMPUTED_VALUE"""),1774.2)</f>
        <v>1774.2</v>
      </c>
      <c r="F7110" s="1">
        <f>IFERROR(__xludf.DUMMYFUNCTION("""COMPUTED_VALUE"""),0.0)</f>
        <v>0</v>
      </c>
    </row>
    <row r="7111">
      <c r="A7111" s="2">
        <f>IFERROR(__xludf.DUMMYFUNCTION("""COMPUTED_VALUE"""),41669.666666666664)</f>
        <v>41669.66667</v>
      </c>
      <c r="B7111" s="1">
        <f>IFERROR(__xludf.DUMMYFUNCTION("""COMPUTED_VALUE"""),1777.17)</f>
        <v>1777.17</v>
      </c>
      <c r="C7111" s="1">
        <f>IFERROR(__xludf.DUMMYFUNCTION("""COMPUTED_VALUE"""),1798.77)</f>
        <v>1798.77</v>
      </c>
      <c r="D7111" s="1">
        <f>IFERROR(__xludf.DUMMYFUNCTION("""COMPUTED_VALUE"""),1777.17)</f>
        <v>1777.17</v>
      </c>
      <c r="E7111" s="1">
        <f>IFERROR(__xludf.DUMMYFUNCTION("""COMPUTED_VALUE"""),1794.19)</f>
        <v>1794.19</v>
      </c>
      <c r="F7111" s="1">
        <f>IFERROR(__xludf.DUMMYFUNCTION("""COMPUTED_VALUE"""),0.0)</f>
        <v>0</v>
      </c>
    </row>
    <row r="7112">
      <c r="A7112" s="2">
        <f>IFERROR(__xludf.DUMMYFUNCTION("""COMPUTED_VALUE"""),41670.666666666664)</f>
        <v>41670.66667</v>
      </c>
      <c r="B7112" s="1">
        <f>IFERROR(__xludf.DUMMYFUNCTION("""COMPUTED_VALUE"""),1790.88)</f>
        <v>1790.88</v>
      </c>
      <c r="C7112" s="1">
        <f>IFERROR(__xludf.DUMMYFUNCTION("""COMPUTED_VALUE"""),1793.88)</f>
        <v>1793.88</v>
      </c>
      <c r="D7112" s="1">
        <f>IFERROR(__xludf.DUMMYFUNCTION("""COMPUTED_VALUE"""),1772.26)</f>
        <v>1772.26</v>
      </c>
      <c r="E7112" s="1">
        <f>IFERROR(__xludf.DUMMYFUNCTION("""COMPUTED_VALUE"""),1782.59)</f>
        <v>1782.59</v>
      </c>
      <c r="F7112" s="1">
        <f>IFERROR(__xludf.DUMMYFUNCTION("""COMPUTED_VALUE"""),0.0)</f>
        <v>0</v>
      </c>
    </row>
    <row r="7113">
      <c r="A7113" s="2">
        <f>IFERROR(__xludf.DUMMYFUNCTION("""COMPUTED_VALUE"""),41673.666666666664)</f>
        <v>41673.66667</v>
      </c>
      <c r="B7113" s="1">
        <f>IFERROR(__xludf.DUMMYFUNCTION("""COMPUTED_VALUE"""),1782.68)</f>
        <v>1782.68</v>
      </c>
      <c r="C7113" s="1">
        <f>IFERROR(__xludf.DUMMYFUNCTION("""COMPUTED_VALUE"""),1784.83)</f>
        <v>1784.83</v>
      </c>
      <c r="D7113" s="1">
        <f>IFERROR(__xludf.DUMMYFUNCTION("""COMPUTED_VALUE"""),1739.66)</f>
        <v>1739.66</v>
      </c>
      <c r="E7113" s="1">
        <f>IFERROR(__xludf.DUMMYFUNCTION("""COMPUTED_VALUE"""),1741.89)</f>
        <v>1741.89</v>
      </c>
      <c r="F7113" s="1">
        <f>IFERROR(__xludf.DUMMYFUNCTION("""COMPUTED_VALUE"""),0.0)</f>
        <v>0</v>
      </c>
    </row>
    <row r="7114">
      <c r="A7114" s="2">
        <f>IFERROR(__xludf.DUMMYFUNCTION("""COMPUTED_VALUE"""),41674.666666666664)</f>
        <v>41674.66667</v>
      </c>
      <c r="B7114" s="1">
        <f>IFERROR(__xludf.DUMMYFUNCTION("""COMPUTED_VALUE"""),1743.82)</f>
        <v>1743.82</v>
      </c>
      <c r="C7114" s="1">
        <f>IFERROR(__xludf.DUMMYFUNCTION("""COMPUTED_VALUE"""),1758.73)</f>
        <v>1758.73</v>
      </c>
      <c r="D7114" s="1">
        <f>IFERROR(__xludf.DUMMYFUNCTION("""COMPUTED_VALUE"""),1743.82)</f>
        <v>1743.82</v>
      </c>
      <c r="E7114" s="1">
        <f>IFERROR(__xludf.DUMMYFUNCTION("""COMPUTED_VALUE"""),1755.2)</f>
        <v>1755.2</v>
      </c>
      <c r="F7114" s="1">
        <f>IFERROR(__xludf.DUMMYFUNCTION("""COMPUTED_VALUE"""),0.0)</f>
        <v>0</v>
      </c>
    </row>
    <row r="7115">
      <c r="A7115" s="2">
        <f>IFERROR(__xludf.DUMMYFUNCTION("""COMPUTED_VALUE"""),41675.666666666664)</f>
        <v>41675.66667</v>
      </c>
      <c r="B7115" s="1">
        <f>IFERROR(__xludf.DUMMYFUNCTION("""COMPUTED_VALUE"""),1753.38)</f>
        <v>1753.38</v>
      </c>
      <c r="C7115" s="1">
        <f>IFERROR(__xludf.DUMMYFUNCTION("""COMPUTED_VALUE"""),1755.79)</f>
        <v>1755.79</v>
      </c>
      <c r="D7115" s="1">
        <f>IFERROR(__xludf.DUMMYFUNCTION("""COMPUTED_VALUE"""),1737.92)</f>
        <v>1737.92</v>
      </c>
      <c r="E7115" s="1">
        <f>IFERROR(__xludf.DUMMYFUNCTION("""COMPUTED_VALUE"""),1751.64)</f>
        <v>1751.64</v>
      </c>
      <c r="F7115" s="1">
        <f>IFERROR(__xludf.DUMMYFUNCTION("""COMPUTED_VALUE"""),0.0)</f>
        <v>0</v>
      </c>
    </row>
    <row r="7116">
      <c r="A7116" s="2">
        <f>IFERROR(__xludf.DUMMYFUNCTION("""COMPUTED_VALUE"""),41676.666666666664)</f>
        <v>41676.66667</v>
      </c>
      <c r="B7116" s="1">
        <f>IFERROR(__xludf.DUMMYFUNCTION("""COMPUTED_VALUE"""),1752.99)</f>
        <v>1752.99</v>
      </c>
      <c r="C7116" s="1">
        <f>IFERROR(__xludf.DUMMYFUNCTION("""COMPUTED_VALUE"""),1774.06)</f>
        <v>1774.06</v>
      </c>
      <c r="D7116" s="1">
        <f>IFERROR(__xludf.DUMMYFUNCTION("""COMPUTED_VALUE"""),1752.99)</f>
        <v>1752.99</v>
      </c>
      <c r="E7116" s="1">
        <f>IFERROR(__xludf.DUMMYFUNCTION("""COMPUTED_VALUE"""),1773.43)</f>
        <v>1773.43</v>
      </c>
      <c r="F7116" s="1">
        <f>IFERROR(__xludf.DUMMYFUNCTION("""COMPUTED_VALUE"""),0.0)</f>
        <v>0</v>
      </c>
    </row>
    <row r="7117">
      <c r="A7117" s="2">
        <f>IFERROR(__xludf.DUMMYFUNCTION("""COMPUTED_VALUE"""),41677.666666666664)</f>
        <v>41677.66667</v>
      </c>
      <c r="B7117" s="1">
        <f>IFERROR(__xludf.DUMMYFUNCTION("""COMPUTED_VALUE"""),1776.01)</f>
        <v>1776.01</v>
      </c>
      <c r="C7117" s="1">
        <f>IFERROR(__xludf.DUMMYFUNCTION("""COMPUTED_VALUE"""),1798.03)</f>
        <v>1798.03</v>
      </c>
      <c r="D7117" s="1">
        <f>IFERROR(__xludf.DUMMYFUNCTION("""COMPUTED_VALUE"""),1776.01)</f>
        <v>1776.01</v>
      </c>
      <c r="E7117" s="1">
        <f>IFERROR(__xludf.DUMMYFUNCTION("""COMPUTED_VALUE"""),1797.02)</f>
        <v>1797.02</v>
      </c>
      <c r="F7117" s="1">
        <f>IFERROR(__xludf.DUMMYFUNCTION("""COMPUTED_VALUE"""),0.0)</f>
        <v>0</v>
      </c>
    </row>
    <row r="7118">
      <c r="A7118" s="2">
        <f>IFERROR(__xludf.DUMMYFUNCTION("""COMPUTED_VALUE"""),41680.666666666664)</f>
        <v>41680.66667</v>
      </c>
      <c r="B7118" s="1">
        <f>IFERROR(__xludf.DUMMYFUNCTION("""COMPUTED_VALUE"""),1796.2)</f>
        <v>1796.2</v>
      </c>
      <c r="C7118" s="1">
        <f>IFERROR(__xludf.DUMMYFUNCTION("""COMPUTED_VALUE"""),1799.94)</f>
        <v>1799.94</v>
      </c>
      <c r="D7118" s="1">
        <f>IFERROR(__xludf.DUMMYFUNCTION("""COMPUTED_VALUE"""),1791.83)</f>
        <v>1791.83</v>
      </c>
      <c r="E7118" s="1">
        <f>IFERROR(__xludf.DUMMYFUNCTION("""COMPUTED_VALUE"""),1799.84)</f>
        <v>1799.84</v>
      </c>
      <c r="F7118" s="1">
        <f>IFERROR(__xludf.DUMMYFUNCTION("""COMPUTED_VALUE"""),0.0)</f>
        <v>0</v>
      </c>
    </row>
    <row r="7119">
      <c r="A7119" s="2">
        <f>IFERROR(__xludf.DUMMYFUNCTION("""COMPUTED_VALUE"""),41681.666666666664)</f>
        <v>41681.66667</v>
      </c>
      <c r="B7119" s="1">
        <f>IFERROR(__xludf.DUMMYFUNCTION("""COMPUTED_VALUE"""),1800.45)</f>
        <v>1800.45</v>
      </c>
      <c r="C7119" s="1">
        <f>IFERROR(__xludf.DUMMYFUNCTION("""COMPUTED_VALUE"""),1823.54)</f>
        <v>1823.54</v>
      </c>
      <c r="D7119" s="1">
        <f>IFERROR(__xludf.DUMMYFUNCTION("""COMPUTED_VALUE"""),1800.41)</f>
        <v>1800.41</v>
      </c>
      <c r="E7119" s="1">
        <f>IFERROR(__xludf.DUMMYFUNCTION("""COMPUTED_VALUE"""),1819.75)</f>
        <v>1819.75</v>
      </c>
      <c r="F7119" s="1">
        <f>IFERROR(__xludf.DUMMYFUNCTION("""COMPUTED_VALUE"""),0.0)</f>
        <v>0</v>
      </c>
    </row>
    <row r="7120">
      <c r="A7120" s="2">
        <f>IFERROR(__xludf.DUMMYFUNCTION("""COMPUTED_VALUE"""),41682.666666666664)</f>
        <v>41682.66667</v>
      </c>
      <c r="B7120" s="1">
        <f>IFERROR(__xludf.DUMMYFUNCTION("""COMPUTED_VALUE"""),1820.12)</f>
        <v>1820.12</v>
      </c>
      <c r="C7120" s="1">
        <f>IFERROR(__xludf.DUMMYFUNCTION("""COMPUTED_VALUE"""),1826.55)</f>
        <v>1826.55</v>
      </c>
      <c r="D7120" s="1">
        <f>IFERROR(__xludf.DUMMYFUNCTION("""COMPUTED_VALUE"""),1815.97)</f>
        <v>1815.97</v>
      </c>
      <c r="E7120" s="1">
        <f>IFERROR(__xludf.DUMMYFUNCTION("""COMPUTED_VALUE"""),1819.26)</f>
        <v>1819.26</v>
      </c>
      <c r="F7120" s="1">
        <f>IFERROR(__xludf.DUMMYFUNCTION("""COMPUTED_VALUE"""),0.0)</f>
        <v>0</v>
      </c>
    </row>
    <row r="7121">
      <c r="A7121" s="2">
        <f>IFERROR(__xludf.DUMMYFUNCTION("""COMPUTED_VALUE"""),41683.666666666664)</f>
        <v>41683.66667</v>
      </c>
      <c r="B7121" s="1">
        <f>IFERROR(__xludf.DUMMYFUNCTION("""COMPUTED_VALUE"""),1814.82)</f>
        <v>1814.82</v>
      </c>
      <c r="C7121" s="1">
        <f>IFERROR(__xludf.DUMMYFUNCTION("""COMPUTED_VALUE"""),1830.25)</f>
        <v>1830.25</v>
      </c>
      <c r="D7121" s="1">
        <f>IFERROR(__xludf.DUMMYFUNCTION("""COMPUTED_VALUE"""),1809.22)</f>
        <v>1809.22</v>
      </c>
      <c r="E7121" s="1">
        <f>IFERROR(__xludf.DUMMYFUNCTION("""COMPUTED_VALUE"""),1829.83)</f>
        <v>1829.83</v>
      </c>
      <c r="F7121" s="1">
        <f>IFERROR(__xludf.DUMMYFUNCTION("""COMPUTED_VALUE"""),0.0)</f>
        <v>0</v>
      </c>
    </row>
    <row r="7122">
      <c r="A7122" s="2">
        <f>IFERROR(__xludf.DUMMYFUNCTION("""COMPUTED_VALUE"""),41684.666666666664)</f>
        <v>41684.66667</v>
      </c>
      <c r="B7122" s="1">
        <f>IFERROR(__xludf.DUMMYFUNCTION("""COMPUTED_VALUE"""),1828.46)</f>
        <v>1828.46</v>
      </c>
      <c r="C7122" s="1">
        <f>IFERROR(__xludf.DUMMYFUNCTION("""COMPUTED_VALUE"""),1841.65)</f>
        <v>1841.65</v>
      </c>
      <c r="D7122" s="1">
        <f>IFERROR(__xludf.DUMMYFUNCTION("""COMPUTED_VALUE"""),1825.59)</f>
        <v>1825.59</v>
      </c>
      <c r="E7122" s="1">
        <f>IFERROR(__xludf.DUMMYFUNCTION("""COMPUTED_VALUE"""),1838.63)</f>
        <v>1838.63</v>
      </c>
      <c r="F7122" s="1">
        <f>IFERROR(__xludf.DUMMYFUNCTION("""COMPUTED_VALUE"""),0.0)</f>
        <v>0</v>
      </c>
    </row>
    <row r="7123">
      <c r="A7123" s="2">
        <f>IFERROR(__xludf.DUMMYFUNCTION("""COMPUTED_VALUE"""),41688.666666666664)</f>
        <v>41688.66667</v>
      </c>
      <c r="B7123" s="1">
        <f>IFERROR(__xludf.DUMMYFUNCTION("""COMPUTED_VALUE"""),1839.03)</f>
        <v>1839.03</v>
      </c>
      <c r="C7123" s="1">
        <f>IFERROR(__xludf.DUMMYFUNCTION("""COMPUTED_VALUE"""),1842.87)</f>
        <v>1842.87</v>
      </c>
      <c r="D7123" s="1">
        <f>IFERROR(__xludf.DUMMYFUNCTION("""COMPUTED_VALUE"""),1835.01)</f>
        <v>1835.01</v>
      </c>
      <c r="E7123" s="1">
        <f>IFERROR(__xludf.DUMMYFUNCTION("""COMPUTED_VALUE"""),1840.76)</f>
        <v>1840.76</v>
      </c>
      <c r="F7123" s="1">
        <f>IFERROR(__xludf.DUMMYFUNCTION("""COMPUTED_VALUE"""),0.0)</f>
        <v>0</v>
      </c>
    </row>
    <row r="7124">
      <c r="A7124" s="2">
        <f>IFERROR(__xludf.DUMMYFUNCTION("""COMPUTED_VALUE"""),41690.666666666664)</f>
        <v>41690.66667</v>
      </c>
      <c r="B7124" s="1">
        <f>IFERROR(__xludf.DUMMYFUNCTION("""COMPUTED_VALUE"""),1829.24)</f>
        <v>1829.24</v>
      </c>
      <c r="C7124" s="1">
        <f>IFERROR(__xludf.DUMMYFUNCTION("""COMPUTED_VALUE"""),1842.79)</f>
        <v>1842.79</v>
      </c>
      <c r="D7124" s="1">
        <f>IFERROR(__xludf.DUMMYFUNCTION("""COMPUTED_VALUE"""),1824.58)</f>
        <v>1824.58</v>
      </c>
      <c r="E7124" s="1">
        <f>IFERROR(__xludf.DUMMYFUNCTION("""COMPUTED_VALUE"""),1839.78)</f>
        <v>1839.78</v>
      </c>
      <c r="F7124" s="1">
        <f>IFERROR(__xludf.DUMMYFUNCTION("""COMPUTED_VALUE"""),0.0)</f>
        <v>0</v>
      </c>
    </row>
    <row r="7125">
      <c r="A7125" s="2">
        <f>IFERROR(__xludf.DUMMYFUNCTION("""COMPUTED_VALUE"""),41691.666666666664)</f>
        <v>41691.66667</v>
      </c>
      <c r="B7125" s="1">
        <f>IFERROR(__xludf.DUMMYFUNCTION("""COMPUTED_VALUE"""),1841.07)</f>
        <v>1841.07</v>
      </c>
      <c r="C7125" s="1">
        <f>IFERROR(__xludf.DUMMYFUNCTION("""COMPUTED_VALUE"""),1846.13)</f>
        <v>1846.13</v>
      </c>
      <c r="D7125" s="1">
        <f>IFERROR(__xludf.DUMMYFUNCTION("""COMPUTED_VALUE"""),1835.6)</f>
        <v>1835.6</v>
      </c>
      <c r="E7125" s="1">
        <f>IFERROR(__xludf.DUMMYFUNCTION("""COMPUTED_VALUE"""),1836.25)</f>
        <v>1836.25</v>
      </c>
      <c r="F7125" s="1">
        <f>IFERROR(__xludf.DUMMYFUNCTION("""COMPUTED_VALUE"""),0.0)</f>
        <v>0</v>
      </c>
    </row>
    <row r="7126">
      <c r="A7126" s="2">
        <f>IFERROR(__xludf.DUMMYFUNCTION("""COMPUTED_VALUE"""),41694.666666666664)</f>
        <v>41694.66667</v>
      </c>
      <c r="B7126" s="1">
        <f>IFERROR(__xludf.DUMMYFUNCTION("""COMPUTED_VALUE"""),1836.78)</f>
        <v>1836.78</v>
      </c>
      <c r="C7126" s="1">
        <f>IFERROR(__xludf.DUMMYFUNCTION("""COMPUTED_VALUE"""),1858.71)</f>
        <v>1858.71</v>
      </c>
      <c r="D7126" s="1">
        <f>IFERROR(__xludf.DUMMYFUNCTION("""COMPUTED_VALUE"""),1836.78)</f>
        <v>1836.78</v>
      </c>
      <c r="E7126" s="1">
        <f>IFERROR(__xludf.DUMMYFUNCTION("""COMPUTED_VALUE"""),1847.61)</f>
        <v>1847.61</v>
      </c>
      <c r="F7126" s="1">
        <f>IFERROR(__xludf.DUMMYFUNCTION("""COMPUTED_VALUE"""),0.0)</f>
        <v>0</v>
      </c>
    </row>
    <row r="7127">
      <c r="A7127" s="2">
        <f>IFERROR(__xludf.DUMMYFUNCTION("""COMPUTED_VALUE"""),41695.666666666664)</f>
        <v>41695.66667</v>
      </c>
      <c r="B7127" s="1">
        <f>IFERROR(__xludf.DUMMYFUNCTION("""COMPUTED_VALUE"""),1847.66)</f>
        <v>1847.66</v>
      </c>
      <c r="C7127" s="1">
        <f>IFERROR(__xludf.DUMMYFUNCTION("""COMPUTED_VALUE"""),1852.91)</f>
        <v>1852.91</v>
      </c>
      <c r="D7127" s="1">
        <f>IFERROR(__xludf.DUMMYFUNCTION("""COMPUTED_VALUE"""),1840.19)</f>
        <v>1840.19</v>
      </c>
      <c r="E7127" s="1">
        <f>IFERROR(__xludf.DUMMYFUNCTION("""COMPUTED_VALUE"""),1845.12)</f>
        <v>1845.12</v>
      </c>
      <c r="F7127" s="1">
        <f>IFERROR(__xludf.DUMMYFUNCTION("""COMPUTED_VALUE"""),0.0)</f>
        <v>0</v>
      </c>
    </row>
    <row r="7128">
      <c r="A7128" s="2">
        <f>IFERROR(__xludf.DUMMYFUNCTION("""COMPUTED_VALUE"""),41696.666666666664)</f>
        <v>41696.66667</v>
      </c>
      <c r="B7128" s="1">
        <f>IFERROR(__xludf.DUMMYFUNCTION("""COMPUTED_VALUE"""),1845.79)</f>
        <v>1845.79</v>
      </c>
      <c r="C7128" s="1">
        <f>IFERROR(__xludf.DUMMYFUNCTION("""COMPUTED_VALUE"""),1852.65)</f>
        <v>1852.65</v>
      </c>
      <c r="D7128" s="1">
        <f>IFERROR(__xludf.DUMMYFUNCTION("""COMPUTED_VALUE"""),1840.66)</f>
        <v>1840.66</v>
      </c>
      <c r="E7128" s="1">
        <f>IFERROR(__xludf.DUMMYFUNCTION("""COMPUTED_VALUE"""),1845.16)</f>
        <v>1845.16</v>
      </c>
      <c r="F7128" s="1">
        <f>IFERROR(__xludf.DUMMYFUNCTION("""COMPUTED_VALUE"""),0.0)</f>
        <v>0</v>
      </c>
    </row>
    <row r="7129">
      <c r="A7129" s="2">
        <f>IFERROR(__xludf.DUMMYFUNCTION("""COMPUTED_VALUE"""),41697.666666666664)</f>
        <v>41697.66667</v>
      </c>
      <c r="B7129" s="1">
        <f>IFERROR(__xludf.DUMMYFUNCTION("""COMPUTED_VALUE"""),1844.9)</f>
        <v>1844.9</v>
      </c>
      <c r="C7129" s="1">
        <f>IFERROR(__xludf.DUMMYFUNCTION("""COMPUTED_VALUE"""),1854.53)</f>
        <v>1854.53</v>
      </c>
      <c r="D7129" s="1">
        <f>IFERROR(__xludf.DUMMYFUNCTION("""COMPUTED_VALUE"""),1841.13)</f>
        <v>1841.13</v>
      </c>
      <c r="E7129" s="1">
        <f>IFERROR(__xludf.DUMMYFUNCTION("""COMPUTED_VALUE"""),1854.29)</f>
        <v>1854.29</v>
      </c>
      <c r="F7129" s="1">
        <f>IFERROR(__xludf.DUMMYFUNCTION("""COMPUTED_VALUE"""),0.0)</f>
        <v>0</v>
      </c>
    </row>
    <row r="7130">
      <c r="A7130" s="2">
        <f>IFERROR(__xludf.DUMMYFUNCTION("""COMPUTED_VALUE"""),41698.666666666664)</f>
        <v>41698.66667</v>
      </c>
      <c r="B7130" s="1">
        <f>IFERROR(__xludf.DUMMYFUNCTION("""COMPUTED_VALUE"""),1855.12)</f>
        <v>1855.12</v>
      </c>
      <c r="C7130" s="1">
        <f>IFERROR(__xludf.DUMMYFUNCTION("""COMPUTED_VALUE"""),1867.92)</f>
        <v>1867.92</v>
      </c>
      <c r="D7130" s="1">
        <f>IFERROR(__xludf.DUMMYFUNCTION("""COMPUTED_VALUE"""),1847.67)</f>
        <v>1847.67</v>
      </c>
      <c r="E7130" s="1">
        <f>IFERROR(__xludf.DUMMYFUNCTION("""COMPUTED_VALUE"""),1859.45)</f>
        <v>1859.45</v>
      </c>
      <c r="F7130" s="1">
        <f>IFERROR(__xludf.DUMMYFUNCTION("""COMPUTED_VALUE"""),0.0)</f>
        <v>0</v>
      </c>
    </row>
    <row r="7131">
      <c r="A7131" s="2">
        <f>IFERROR(__xludf.DUMMYFUNCTION("""COMPUTED_VALUE"""),41701.666666666664)</f>
        <v>41701.66667</v>
      </c>
      <c r="B7131" s="1">
        <f>IFERROR(__xludf.DUMMYFUNCTION("""COMPUTED_VALUE"""),1857.68)</f>
        <v>1857.68</v>
      </c>
      <c r="C7131" s="1">
        <f>IFERROR(__xludf.DUMMYFUNCTION("""COMPUTED_VALUE"""),1857.68)</f>
        <v>1857.68</v>
      </c>
      <c r="D7131" s="1">
        <f>IFERROR(__xludf.DUMMYFUNCTION("""COMPUTED_VALUE"""),1834.44)</f>
        <v>1834.44</v>
      </c>
      <c r="E7131" s="1">
        <f>IFERROR(__xludf.DUMMYFUNCTION("""COMPUTED_VALUE"""),1845.73)</f>
        <v>1845.73</v>
      </c>
      <c r="F7131" s="1">
        <f>IFERROR(__xludf.DUMMYFUNCTION("""COMPUTED_VALUE"""),0.0)</f>
        <v>0</v>
      </c>
    </row>
    <row r="7132">
      <c r="A7132" s="2">
        <f>IFERROR(__xludf.DUMMYFUNCTION("""COMPUTED_VALUE"""),41702.666666666664)</f>
        <v>41702.66667</v>
      </c>
      <c r="B7132" s="1">
        <f>IFERROR(__xludf.DUMMYFUNCTION("""COMPUTED_VALUE"""),1849.23)</f>
        <v>1849.23</v>
      </c>
      <c r="C7132" s="1">
        <f>IFERROR(__xludf.DUMMYFUNCTION("""COMPUTED_VALUE"""),1876.23)</f>
        <v>1876.23</v>
      </c>
      <c r="D7132" s="1">
        <f>IFERROR(__xludf.DUMMYFUNCTION("""COMPUTED_VALUE"""),1849.23)</f>
        <v>1849.23</v>
      </c>
      <c r="E7132" s="1">
        <f>IFERROR(__xludf.DUMMYFUNCTION("""COMPUTED_VALUE"""),1873.91)</f>
        <v>1873.91</v>
      </c>
      <c r="F7132" s="1">
        <f>IFERROR(__xludf.DUMMYFUNCTION("""COMPUTED_VALUE"""),0.0)</f>
        <v>0</v>
      </c>
    </row>
    <row r="7133">
      <c r="A7133" s="2">
        <f>IFERROR(__xludf.DUMMYFUNCTION("""COMPUTED_VALUE"""),41703.666666666664)</f>
        <v>41703.66667</v>
      </c>
      <c r="B7133" s="1">
        <f>IFERROR(__xludf.DUMMYFUNCTION("""COMPUTED_VALUE"""),1874.05)</f>
        <v>1874.05</v>
      </c>
      <c r="C7133" s="1">
        <f>IFERROR(__xludf.DUMMYFUNCTION("""COMPUTED_VALUE"""),1876.53)</f>
        <v>1876.53</v>
      </c>
      <c r="D7133" s="1">
        <f>IFERROR(__xludf.DUMMYFUNCTION("""COMPUTED_VALUE"""),1871.11)</f>
        <v>1871.11</v>
      </c>
      <c r="E7133" s="1">
        <f>IFERROR(__xludf.DUMMYFUNCTION("""COMPUTED_VALUE"""),1873.81)</f>
        <v>1873.81</v>
      </c>
      <c r="F7133" s="1">
        <f>IFERROR(__xludf.DUMMYFUNCTION("""COMPUTED_VALUE"""),0.0)</f>
        <v>0</v>
      </c>
    </row>
    <row r="7134">
      <c r="A7134" s="2">
        <f>IFERROR(__xludf.DUMMYFUNCTION("""COMPUTED_VALUE"""),41704.666666666664)</f>
        <v>41704.66667</v>
      </c>
      <c r="B7134" s="1">
        <f>IFERROR(__xludf.DUMMYFUNCTION("""COMPUTED_VALUE"""),1874.18)</f>
        <v>1874.18</v>
      </c>
      <c r="C7134" s="1">
        <f>IFERROR(__xludf.DUMMYFUNCTION("""COMPUTED_VALUE"""),1881.94)</f>
        <v>1881.94</v>
      </c>
      <c r="D7134" s="1">
        <f>IFERROR(__xludf.DUMMYFUNCTION("""COMPUTED_VALUE"""),1874.18)</f>
        <v>1874.18</v>
      </c>
      <c r="E7134" s="1">
        <f>IFERROR(__xludf.DUMMYFUNCTION("""COMPUTED_VALUE"""),1877.03)</f>
        <v>1877.03</v>
      </c>
      <c r="F7134" s="1">
        <f>IFERROR(__xludf.DUMMYFUNCTION("""COMPUTED_VALUE"""),0.0)</f>
        <v>0</v>
      </c>
    </row>
    <row r="7135">
      <c r="A7135" s="2">
        <f>IFERROR(__xludf.DUMMYFUNCTION("""COMPUTED_VALUE"""),41705.666666666664)</f>
        <v>41705.66667</v>
      </c>
      <c r="B7135" s="1">
        <f>IFERROR(__xludf.DUMMYFUNCTION("""COMPUTED_VALUE"""),1878.52)</f>
        <v>1878.52</v>
      </c>
      <c r="C7135" s="1">
        <f>IFERROR(__xludf.DUMMYFUNCTION("""COMPUTED_VALUE"""),1883.57)</f>
        <v>1883.57</v>
      </c>
      <c r="D7135" s="1">
        <f>IFERROR(__xludf.DUMMYFUNCTION("""COMPUTED_VALUE"""),1870.56)</f>
        <v>1870.56</v>
      </c>
      <c r="E7135" s="1">
        <f>IFERROR(__xludf.DUMMYFUNCTION("""COMPUTED_VALUE"""),1878.04)</f>
        <v>1878.04</v>
      </c>
      <c r="F7135" s="1">
        <f>IFERROR(__xludf.DUMMYFUNCTION("""COMPUTED_VALUE"""),0.0)</f>
        <v>0</v>
      </c>
    </row>
    <row r="7136">
      <c r="A7136" s="2">
        <f>IFERROR(__xludf.DUMMYFUNCTION("""COMPUTED_VALUE"""),41708.666666666664)</f>
        <v>41708.66667</v>
      </c>
      <c r="B7136" s="1">
        <f>IFERROR(__xludf.DUMMYFUNCTION("""COMPUTED_VALUE"""),1877.86)</f>
        <v>1877.86</v>
      </c>
      <c r="C7136" s="1">
        <f>IFERROR(__xludf.DUMMYFUNCTION("""COMPUTED_VALUE"""),1877.87)</f>
        <v>1877.87</v>
      </c>
      <c r="D7136" s="1">
        <f>IFERROR(__xludf.DUMMYFUNCTION("""COMPUTED_VALUE"""),1867.04)</f>
        <v>1867.04</v>
      </c>
      <c r="E7136" s="1">
        <f>IFERROR(__xludf.DUMMYFUNCTION("""COMPUTED_VALUE"""),1877.17)</f>
        <v>1877.17</v>
      </c>
      <c r="F7136" s="1">
        <f>IFERROR(__xludf.DUMMYFUNCTION("""COMPUTED_VALUE"""),0.0)</f>
        <v>0</v>
      </c>
    </row>
    <row r="7137">
      <c r="A7137" s="2">
        <f>IFERROR(__xludf.DUMMYFUNCTION("""COMPUTED_VALUE"""),41709.666666666664)</f>
        <v>41709.66667</v>
      </c>
      <c r="B7137" s="1">
        <f>IFERROR(__xludf.DUMMYFUNCTION("""COMPUTED_VALUE"""),1878.26)</f>
        <v>1878.26</v>
      </c>
      <c r="C7137" s="1">
        <f>IFERROR(__xludf.DUMMYFUNCTION("""COMPUTED_VALUE"""),1882.35)</f>
        <v>1882.35</v>
      </c>
      <c r="D7137" s="1">
        <f>IFERROR(__xludf.DUMMYFUNCTION("""COMPUTED_VALUE"""),1863.88)</f>
        <v>1863.88</v>
      </c>
      <c r="E7137" s="1">
        <f>IFERROR(__xludf.DUMMYFUNCTION("""COMPUTED_VALUE"""),1867.63)</f>
        <v>1867.63</v>
      </c>
      <c r="F7137" s="1">
        <f>IFERROR(__xludf.DUMMYFUNCTION("""COMPUTED_VALUE"""),0.0)</f>
        <v>0</v>
      </c>
    </row>
    <row r="7138">
      <c r="A7138" s="2">
        <f>IFERROR(__xludf.DUMMYFUNCTION("""COMPUTED_VALUE"""),41710.666666666664)</f>
        <v>41710.66667</v>
      </c>
      <c r="B7138" s="1">
        <f>IFERROR(__xludf.DUMMYFUNCTION("""COMPUTED_VALUE"""),1866.15)</f>
        <v>1866.15</v>
      </c>
      <c r="C7138" s="1">
        <f>IFERROR(__xludf.DUMMYFUNCTION("""COMPUTED_VALUE"""),1868.38)</f>
        <v>1868.38</v>
      </c>
      <c r="D7138" s="1">
        <f>IFERROR(__xludf.DUMMYFUNCTION("""COMPUTED_VALUE"""),1854.38)</f>
        <v>1854.38</v>
      </c>
      <c r="E7138" s="1">
        <f>IFERROR(__xludf.DUMMYFUNCTION("""COMPUTED_VALUE"""),1868.2)</f>
        <v>1868.2</v>
      </c>
      <c r="F7138" s="1">
        <f>IFERROR(__xludf.DUMMYFUNCTION("""COMPUTED_VALUE"""),0.0)</f>
        <v>0</v>
      </c>
    </row>
    <row r="7139">
      <c r="A7139" s="2">
        <f>IFERROR(__xludf.DUMMYFUNCTION("""COMPUTED_VALUE"""),41711.666666666664)</f>
        <v>41711.66667</v>
      </c>
      <c r="B7139" s="1">
        <f>IFERROR(__xludf.DUMMYFUNCTION("""COMPUTED_VALUE"""),1869.06)</f>
        <v>1869.06</v>
      </c>
      <c r="C7139" s="1">
        <f>IFERROR(__xludf.DUMMYFUNCTION("""COMPUTED_VALUE"""),1874.4)</f>
        <v>1874.4</v>
      </c>
      <c r="D7139" s="1">
        <f>IFERROR(__xludf.DUMMYFUNCTION("""COMPUTED_VALUE"""),1841.86)</f>
        <v>1841.86</v>
      </c>
      <c r="E7139" s="1">
        <f>IFERROR(__xludf.DUMMYFUNCTION("""COMPUTED_VALUE"""),1846.34)</f>
        <v>1846.34</v>
      </c>
      <c r="F7139" s="1">
        <f>IFERROR(__xludf.DUMMYFUNCTION("""COMPUTED_VALUE"""),0.0)</f>
        <v>0</v>
      </c>
    </row>
    <row r="7140">
      <c r="A7140" s="2">
        <f>IFERROR(__xludf.DUMMYFUNCTION("""COMPUTED_VALUE"""),41712.666666666664)</f>
        <v>41712.66667</v>
      </c>
      <c r="B7140" s="1">
        <f>IFERROR(__xludf.DUMMYFUNCTION("""COMPUTED_VALUE"""),1845.07)</f>
        <v>1845.07</v>
      </c>
      <c r="C7140" s="1">
        <f>IFERROR(__xludf.DUMMYFUNCTION("""COMPUTED_VALUE"""),1852.44)</f>
        <v>1852.44</v>
      </c>
      <c r="D7140" s="1">
        <f>IFERROR(__xludf.DUMMYFUNCTION("""COMPUTED_VALUE"""),1839.57)</f>
        <v>1839.57</v>
      </c>
      <c r="E7140" s="1">
        <f>IFERROR(__xludf.DUMMYFUNCTION("""COMPUTED_VALUE"""),1841.13)</f>
        <v>1841.13</v>
      </c>
      <c r="F7140" s="1">
        <f>IFERROR(__xludf.DUMMYFUNCTION("""COMPUTED_VALUE"""),0.0)</f>
        <v>0</v>
      </c>
    </row>
    <row r="7141">
      <c r="A7141" s="2">
        <f>IFERROR(__xludf.DUMMYFUNCTION("""COMPUTED_VALUE"""),41715.666666666664)</f>
        <v>41715.66667</v>
      </c>
      <c r="B7141" s="1">
        <f>IFERROR(__xludf.DUMMYFUNCTION("""COMPUTED_VALUE"""),1842.81)</f>
        <v>1842.81</v>
      </c>
      <c r="C7141" s="1">
        <f>IFERROR(__xludf.DUMMYFUNCTION("""COMPUTED_VALUE"""),1862.3)</f>
        <v>1862.3</v>
      </c>
      <c r="D7141" s="1">
        <f>IFERROR(__xludf.DUMMYFUNCTION("""COMPUTED_VALUE"""),1842.81)</f>
        <v>1842.81</v>
      </c>
      <c r="E7141" s="1">
        <f>IFERROR(__xludf.DUMMYFUNCTION("""COMPUTED_VALUE"""),1858.83)</f>
        <v>1858.83</v>
      </c>
      <c r="F7141" s="1">
        <f>IFERROR(__xludf.DUMMYFUNCTION("""COMPUTED_VALUE"""),0.0)</f>
        <v>0</v>
      </c>
    </row>
    <row r="7142">
      <c r="A7142" s="2">
        <f>IFERROR(__xludf.DUMMYFUNCTION("""COMPUTED_VALUE"""),41716.666666666664)</f>
        <v>41716.66667</v>
      </c>
      <c r="B7142" s="1">
        <f>IFERROR(__xludf.DUMMYFUNCTION("""COMPUTED_VALUE"""),1858.92)</f>
        <v>1858.92</v>
      </c>
      <c r="C7142" s="1">
        <f>IFERROR(__xludf.DUMMYFUNCTION("""COMPUTED_VALUE"""),1873.76)</f>
        <v>1873.76</v>
      </c>
      <c r="D7142" s="1">
        <f>IFERROR(__xludf.DUMMYFUNCTION("""COMPUTED_VALUE"""),1858.92)</f>
        <v>1858.92</v>
      </c>
      <c r="E7142" s="1">
        <f>IFERROR(__xludf.DUMMYFUNCTION("""COMPUTED_VALUE"""),1872.25)</f>
        <v>1872.25</v>
      </c>
      <c r="F7142" s="1">
        <f>IFERROR(__xludf.DUMMYFUNCTION("""COMPUTED_VALUE"""),0.0)</f>
        <v>0</v>
      </c>
    </row>
    <row r="7143">
      <c r="A7143" s="2">
        <f>IFERROR(__xludf.DUMMYFUNCTION("""COMPUTED_VALUE"""),41717.666666666664)</f>
        <v>41717.66667</v>
      </c>
      <c r="B7143" s="1">
        <f>IFERROR(__xludf.DUMMYFUNCTION("""COMPUTED_VALUE"""),1872.25)</f>
        <v>1872.25</v>
      </c>
      <c r="C7143" s="1">
        <f>IFERROR(__xludf.DUMMYFUNCTION("""COMPUTED_VALUE"""),1874.14)</f>
        <v>1874.14</v>
      </c>
      <c r="D7143" s="1">
        <f>IFERROR(__xludf.DUMMYFUNCTION("""COMPUTED_VALUE"""),1850.35)</f>
        <v>1850.35</v>
      </c>
      <c r="E7143" s="1">
        <f>IFERROR(__xludf.DUMMYFUNCTION("""COMPUTED_VALUE"""),1860.77)</f>
        <v>1860.77</v>
      </c>
      <c r="F7143" s="1">
        <f>IFERROR(__xludf.DUMMYFUNCTION("""COMPUTED_VALUE"""),0.0)</f>
        <v>0</v>
      </c>
    </row>
    <row r="7144">
      <c r="A7144" s="2">
        <f>IFERROR(__xludf.DUMMYFUNCTION("""COMPUTED_VALUE"""),41718.666666666664)</f>
        <v>41718.66667</v>
      </c>
      <c r="B7144" s="1">
        <f>IFERROR(__xludf.DUMMYFUNCTION("""COMPUTED_VALUE"""),1860.09)</f>
        <v>1860.09</v>
      </c>
      <c r="C7144" s="1">
        <f>IFERROR(__xludf.DUMMYFUNCTION("""COMPUTED_VALUE"""),1873.49)</f>
        <v>1873.49</v>
      </c>
      <c r="D7144" s="1">
        <f>IFERROR(__xludf.DUMMYFUNCTION("""COMPUTED_VALUE"""),1854.63)</f>
        <v>1854.63</v>
      </c>
      <c r="E7144" s="1">
        <f>IFERROR(__xludf.DUMMYFUNCTION("""COMPUTED_VALUE"""),1872.01)</f>
        <v>1872.01</v>
      </c>
      <c r="F7144" s="1">
        <f>IFERROR(__xludf.DUMMYFUNCTION("""COMPUTED_VALUE"""),0.0)</f>
        <v>0</v>
      </c>
    </row>
    <row r="7145">
      <c r="A7145" s="2">
        <f>IFERROR(__xludf.DUMMYFUNCTION("""COMPUTED_VALUE"""),41719.666666666664)</f>
        <v>41719.66667</v>
      </c>
      <c r="B7145" s="1">
        <f>IFERROR(__xludf.DUMMYFUNCTION("""COMPUTED_VALUE"""),1874.53)</f>
        <v>1874.53</v>
      </c>
      <c r="C7145" s="1">
        <f>IFERROR(__xludf.DUMMYFUNCTION("""COMPUTED_VALUE"""),1883.97)</f>
        <v>1883.97</v>
      </c>
      <c r="D7145" s="1">
        <f>IFERROR(__xludf.DUMMYFUNCTION("""COMPUTED_VALUE"""),1863.46)</f>
        <v>1863.46</v>
      </c>
      <c r="E7145" s="1">
        <f>IFERROR(__xludf.DUMMYFUNCTION("""COMPUTED_VALUE"""),1866.4)</f>
        <v>1866.4</v>
      </c>
      <c r="F7145" s="1">
        <f>IFERROR(__xludf.DUMMYFUNCTION("""COMPUTED_VALUE"""),0.0)</f>
        <v>0</v>
      </c>
    </row>
    <row r="7146">
      <c r="A7146" s="2">
        <f>IFERROR(__xludf.DUMMYFUNCTION("""COMPUTED_VALUE"""),41722.666666666664)</f>
        <v>41722.66667</v>
      </c>
      <c r="B7146" s="1">
        <f>IFERROR(__xludf.DUMMYFUNCTION("""COMPUTED_VALUE"""),1867.67)</f>
        <v>1867.67</v>
      </c>
      <c r="C7146" s="1">
        <f>IFERROR(__xludf.DUMMYFUNCTION("""COMPUTED_VALUE"""),1873.34)</f>
        <v>1873.34</v>
      </c>
      <c r="D7146" s="1">
        <f>IFERROR(__xludf.DUMMYFUNCTION("""COMPUTED_VALUE"""),1849.69)</f>
        <v>1849.69</v>
      </c>
      <c r="E7146" s="1">
        <f>IFERROR(__xludf.DUMMYFUNCTION("""COMPUTED_VALUE"""),1857.44)</f>
        <v>1857.44</v>
      </c>
      <c r="F7146" s="1">
        <f>IFERROR(__xludf.DUMMYFUNCTION("""COMPUTED_VALUE"""),0.0)</f>
        <v>0</v>
      </c>
    </row>
    <row r="7147">
      <c r="A7147" s="2">
        <f>IFERROR(__xludf.DUMMYFUNCTION("""COMPUTED_VALUE"""),41723.666666666664)</f>
        <v>41723.66667</v>
      </c>
      <c r="B7147" s="1">
        <f>IFERROR(__xludf.DUMMYFUNCTION("""COMPUTED_VALUE"""),1859.48)</f>
        <v>1859.48</v>
      </c>
      <c r="C7147" s="1">
        <f>IFERROR(__xludf.DUMMYFUNCTION("""COMPUTED_VALUE"""),1871.87)</f>
        <v>1871.87</v>
      </c>
      <c r="D7147" s="1">
        <f>IFERROR(__xludf.DUMMYFUNCTION("""COMPUTED_VALUE"""),1855.96)</f>
        <v>1855.96</v>
      </c>
      <c r="E7147" s="1">
        <f>IFERROR(__xludf.DUMMYFUNCTION("""COMPUTED_VALUE"""),1865.62)</f>
        <v>1865.62</v>
      </c>
      <c r="F7147" s="1">
        <f>IFERROR(__xludf.DUMMYFUNCTION("""COMPUTED_VALUE"""),0.0)</f>
        <v>0</v>
      </c>
    </row>
    <row r="7148">
      <c r="A7148" s="2">
        <f>IFERROR(__xludf.DUMMYFUNCTION("""COMPUTED_VALUE"""),41724.666666666664)</f>
        <v>41724.66667</v>
      </c>
      <c r="B7148" s="1">
        <f>IFERROR(__xludf.DUMMYFUNCTION("""COMPUTED_VALUE"""),1867.09)</f>
        <v>1867.09</v>
      </c>
      <c r="C7148" s="1">
        <f>IFERROR(__xludf.DUMMYFUNCTION("""COMPUTED_VALUE"""),1875.92)</f>
        <v>1875.92</v>
      </c>
      <c r="D7148" s="1">
        <f>IFERROR(__xludf.DUMMYFUNCTION("""COMPUTED_VALUE"""),1852.56)</f>
        <v>1852.56</v>
      </c>
      <c r="E7148" s="1">
        <f>IFERROR(__xludf.DUMMYFUNCTION("""COMPUTED_VALUE"""),1852.56)</f>
        <v>1852.56</v>
      </c>
      <c r="F7148" s="1">
        <f>IFERROR(__xludf.DUMMYFUNCTION("""COMPUTED_VALUE"""),0.0)</f>
        <v>0</v>
      </c>
    </row>
    <row r="7149">
      <c r="A7149" s="2">
        <f>IFERROR(__xludf.DUMMYFUNCTION("""COMPUTED_VALUE"""),41725.666666666664)</f>
        <v>41725.66667</v>
      </c>
      <c r="B7149" s="1">
        <f>IFERROR(__xludf.DUMMYFUNCTION("""COMPUTED_VALUE"""),1852.11)</f>
        <v>1852.11</v>
      </c>
      <c r="C7149" s="1">
        <f>IFERROR(__xludf.DUMMYFUNCTION("""COMPUTED_VALUE"""),1855.55)</f>
        <v>1855.55</v>
      </c>
      <c r="D7149" s="1">
        <f>IFERROR(__xludf.DUMMYFUNCTION("""COMPUTED_VALUE"""),1842.11)</f>
        <v>1842.11</v>
      </c>
      <c r="E7149" s="1">
        <f>IFERROR(__xludf.DUMMYFUNCTION("""COMPUTED_VALUE"""),1849.04)</f>
        <v>1849.04</v>
      </c>
      <c r="F7149" s="1">
        <f>IFERROR(__xludf.DUMMYFUNCTION("""COMPUTED_VALUE"""),0.0)</f>
        <v>0</v>
      </c>
    </row>
    <row r="7150">
      <c r="A7150" s="2">
        <f>IFERROR(__xludf.DUMMYFUNCTION("""COMPUTED_VALUE"""),41726.666666666664)</f>
        <v>41726.66667</v>
      </c>
      <c r="B7150" s="1">
        <f>IFERROR(__xludf.DUMMYFUNCTION("""COMPUTED_VALUE"""),1850.07)</f>
        <v>1850.07</v>
      </c>
      <c r="C7150" s="1">
        <f>IFERROR(__xludf.DUMMYFUNCTION("""COMPUTED_VALUE"""),1866.63)</f>
        <v>1866.63</v>
      </c>
      <c r="D7150" s="1">
        <f>IFERROR(__xludf.DUMMYFUNCTION("""COMPUTED_VALUE"""),1850.07)</f>
        <v>1850.07</v>
      </c>
      <c r="E7150" s="1">
        <f>IFERROR(__xludf.DUMMYFUNCTION("""COMPUTED_VALUE"""),1857.62)</f>
        <v>1857.62</v>
      </c>
      <c r="F7150" s="1">
        <f>IFERROR(__xludf.DUMMYFUNCTION("""COMPUTED_VALUE"""),0.0)</f>
        <v>0</v>
      </c>
    </row>
    <row r="7151">
      <c r="A7151" s="2">
        <f>IFERROR(__xludf.DUMMYFUNCTION("""COMPUTED_VALUE"""),41729.666666666664)</f>
        <v>41729.66667</v>
      </c>
      <c r="B7151" s="1">
        <f>IFERROR(__xludf.DUMMYFUNCTION("""COMPUTED_VALUE"""),1859.16)</f>
        <v>1859.16</v>
      </c>
      <c r="C7151" s="1">
        <f>IFERROR(__xludf.DUMMYFUNCTION("""COMPUTED_VALUE"""),1875.18)</f>
        <v>1875.18</v>
      </c>
      <c r="D7151" s="1">
        <f>IFERROR(__xludf.DUMMYFUNCTION("""COMPUTED_VALUE"""),1859.16)</f>
        <v>1859.16</v>
      </c>
      <c r="E7151" s="1">
        <f>IFERROR(__xludf.DUMMYFUNCTION("""COMPUTED_VALUE"""),1872.34)</f>
        <v>1872.34</v>
      </c>
      <c r="F7151" s="1">
        <f>IFERROR(__xludf.DUMMYFUNCTION("""COMPUTED_VALUE"""),0.0)</f>
        <v>0</v>
      </c>
    </row>
    <row r="7152">
      <c r="A7152" s="2">
        <f>IFERROR(__xludf.DUMMYFUNCTION("""COMPUTED_VALUE"""),41730.666666666664)</f>
        <v>41730.66667</v>
      </c>
      <c r="B7152" s="1">
        <f>IFERROR(__xludf.DUMMYFUNCTION("""COMPUTED_VALUE"""),1873.96)</f>
        <v>1873.96</v>
      </c>
      <c r="C7152" s="1">
        <f>IFERROR(__xludf.DUMMYFUNCTION("""COMPUTED_VALUE"""),1885.84)</f>
        <v>1885.84</v>
      </c>
      <c r="D7152" s="1">
        <f>IFERROR(__xludf.DUMMYFUNCTION("""COMPUTED_VALUE"""),1873.96)</f>
        <v>1873.96</v>
      </c>
      <c r="E7152" s="1">
        <f>IFERROR(__xludf.DUMMYFUNCTION("""COMPUTED_VALUE"""),1885.52)</f>
        <v>1885.52</v>
      </c>
      <c r="F7152" s="1">
        <f>IFERROR(__xludf.DUMMYFUNCTION("""COMPUTED_VALUE"""),0.0)</f>
        <v>0</v>
      </c>
    </row>
    <row r="7153">
      <c r="A7153" s="2">
        <f>IFERROR(__xludf.DUMMYFUNCTION("""COMPUTED_VALUE"""),41731.666666666664)</f>
        <v>41731.66667</v>
      </c>
      <c r="B7153" s="1">
        <f>IFERROR(__xludf.DUMMYFUNCTION("""COMPUTED_VALUE"""),1886.61)</f>
        <v>1886.61</v>
      </c>
      <c r="C7153" s="1">
        <f>IFERROR(__xludf.DUMMYFUNCTION("""COMPUTED_VALUE"""),1893.17)</f>
        <v>1893.17</v>
      </c>
      <c r="D7153" s="1">
        <f>IFERROR(__xludf.DUMMYFUNCTION("""COMPUTED_VALUE"""),1883.79)</f>
        <v>1883.79</v>
      </c>
      <c r="E7153" s="1">
        <f>IFERROR(__xludf.DUMMYFUNCTION("""COMPUTED_VALUE"""),1890.9)</f>
        <v>1890.9</v>
      </c>
      <c r="F7153" s="1">
        <f>IFERROR(__xludf.DUMMYFUNCTION("""COMPUTED_VALUE"""),0.0)</f>
        <v>0</v>
      </c>
    </row>
    <row r="7154">
      <c r="A7154" s="2">
        <f>IFERROR(__xludf.DUMMYFUNCTION("""COMPUTED_VALUE"""),41732.666666666664)</f>
        <v>41732.66667</v>
      </c>
      <c r="B7154" s="1">
        <f>IFERROR(__xludf.DUMMYFUNCTION("""COMPUTED_VALUE"""),1891.43)</f>
        <v>1891.43</v>
      </c>
      <c r="C7154" s="1">
        <f>IFERROR(__xludf.DUMMYFUNCTION("""COMPUTED_VALUE"""),1893.8)</f>
        <v>1893.8</v>
      </c>
      <c r="D7154" s="1">
        <f>IFERROR(__xludf.DUMMYFUNCTION("""COMPUTED_VALUE"""),1882.65)</f>
        <v>1882.65</v>
      </c>
      <c r="E7154" s="1">
        <f>IFERROR(__xludf.DUMMYFUNCTION("""COMPUTED_VALUE"""),1888.77)</f>
        <v>1888.77</v>
      </c>
      <c r="F7154" s="1">
        <f>IFERROR(__xludf.DUMMYFUNCTION("""COMPUTED_VALUE"""),0.0)</f>
        <v>0</v>
      </c>
    </row>
    <row r="7155">
      <c r="A7155" s="2">
        <f>IFERROR(__xludf.DUMMYFUNCTION("""COMPUTED_VALUE"""),41733.666666666664)</f>
        <v>41733.66667</v>
      </c>
      <c r="B7155" s="1">
        <f>IFERROR(__xludf.DUMMYFUNCTION("""COMPUTED_VALUE"""),1890.25)</f>
        <v>1890.25</v>
      </c>
      <c r="C7155" s="1">
        <f>IFERROR(__xludf.DUMMYFUNCTION("""COMPUTED_VALUE"""),1897.28)</f>
        <v>1897.28</v>
      </c>
      <c r="D7155" s="1">
        <f>IFERROR(__xludf.DUMMYFUNCTION("""COMPUTED_VALUE"""),1863.26)</f>
        <v>1863.26</v>
      </c>
      <c r="E7155" s="1">
        <f>IFERROR(__xludf.DUMMYFUNCTION("""COMPUTED_VALUE"""),1865.09)</f>
        <v>1865.09</v>
      </c>
      <c r="F7155" s="1">
        <f>IFERROR(__xludf.DUMMYFUNCTION("""COMPUTED_VALUE"""),0.0)</f>
        <v>0</v>
      </c>
    </row>
    <row r="7156">
      <c r="A7156" s="2">
        <f>IFERROR(__xludf.DUMMYFUNCTION("""COMPUTED_VALUE"""),41736.666666666664)</f>
        <v>41736.66667</v>
      </c>
      <c r="B7156" s="1">
        <f>IFERROR(__xludf.DUMMYFUNCTION("""COMPUTED_VALUE"""),1863.92)</f>
        <v>1863.92</v>
      </c>
      <c r="C7156" s="1">
        <f>IFERROR(__xludf.DUMMYFUNCTION("""COMPUTED_VALUE"""),1864.04)</f>
        <v>1864.04</v>
      </c>
      <c r="D7156" s="1">
        <f>IFERROR(__xludf.DUMMYFUNCTION("""COMPUTED_VALUE"""),1841.48)</f>
        <v>1841.48</v>
      </c>
      <c r="E7156" s="1">
        <f>IFERROR(__xludf.DUMMYFUNCTION("""COMPUTED_VALUE"""),1845.04)</f>
        <v>1845.04</v>
      </c>
      <c r="F7156" s="1">
        <f>IFERROR(__xludf.DUMMYFUNCTION("""COMPUTED_VALUE"""),0.0)</f>
        <v>0</v>
      </c>
    </row>
    <row r="7157">
      <c r="A7157" s="2">
        <f>IFERROR(__xludf.DUMMYFUNCTION("""COMPUTED_VALUE"""),41737.666666666664)</f>
        <v>41737.66667</v>
      </c>
      <c r="B7157" s="1">
        <f>IFERROR(__xludf.DUMMYFUNCTION("""COMPUTED_VALUE"""),1845.48)</f>
        <v>1845.48</v>
      </c>
      <c r="C7157" s="1">
        <f>IFERROR(__xludf.DUMMYFUNCTION("""COMPUTED_VALUE"""),1854.95)</f>
        <v>1854.95</v>
      </c>
      <c r="D7157" s="1">
        <f>IFERROR(__xludf.DUMMYFUNCTION("""COMPUTED_VALUE"""),1837.49)</f>
        <v>1837.49</v>
      </c>
      <c r="E7157" s="1">
        <f>IFERROR(__xludf.DUMMYFUNCTION("""COMPUTED_VALUE"""),1851.96)</f>
        <v>1851.96</v>
      </c>
      <c r="F7157" s="1">
        <f>IFERROR(__xludf.DUMMYFUNCTION("""COMPUTED_VALUE"""),0.0)</f>
        <v>0</v>
      </c>
    </row>
    <row r="7158">
      <c r="A7158" s="2">
        <f>IFERROR(__xludf.DUMMYFUNCTION("""COMPUTED_VALUE"""),41738.666666666664)</f>
        <v>41738.66667</v>
      </c>
      <c r="B7158" s="1">
        <f>IFERROR(__xludf.DUMMYFUNCTION("""COMPUTED_VALUE"""),1852.64)</f>
        <v>1852.64</v>
      </c>
      <c r="C7158" s="1">
        <f>IFERROR(__xludf.DUMMYFUNCTION("""COMPUTED_VALUE"""),1872.43)</f>
        <v>1872.43</v>
      </c>
      <c r="D7158" s="1">
        <f>IFERROR(__xludf.DUMMYFUNCTION("""COMPUTED_VALUE"""),1852.38)</f>
        <v>1852.38</v>
      </c>
      <c r="E7158" s="1">
        <f>IFERROR(__xludf.DUMMYFUNCTION("""COMPUTED_VALUE"""),1872.18)</f>
        <v>1872.18</v>
      </c>
      <c r="F7158" s="1">
        <f>IFERROR(__xludf.DUMMYFUNCTION("""COMPUTED_VALUE"""),0.0)</f>
        <v>0</v>
      </c>
    </row>
    <row r="7159">
      <c r="A7159" s="2">
        <f>IFERROR(__xludf.DUMMYFUNCTION("""COMPUTED_VALUE"""),41739.666666666664)</f>
        <v>41739.66667</v>
      </c>
      <c r="B7159" s="1">
        <f>IFERROR(__xludf.DUMMYFUNCTION("""COMPUTED_VALUE"""),1872.28)</f>
        <v>1872.28</v>
      </c>
      <c r="C7159" s="1">
        <f>IFERROR(__xludf.DUMMYFUNCTION("""COMPUTED_VALUE"""),1872.53)</f>
        <v>1872.53</v>
      </c>
      <c r="D7159" s="1">
        <f>IFERROR(__xludf.DUMMYFUNCTION("""COMPUTED_VALUE"""),1830.87)</f>
        <v>1830.87</v>
      </c>
      <c r="E7159" s="1">
        <f>IFERROR(__xludf.DUMMYFUNCTION("""COMPUTED_VALUE"""),1833.08)</f>
        <v>1833.08</v>
      </c>
      <c r="F7159" s="1">
        <f>IFERROR(__xludf.DUMMYFUNCTION("""COMPUTED_VALUE"""),0.0)</f>
        <v>0</v>
      </c>
    </row>
    <row r="7160">
      <c r="A7160" s="2">
        <f>IFERROR(__xludf.DUMMYFUNCTION("""COMPUTED_VALUE"""),41740.666666666664)</f>
        <v>41740.66667</v>
      </c>
      <c r="B7160" s="1">
        <f>IFERROR(__xludf.DUMMYFUNCTION("""COMPUTED_VALUE"""),1830.65)</f>
        <v>1830.65</v>
      </c>
      <c r="C7160" s="1">
        <f>IFERROR(__xludf.DUMMYFUNCTION("""COMPUTED_VALUE"""),1835.07)</f>
        <v>1835.07</v>
      </c>
      <c r="D7160" s="1">
        <f>IFERROR(__xludf.DUMMYFUNCTION("""COMPUTED_VALUE"""),1814.36)</f>
        <v>1814.36</v>
      </c>
      <c r="E7160" s="1">
        <f>IFERROR(__xludf.DUMMYFUNCTION("""COMPUTED_VALUE"""),1815.69)</f>
        <v>1815.69</v>
      </c>
      <c r="F7160" s="1">
        <f>IFERROR(__xludf.DUMMYFUNCTION("""COMPUTED_VALUE"""),0.0)</f>
        <v>0</v>
      </c>
    </row>
    <row r="7161">
      <c r="A7161" s="2">
        <f>IFERROR(__xludf.DUMMYFUNCTION("""COMPUTED_VALUE"""),41743.666666666664)</f>
        <v>41743.66667</v>
      </c>
      <c r="B7161" s="1">
        <f>IFERROR(__xludf.DUMMYFUNCTION("""COMPUTED_VALUE"""),1818.18)</f>
        <v>1818.18</v>
      </c>
      <c r="C7161" s="1">
        <f>IFERROR(__xludf.DUMMYFUNCTION("""COMPUTED_VALUE"""),1834.19)</f>
        <v>1834.19</v>
      </c>
      <c r="D7161" s="1">
        <f>IFERROR(__xludf.DUMMYFUNCTION("""COMPUTED_VALUE"""),1815.8)</f>
        <v>1815.8</v>
      </c>
      <c r="E7161" s="1">
        <f>IFERROR(__xludf.DUMMYFUNCTION("""COMPUTED_VALUE"""),1830.61)</f>
        <v>1830.61</v>
      </c>
      <c r="F7161" s="1">
        <f>IFERROR(__xludf.DUMMYFUNCTION("""COMPUTED_VALUE"""),0.0)</f>
        <v>0</v>
      </c>
    </row>
    <row r="7162">
      <c r="A7162" s="2">
        <f>IFERROR(__xludf.DUMMYFUNCTION("""COMPUTED_VALUE"""),41744.666666666664)</f>
        <v>41744.66667</v>
      </c>
      <c r="B7162" s="1">
        <f>IFERROR(__xludf.DUMMYFUNCTION("""COMPUTED_VALUE"""),1831.45)</f>
        <v>1831.45</v>
      </c>
      <c r="C7162" s="1">
        <f>IFERROR(__xludf.DUMMYFUNCTION("""COMPUTED_VALUE"""),1844.02)</f>
        <v>1844.02</v>
      </c>
      <c r="D7162" s="1">
        <f>IFERROR(__xludf.DUMMYFUNCTION("""COMPUTED_VALUE"""),1816.29)</f>
        <v>1816.29</v>
      </c>
      <c r="E7162" s="1">
        <f>IFERROR(__xludf.DUMMYFUNCTION("""COMPUTED_VALUE"""),1842.98)</f>
        <v>1842.98</v>
      </c>
      <c r="F7162" s="1">
        <f>IFERROR(__xludf.DUMMYFUNCTION("""COMPUTED_VALUE"""),0.0)</f>
        <v>0</v>
      </c>
    </row>
    <row r="7163">
      <c r="A7163" s="2">
        <f>IFERROR(__xludf.DUMMYFUNCTION("""COMPUTED_VALUE"""),41745.666666666664)</f>
        <v>41745.66667</v>
      </c>
      <c r="B7163" s="1">
        <f>IFERROR(__xludf.DUMMYFUNCTION("""COMPUTED_VALUE"""),1846.01)</f>
        <v>1846.01</v>
      </c>
      <c r="C7163" s="1">
        <f>IFERROR(__xludf.DUMMYFUNCTION("""COMPUTED_VALUE"""),1862.31)</f>
        <v>1862.31</v>
      </c>
      <c r="D7163" s="1">
        <f>IFERROR(__xludf.DUMMYFUNCTION("""COMPUTED_VALUE"""),1846.01)</f>
        <v>1846.01</v>
      </c>
      <c r="E7163" s="1">
        <f>IFERROR(__xludf.DUMMYFUNCTION("""COMPUTED_VALUE"""),1862.31)</f>
        <v>1862.31</v>
      </c>
      <c r="F7163" s="1">
        <f>IFERROR(__xludf.DUMMYFUNCTION("""COMPUTED_VALUE"""),0.0)</f>
        <v>0</v>
      </c>
    </row>
    <row r="7164">
      <c r="A7164" s="2">
        <f>IFERROR(__xludf.DUMMYFUNCTION("""COMPUTED_VALUE"""),41746.666666666664)</f>
        <v>41746.66667</v>
      </c>
      <c r="B7164" s="1">
        <f>IFERROR(__xludf.DUMMYFUNCTION("""COMPUTED_VALUE"""),1861.73)</f>
        <v>1861.73</v>
      </c>
      <c r="C7164" s="1">
        <f>IFERROR(__xludf.DUMMYFUNCTION("""COMPUTED_VALUE"""),1869.63)</f>
        <v>1869.63</v>
      </c>
      <c r="D7164" s="1">
        <f>IFERROR(__xludf.DUMMYFUNCTION("""COMPUTED_VALUE"""),1856.72)</f>
        <v>1856.72</v>
      </c>
      <c r="E7164" s="1">
        <f>IFERROR(__xludf.DUMMYFUNCTION("""COMPUTED_VALUE"""),1864.85)</f>
        <v>1864.85</v>
      </c>
      <c r="F7164" s="1">
        <f>IFERROR(__xludf.DUMMYFUNCTION("""COMPUTED_VALUE"""),0.0)</f>
        <v>0</v>
      </c>
    </row>
    <row r="7165">
      <c r="A7165" s="2">
        <f>IFERROR(__xludf.DUMMYFUNCTION("""COMPUTED_VALUE"""),41750.666666666664)</f>
        <v>41750.66667</v>
      </c>
      <c r="B7165" s="1">
        <f>IFERROR(__xludf.DUMMYFUNCTION("""COMPUTED_VALUE"""),1865.79)</f>
        <v>1865.79</v>
      </c>
      <c r="C7165" s="1">
        <f>IFERROR(__xludf.DUMMYFUNCTION("""COMPUTED_VALUE"""),1871.89)</f>
        <v>1871.89</v>
      </c>
      <c r="D7165" s="1">
        <f>IFERROR(__xludf.DUMMYFUNCTION("""COMPUTED_VALUE"""),1863.18)</f>
        <v>1863.18</v>
      </c>
      <c r="E7165" s="1">
        <f>IFERROR(__xludf.DUMMYFUNCTION("""COMPUTED_VALUE"""),1871.89)</f>
        <v>1871.89</v>
      </c>
      <c r="F7165" s="1">
        <f>IFERROR(__xludf.DUMMYFUNCTION("""COMPUTED_VALUE"""),0.0)</f>
        <v>0</v>
      </c>
    </row>
    <row r="7166">
      <c r="A7166" s="2">
        <f>IFERROR(__xludf.DUMMYFUNCTION("""COMPUTED_VALUE"""),41751.666666666664)</f>
        <v>41751.66667</v>
      </c>
      <c r="B7166" s="1">
        <f>IFERROR(__xludf.DUMMYFUNCTION("""COMPUTED_VALUE"""),1872.57)</f>
        <v>1872.57</v>
      </c>
      <c r="C7166" s="1">
        <f>IFERROR(__xludf.DUMMYFUNCTION("""COMPUTED_VALUE"""),1884.89)</f>
        <v>1884.89</v>
      </c>
      <c r="D7166" s="1">
        <f>IFERROR(__xludf.DUMMYFUNCTION("""COMPUTED_VALUE"""),1872.57)</f>
        <v>1872.57</v>
      </c>
      <c r="E7166" s="1">
        <f>IFERROR(__xludf.DUMMYFUNCTION("""COMPUTED_VALUE"""),1879.55)</f>
        <v>1879.55</v>
      </c>
      <c r="F7166" s="1">
        <f>IFERROR(__xludf.DUMMYFUNCTION("""COMPUTED_VALUE"""),0.0)</f>
        <v>0</v>
      </c>
    </row>
    <row r="7167">
      <c r="A7167" s="2">
        <f>IFERROR(__xludf.DUMMYFUNCTION("""COMPUTED_VALUE"""),41752.666666666664)</f>
        <v>41752.66667</v>
      </c>
      <c r="B7167" s="1">
        <f>IFERROR(__xludf.DUMMYFUNCTION("""COMPUTED_VALUE"""),1879.32)</f>
        <v>1879.32</v>
      </c>
      <c r="C7167" s="1">
        <f>IFERROR(__xludf.DUMMYFUNCTION("""COMPUTED_VALUE"""),1879.75)</f>
        <v>1879.75</v>
      </c>
      <c r="D7167" s="1">
        <f>IFERROR(__xludf.DUMMYFUNCTION("""COMPUTED_VALUE"""),1873.91)</f>
        <v>1873.91</v>
      </c>
      <c r="E7167" s="1">
        <f>IFERROR(__xludf.DUMMYFUNCTION("""COMPUTED_VALUE"""),1875.39)</f>
        <v>1875.39</v>
      </c>
      <c r="F7167" s="1">
        <f>IFERROR(__xludf.DUMMYFUNCTION("""COMPUTED_VALUE"""),0.0)</f>
        <v>0</v>
      </c>
    </row>
    <row r="7168">
      <c r="A7168" s="2">
        <f>IFERROR(__xludf.DUMMYFUNCTION("""COMPUTED_VALUE"""),41753.666666666664)</f>
        <v>41753.66667</v>
      </c>
      <c r="B7168" s="1">
        <f>IFERROR(__xludf.DUMMYFUNCTION("""COMPUTED_VALUE"""),1881.97)</f>
        <v>1881.97</v>
      </c>
      <c r="C7168" s="1">
        <f>IFERROR(__xludf.DUMMYFUNCTION("""COMPUTED_VALUE"""),1884.06)</f>
        <v>1884.06</v>
      </c>
      <c r="D7168" s="1">
        <f>IFERROR(__xludf.DUMMYFUNCTION("""COMPUTED_VALUE"""),1870.24)</f>
        <v>1870.24</v>
      </c>
      <c r="E7168" s="1">
        <f>IFERROR(__xludf.DUMMYFUNCTION("""COMPUTED_VALUE"""),1878.61)</f>
        <v>1878.61</v>
      </c>
      <c r="F7168" s="1">
        <f>IFERROR(__xludf.DUMMYFUNCTION("""COMPUTED_VALUE"""),0.0)</f>
        <v>0</v>
      </c>
    </row>
    <row r="7169">
      <c r="A7169" s="2">
        <f>IFERROR(__xludf.DUMMYFUNCTION("""COMPUTED_VALUE"""),41754.666666666664)</f>
        <v>41754.66667</v>
      </c>
      <c r="B7169" s="1">
        <f>IFERROR(__xludf.DUMMYFUNCTION("""COMPUTED_VALUE"""),1877.72)</f>
        <v>1877.72</v>
      </c>
      <c r="C7169" s="1">
        <f>IFERROR(__xludf.DUMMYFUNCTION("""COMPUTED_VALUE"""),1877.72)</f>
        <v>1877.72</v>
      </c>
      <c r="D7169" s="1">
        <f>IFERROR(__xludf.DUMMYFUNCTION("""COMPUTED_VALUE"""),1859.7)</f>
        <v>1859.7</v>
      </c>
      <c r="E7169" s="1">
        <f>IFERROR(__xludf.DUMMYFUNCTION("""COMPUTED_VALUE"""),1863.4)</f>
        <v>1863.4</v>
      </c>
      <c r="F7169" s="1">
        <f>IFERROR(__xludf.DUMMYFUNCTION("""COMPUTED_VALUE"""),0.0)</f>
        <v>0</v>
      </c>
    </row>
    <row r="7170">
      <c r="A7170" s="2">
        <f>IFERROR(__xludf.DUMMYFUNCTION("""COMPUTED_VALUE"""),41757.666666666664)</f>
        <v>41757.66667</v>
      </c>
      <c r="B7170" s="1">
        <f>IFERROR(__xludf.DUMMYFUNCTION("""COMPUTED_VALUE"""),1865.0)</f>
        <v>1865</v>
      </c>
      <c r="C7170" s="1">
        <f>IFERROR(__xludf.DUMMYFUNCTION("""COMPUTED_VALUE"""),1877.01)</f>
        <v>1877.01</v>
      </c>
      <c r="D7170" s="1">
        <f>IFERROR(__xludf.DUMMYFUNCTION("""COMPUTED_VALUE"""),1850.61)</f>
        <v>1850.61</v>
      </c>
      <c r="E7170" s="1">
        <f>IFERROR(__xludf.DUMMYFUNCTION("""COMPUTED_VALUE"""),1869.43)</f>
        <v>1869.43</v>
      </c>
      <c r="F7170" s="1">
        <f>IFERROR(__xludf.DUMMYFUNCTION("""COMPUTED_VALUE"""),0.0)</f>
        <v>0</v>
      </c>
    </row>
    <row r="7171">
      <c r="A7171" s="2">
        <f>IFERROR(__xludf.DUMMYFUNCTION("""COMPUTED_VALUE"""),41758.666666666664)</f>
        <v>41758.66667</v>
      </c>
      <c r="B7171" s="1">
        <f>IFERROR(__xludf.DUMMYFUNCTION("""COMPUTED_VALUE"""),1870.78)</f>
        <v>1870.78</v>
      </c>
      <c r="C7171" s="1">
        <f>IFERROR(__xludf.DUMMYFUNCTION("""COMPUTED_VALUE"""),1880.6)</f>
        <v>1880.6</v>
      </c>
      <c r="D7171" s="1">
        <f>IFERROR(__xludf.DUMMYFUNCTION("""COMPUTED_VALUE"""),1870.78)</f>
        <v>1870.78</v>
      </c>
      <c r="E7171" s="1">
        <f>IFERROR(__xludf.DUMMYFUNCTION("""COMPUTED_VALUE"""),1878.33)</f>
        <v>1878.33</v>
      </c>
      <c r="F7171" s="1">
        <f>IFERROR(__xludf.DUMMYFUNCTION("""COMPUTED_VALUE"""),0.0)</f>
        <v>0</v>
      </c>
    </row>
    <row r="7172">
      <c r="A7172" s="2">
        <f>IFERROR(__xludf.DUMMYFUNCTION("""COMPUTED_VALUE"""),41759.666666666664)</f>
        <v>41759.66667</v>
      </c>
      <c r="B7172" s="1">
        <f>IFERROR(__xludf.DUMMYFUNCTION("""COMPUTED_VALUE"""),1877.1)</f>
        <v>1877.1</v>
      </c>
      <c r="C7172" s="1">
        <f>IFERROR(__xludf.DUMMYFUNCTION("""COMPUTED_VALUE"""),1885.2)</f>
        <v>1885.2</v>
      </c>
      <c r="D7172" s="1">
        <f>IFERROR(__xludf.DUMMYFUNCTION("""COMPUTED_VALUE"""),1872.69)</f>
        <v>1872.69</v>
      </c>
      <c r="E7172" s="1">
        <f>IFERROR(__xludf.DUMMYFUNCTION("""COMPUTED_VALUE"""),1883.95)</f>
        <v>1883.95</v>
      </c>
      <c r="F7172" s="1">
        <f>IFERROR(__xludf.DUMMYFUNCTION("""COMPUTED_VALUE"""),0.0)</f>
        <v>0</v>
      </c>
    </row>
    <row r="7173">
      <c r="A7173" s="2">
        <f>IFERROR(__xludf.DUMMYFUNCTION("""COMPUTED_VALUE"""),41760.666666666664)</f>
        <v>41760.66667</v>
      </c>
      <c r="B7173" s="1">
        <f>IFERROR(__xludf.DUMMYFUNCTION("""COMPUTED_VALUE"""),1884.39)</f>
        <v>1884.39</v>
      </c>
      <c r="C7173" s="1">
        <f>IFERROR(__xludf.DUMMYFUNCTION("""COMPUTED_VALUE"""),1888.59)</f>
        <v>1888.59</v>
      </c>
      <c r="D7173" s="1">
        <f>IFERROR(__xludf.DUMMYFUNCTION("""COMPUTED_VALUE"""),1878.04)</f>
        <v>1878.04</v>
      </c>
      <c r="E7173" s="1">
        <f>IFERROR(__xludf.DUMMYFUNCTION("""COMPUTED_VALUE"""),1883.68)</f>
        <v>1883.68</v>
      </c>
      <c r="F7173" s="1">
        <f>IFERROR(__xludf.DUMMYFUNCTION("""COMPUTED_VALUE"""),0.0)</f>
        <v>0</v>
      </c>
    </row>
    <row r="7174">
      <c r="A7174" s="2">
        <f>IFERROR(__xludf.DUMMYFUNCTION("""COMPUTED_VALUE"""),41761.666666666664)</f>
        <v>41761.66667</v>
      </c>
      <c r="B7174" s="1">
        <f>IFERROR(__xludf.DUMMYFUNCTION("""COMPUTED_VALUE"""),1885.3)</f>
        <v>1885.3</v>
      </c>
      <c r="C7174" s="1">
        <f>IFERROR(__xludf.DUMMYFUNCTION("""COMPUTED_VALUE"""),1891.33)</f>
        <v>1891.33</v>
      </c>
      <c r="D7174" s="1">
        <f>IFERROR(__xludf.DUMMYFUNCTION("""COMPUTED_VALUE"""),1878.5)</f>
        <v>1878.5</v>
      </c>
      <c r="E7174" s="1">
        <f>IFERROR(__xludf.DUMMYFUNCTION("""COMPUTED_VALUE"""),1881.14)</f>
        <v>1881.14</v>
      </c>
      <c r="F7174" s="1">
        <f>IFERROR(__xludf.DUMMYFUNCTION("""COMPUTED_VALUE"""),0.0)</f>
        <v>0</v>
      </c>
    </row>
    <row r="7175">
      <c r="A7175" s="2">
        <f>IFERROR(__xludf.DUMMYFUNCTION("""COMPUTED_VALUE"""),41764.666666666664)</f>
        <v>41764.66667</v>
      </c>
      <c r="B7175" s="1">
        <f>IFERROR(__xludf.DUMMYFUNCTION("""COMPUTED_VALUE"""),1879.45)</f>
        <v>1879.45</v>
      </c>
      <c r="C7175" s="1">
        <f>IFERROR(__xludf.DUMMYFUNCTION("""COMPUTED_VALUE"""),1885.51)</f>
        <v>1885.51</v>
      </c>
      <c r="D7175" s="1">
        <f>IFERROR(__xludf.DUMMYFUNCTION("""COMPUTED_VALUE"""),1866.77)</f>
        <v>1866.77</v>
      </c>
      <c r="E7175" s="1">
        <f>IFERROR(__xludf.DUMMYFUNCTION("""COMPUTED_VALUE"""),1884.66)</f>
        <v>1884.66</v>
      </c>
      <c r="F7175" s="1">
        <f>IFERROR(__xludf.DUMMYFUNCTION("""COMPUTED_VALUE"""),0.0)</f>
        <v>0</v>
      </c>
    </row>
    <row r="7176">
      <c r="A7176" s="2">
        <f>IFERROR(__xludf.DUMMYFUNCTION("""COMPUTED_VALUE"""),41765.666666666664)</f>
        <v>41765.66667</v>
      </c>
      <c r="B7176" s="1">
        <f>IFERROR(__xludf.DUMMYFUNCTION("""COMPUTED_VALUE"""),1883.69)</f>
        <v>1883.69</v>
      </c>
      <c r="C7176" s="1">
        <f>IFERROR(__xludf.DUMMYFUNCTION("""COMPUTED_VALUE"""),1883.69)</f>
        <v>1883.69</v>
      </c>
      <c r="D7176" s="1">
        <f>IFERROR(__xludf.DUMMYFUNCTION("""COMPUTED_VALUE"""),1867.72)</f>
        <v>1867.72</v>
      </c>
      <c r="E7176" s="1">
        <f>IFERROR(__xludf.DUMMYFUNCTION("""COMPUTED_VALUE"""),1867.72)</f>
        <v>1867.72</v>
      </c>
      <c r="F7176" s="1">
        <f>IFERROR(__xludf.DUMMYFUNCTION("""COMPUTED_VALUE"""),0.0)</f>
        <v>0</v>
      </c>
    </row>
    <row r="7177">
      <c r="A7177" s="2">
        <f>IFERROR(__xludf.DUMMYFUNCTION("""COMPUTED_VALUE"""),41766.666666666664)</f>
        <v>41766.66667</v>
      </c>
      <c r="B7177" s="1">
        <f>IFERROR(__xludf.DUMMYFUNCTION("""COMPUTED_VALUE"""),1868.53)</f>
        <v>1868.53</v>
      </c>
      <c r="C7177" s="1">
        <f>IFERROR(__xludf.DUMMYFUNCTION("""COMPUTED_VALUE"""),1878.83)</f>
        <v>1878.83</v>
      </c>
      <c r="D7177" s="1">
        <f>IFERROR(__xludf.DUMMYFUNCTION("""COMPUTED_VALUE"""),1859.79)</f>
        <v>1859.79</v>
      </c>
      <c r="E7177" s="1">
        <f>IFERROR(__xludf.DUMMYFUNCTION("""COMPUTED_VALUE"""),1878.21)</f>
        <v>1878.21</v>
      </c>
      <c r="F7177" s="1">
        <f>IFERROR(__xludf.DUMMYFUNCTION("""COMPUTED_VALUE"""),0.0)</f>
        <v>0</v>
      </c>
    </row>
    <row r="7178">
      <c r="A7178" s="2">
        <f>IFERROR(__xludf.DUMMYFUNCTION("""COMPUTED_VALUE"""),41767.666666666664)</f>
        <v>41767.66667</v>
      </c>
      <c r="B7178" s="1">
        <f>IFERROR(__xludf.DUMMYFUNCTION("""COMPUTED_VALUE"""),1877.39)</f>
        <v>1877.39</v>
      </c>
      <c r="C7178" s="1">
        <f>IFERROR(__xludf.DUMMYFUNCTION("""COMPUTED_VALUE"""),1889.07)</f>
        <v>1889.07</v>
      </c>
      <c r="D7178" s="1">
        <f>IFERROR(__xludf.DUMMYFUNCTION("""COMPUTED_VALUE"""),1870.05)</f>
        <v>1870.05</v>
      </c>
      <c r="E7178" s="1">
        <f>IFERROR(__xludf.DUMMYFUNCTION("""COMPUTED_VALUE"""),1875.63)</f>
        <v>1875.63</v>
      </c>
      <c r="F7178" s="1">
        <f>IFERROR(__xludf.DUMMYFUNCTION("""COMPUTED_VALUE"""),0.0)</f>
        <v>0</v>
      </c>
    </row>
    <row r="7179">
      <c r="A7179" s="2">
        <f>IFERROR(__xludf.DUMMYFUNCTION("""COMPUTED_VALUE"""),41768.666666666664)</f>
        <v>41768.66667</v>
      </c>
      <c r="B7179" s="1">
        <f>IFERROR(__xludf.DUMMYFUNCTION("""COMPUTED_VALUE"""),1875.27)</f>
        <v>1875.27</v>
      </c>
      <c r="C7179" s="1">
        <f>IFERROR(__xludf.DUMMYFUNCTION("""COMPUTED_VALUE"""),1878.57)</f>
        <v>1878.57</v>
      </c>
      <c r="D7179" s="1">
        <f>IFERROR(__xludf.DUMMYFUNCTION("""COMPUTED_VALUE"""),1867.02)</f>
        <v>1867.02</v>
      </c>
      <c r="E7179" s="1">
        <f>IFERROR(__xludf.DUMMYFUNCTION("""COMPUTED_VALUE"""),1878.48)</f>
        <v>1878.48</v>
      </c>
      <c r="F7179" s="1">
        <f>IFERROR(__xludf.DUMMYFUNCTION("""COMPUTED_VALUE"""),0.0)</f>
        <v>0</v>
      </c>
    </row>
    <row r="7180">
      <c r="A7180" s="2">
        <f>IFERROR(__xludf.DUMMYFUNCTION("""COMPUTED_VALUE"""),41771.666666666664)</f>
        <v>41771.66667</v>
      </c>
      <c r="B7180" s="1">
        <f>IFERROR(__xludf.DUMMYFUNCTION("""COMPUTED_VALUE"""),1880.03)</f>
        <v>1880.03</v>
      </c>
      <c r="C7180" s="1">
        <f>IFERROR(__xludf.DUMMYFUNCTION("""COMPUTED_VALUE"""),1897.13)</f>
        <v>1897.13</v>
      </c>
      <c r="D7180" s="1">
        <f>IFERROR(__xludf.DUMMYFUNCTION("""COMPUTED_VALUE"""),1880.03)</f>
        <v>1880.03</v>
      </c>
      <c r="E7180" s="1">
        <f>IFERROR(__xludf.DUMMYFUNCTION("""COMPUTED_VALUE"""),1896.65)</f>
        <v>1896.65</v>
      </c>
      <c r="F7180" s="1">
        <f>IFERROR(__xludf.DUMMYFUNCTION("""COMPUTED_VALUE"""),0.0)</f>
        <v>0</v>
      </c>
    </row>
    <row r="7181">
      <c r="A7181" s="2">
        <f>IFERROR(__xludf.DUMMYFUNCTION("""COMPUTED_VALUE"""),41772.666666666664)</f>
        <v>41772.66667</v>
      </c>
      <c r="B7181" s="1">
        <f>IFERROR(__xludf.DUMMYFUNCTION("""COMPUTED_VALUE"""),1896.75)</f>
        <v>1896.75</v>
      </c>
      <c r="C7181" s="1">
        <f>IFERROR(__xludf.DUMMYFUNCTION("""COMPUTED_VALUE"""),1902.17)</f>
        <v>1902.17</v>
      </c>
      <c r="D7181" s="1">
        <f>IFERROR(__xludf.DUMMYFUNCTION("""COMPUTED_VALUE"""),1896.06)</f>
        <v>1896.06</v>
      </c>
      <c r="E7181" s="1">
        <f>IFERROR(__xludf.DUMMYFUNCTION("""COMPUTED_VALUE"""),1897.45)</f>
        <v>1897.45</v>
      </c>
      <c r="F7181" s="1">
        <f>IFERROR(__xludf.DUMMYFUNCTION("""COMPUTED_VALUE"""),0.0)</f>
        <v>0</v>
      </c>
    </row>
    <row r="7182">
      <c r="A7182" s="2">
        <f>IFERROR(__xludf.DUMMYFUNCTION("""COMPUTED_VALUE"""),41773.666666666664)</f>
        <v>41773.66667</v>
      </c>
      <c r="B7182" s="1">
        <f>IFERROR(__xludf.DUMMYFUNCTION("""COMPUTED_VALUE"""),1897.13)</f>
        <v>1897.13</v>
      </c>
      <c r="C7182" s="1">
        <f>IFERROR(__xludf.DUMMYFUNCTION("""COMPUTED_VALUE"""),1897.13)</f>
        <v>1897.13</v>
      </c>
      <c r="D7182" s="1">
        <f>IFERROR(__xludf.DUMMYFUNCTION("""COMPUTED_VALUE"""),1885.77)</f>
        <v>1885.77</v>
      </c>
      <c r="E7182" s="1">
        <f>IFERROR(__xludf.DUMMYFUNCTION("""COMPUTED_VALUE"""),1888.53)</f>
        <v>1888.53</v>
      </c>
      <c r="F7182" s="1">
        <f>IFERROR(__xludf.DUMMYFUNCTION("""COMPUTED_VALUE"""),0.0)</f>
        <v>0</v>
      </c>
    </row>
    <row r="7183">
      <c r="A7183" s="2">
        <f>IFERROR(__xludf.DUMMYFUNCTION("""COMPUTED_VALUE"""),41774.666666666664)</f>
        <v>41774.66667</v>
      </c>
      <c r="B7183" s="1">
        <f>IFERROR(__xludf.DUMMYFUNCTION("""COMPUTED_VALUE"""),1888.16)</f>
        <v>1888.16</v>
      </c>
      <c r="C7183" s="1">
        <f>IFERROR(__xludf.DUMMYFUNCTION("""COMPUTED_VALUE"""),1888.16)</f>
        <v>1888.16</v>
      </c>
      <c r="D7183" s="1">
        <f>IFERROR(__xludf.DUMMYFUNCTION("""COMPUTED_VALUE"""),1862.36)</f>
        <v>1862.36</v>
      </c>
      <c r="E7183" s="1">
        <f>IFERROR(__xludf.DUMMYFUNCTION("""COMPUTED_VALUE"""),1870.85)</f>
        <v>1870.85</v>
      </c>
      <c r="F7183" s="1">
        <f>IFERROR(__xludf.DUMMYFUNCTION("""COMPUTED_VALUE"""),0.0)</f>
        <v>0</v>
      </c>
    </row>
    <row r="7184">
      <c r="A7184" s="2">
        <f>IFERROR(__xludf.DUMMYFUNCTION("""COMPUTED_VALUE"""),41775.666666666664)</f>
        <v>41775.66667</v>
      </c>
      <c r="B7184" s="1">
        <f>IFERROR(__xludf.DUMMYFUNCTION("""COMPUTED_VALUE"""),1871.19)</f>
        <v>1871.19</v>
      </c>
      <c r="C7184" s="1">
        <f>IFERROR(__xludf.DUMMYFUNCTION("""COMPUTED_VALUE"""),1878.28)</f>
        <v>1878.28</v>
      </c>
      <c r="D7184" s="1">
        <f>IFERROR(__xludf.DUMMYFUNCTION("""COMPUTED_VALUE"""),1864.82)</f>
        <v>1864.82</v>
      </c>
      <c r="E7184" s="1">
        <f>IFERROR(__xludf.DUMMYFUNCTION("""COMPUTED_VALUE"""),1877.86)</f>
        <v>1877.86</v>
      </c>
      <c r="F7184" s="1">
        <f>IFERROR(__xludf.DUMMYFUNCTION("""COMPUTED_VALUE"""),0.0)</f>
        <v>0</v>
      </c>
    </row>
    <row r="7185">
      <c r="A7185" s="2">
        <f>IFERROR(__xludf.DUMMYFUNCTION("""COMPUTED_VALUE"""),41778.666666666664)</f>
        <v>41778.66667</v>
      </c>
      <c r="B7185" s="1">
        <f>IFERROR(__xludf.DUMMYFUNCTION("""COMPUTED_VALUE"""),1876.66)</f>
        <v>1876.66</v>
      </c>
      <c r="C7185" s="1">
        <f>IFERROR(__xludf.DUMMYFUNCTION("""COMPUTED_VALUE"""),1886.0)</f>
        <v>1886</v>
      </c>
      <c r="D7185" s="1">
        <f>IFERROR(__xludf.DUMMYFUNCTION("""COMPUTED_VALUE"""),1872.42)</f>
        <v>1872.42</v>
      </c>
      <c r="E7185" s="1">
        <f>IFERROR(__xludf.DUMMYFUNCTION("""COMPUTED_VALUE"""),1885.08)</f>
        <v>1885.08</v>
      </c>
      <c r="F7185" s="1">
        <f>IFERROR(__xludf.DUMMYFUNCTION("""COMPUTED_VALUE"""),0.0)</f>
        <v>0</v>
      </c>
    </row>
    <row r="7186">
      <c r="A7186" s="2">
        <f>IFERROR(__xludf.DUMMYFUNCTION("""COMPUTED_VALUE"""),41779.666666666664)</f>
        <v>41779.66667</v>
      </c>
      <c r="B7186" s="1">
        <f>IFERROR(__xludf.DUMMYFUNCTION("""COMPUTED_VALUE"""),1884.88)</f>
        <v>1884.88</v>
      </c>
      <c r="C7186" s="1">
        <f>IFERROR(__xludf.DUMMYFUNCTION("""COMPUTED_VALUE"""),1884.88)</f>
        <v>1884.88</v>
      </c>
      <c r="D7186" s="1">
        <f>IFERROR(__xludf.DUMMYFUNCTION("""COMPUTED_VALUE"""),1868.14)</f>
        <v>1868.14</v>
      </c>
      <c r="E7186" s="1">
        <f>IFERROR(__xludf.DUMMYFUNCTION("""COMPUTED_VALUE"""),1872.83)</f>
        <v>1872.83</v>
      </c>
      <c r="F7186" s="1">
        <f>IFERROR(__xludf.DUMMYFUNCTION("""COMPUTED_VALUE"""),0.0)</f>
        <v>0</v>
      </c>
    </row>
    <row r="7187">
      <c r="A7187" s="2">
        <f>IFERROR(__xludf.DUMMYFUNCTION("""COMPUTED_VALUE"""),41780.666666666664)</f>
        <v>41780.66667</v>
      </c>
      <c r="B7187" s="1">
        <f>IFERROR(__xludf.DUMMYFUNCTION("""COMPUTED_VALUE"""),1873.34)</f>
        <v>1873.34</v>
      </c>
      <c r="C7187" s="1">
        <f>IFERROR(__xludf.DUMMYFUNCTION("""COMPUTED_VALUE"""),1888.8)</f>
        <v>1888.8</v>
      </c>
      <c r="D7187" s="1">
        <f>IFERROR(__xludf.DUMMYFUNCTION("""COMPUTED_VALUE"""),1873.34)</f>
        <v>1873.34</v>
      </c>
      <c r="E7187" s="1">
        <f>IFERROR(__xludf.DUMMYFUNCTION("""COMPUTED_VALUE"""),1888.03)</f>
        <v>1888.03</v>
      </c>
      <c r="F7187" s="1">
        <f>IFERROR(__xludf.DUMMYFUNCTION("""COMPUTED_VALUE"""),0.0)</f>
        <v>0</v>
      </c>
    </row>
    <row r="7188">
      <c r="A7188" s="2">
        <f>IFERROR(__xludf.DUMMYFUNCTION("""COMPUTED_VALUE"""),41781.666666666664)</f>
        <v>41781.66667</v>
      </c>
      <c r="B7188" s="1">
        <f>IFERROR(__xludf.DUMMYFUNCTION("""COMPUTED_VALUE"""),1888.19)</f>
        <v>1888.19</v>
      </c>
      <c r="C7188" s="1">
        <f>IFERROR(__xludf.DUMMYFUNCTION("""COMPUTED_VALUE"""),1896.33)</f>
        <v>1896.33</v>
      </c>
      <c r="D7188" s="1">
        <f>IFERROR(__xludf.DUMMYFUNCTION("""COMPUTED_VALUE"""),1885.39)</f>
        <v>1885.39</v>
      </c>
      <c r="E7188" s="1">
        <f>IFERROR(__xludf.DUMMYFUNCTION("""COMPUTED_VALUE"""),1892.49)</f>
        <v>1892.49</v>
      </c>
      <c r="F7188" s="1">
        <f>IFERROR(__xludf.DUMMYFUNCTION("""COMPUTED_VALUE"""),0.0)</f>
        <v>0</v>
      </c>
    </row>
    <row r="7189">
      <c r="A7189" s="2">
        <f>IFERROR(__xludf.DUMMYFUNCTION("""COMPUTED_VALUE"""),41782.666666666664)</f>
        <v>41782.66667</v>
      </c>
      <c r="B7189" s="1">
        <f>IFERROR(__xludf.DUMMYFUNCTION("""COMPUTED_VALUE"""),1893.32)</f>
        <v>1893.32</v>
      </c>
      <c r="C7189" s="1">
        <f>IFERROR(__xludf.DUMMYFUNCTION("""COMPUTED_VALUE"""),1901.26)</f>
        <v>1901.26</v>
      </c>
      <c r="D7189" s="1">
        <f>IFERROR(__xludf.DUMMYFUNCTION("""COMPUTED_VALUE"""),1893.32)</f>
        <v>1893.32</v>
      </c>
      <c r="E7189" s="1">
        <f>IFERROR(__xludf.DUMMYFUNCTION("""COMPUTED_VALUE"""),1900.53)</f>
        <v>1900.53</v>
      </c>
      <c r="F7189" s="1">
        <f>IFERROR(__xludf.DUMMYFUNCTION("""COMPUTED_VALUE"""),0.0)</f>
        <v>0</v>
      </c>
    </row>
    <row r="7190">
      <c r="A7190" s="2">
        <f>IFERROR(__xludf.DUMMYFUNCTION("""COMPUTED_VALUE"""),41786.666666666664)</f>
        <v>41786.66667</v>
      </c>
      <c r="B7190" s="1">
        <f>IFERROR(__xludf.DUMMYFUNCTION("""COMPUTED_VALUE"""),1902.01)</f>
        <v>1902.01</v>
      </c>
      <c r="C7190" s="1">
        <f>IFERROR(__xludf.DUMMYFUNCTION("""COMPUTED_VALUE"""),1912.28)</f>
        <v>1912.28</v>
      </c>
      <c r="D7190" s="1">
        <f>IFERROR(__xludf.DUMMYFUNCTION("""COMPUTED_VALUE"""),1902.01)</f>
        <v>1902.01</v>
      </c>
      <c r="E7190" s="1">
        <f>IFERROR(__xludf.DUMMYFUNCTION("""COMPUTED_VALUE"""),1911.91)</f>
        <v>1911.91</v>
      </c>
      <c r="F7190" s="1">
        <f>IFERROR(__xludf.DUMMYFUNCTION("""COMPUTED_VALUE"""),0.0)</f>
        <v>0</v>
      </c>
    </row>
    <row r="7191">
      <c r="A7191" s="2">
        <f>IFERROR(__xludf.DUMMYFUNCTION("""COMPUTED_VALUE"""),41787.666666666664)</f>
        <v>41787.66667</v>
      </c>
      <c r="B7191" s="1">
        <f>IFERROR(__xludf.DUMMYFUNCTION("""COMPUTED_VALUE"""),1911.77)</f>
        <v>1911.77</v>
      </c>
      <c r="C7191" s="1">
        <f>IFERROR(__xludf.DUMMYFUNCTION("""COMPUTED_VALUE"""),1914.46)</f>
        <v>1914.46</v>
      </c>
      <c r="D7191" s="1">
        <f>IFERROR(__xludf.DUMMYFUNCTION("""COMPUTED_VALUE"""),1907.3)</f>
        <v>1907.3</v>
      </c>
      <c r="E7191" s="1">
        <f>IFERROR(__xludf.DUMMYFUNCTION("""COMPUTED_VALUE"""),1909.78)</f>
        <v>1909.78</v>
      </c>
      <c r="F7191" s="1">
        <f>IFERROR(__xludf.DUMMYFUNCTION("""COMPUTED_VALUE"""),0.0)</f>
        <v>0</v>
      </c>
    </row>
    <row r="7192">
      <c r="A7192" s="2">
        <f>IFERROR(__xludf.DUMMYFUNCTION("""COMPUTED_VALUE"""),41788.666666666664)</f>
        <v>41788.66667</v>
      </c>
      <c r="B7192" s="1">
        <f>IFERROR(__xludf.DUMMYFUNCTION("""COMPUTED_VALUE"""),1910.6)</f>
        <v>1910.6</v>
      </c>
      <c r="C7192" s="1">
        <f>IFERROR(__xludf.DUMMYFUNCTION("""COMPUTED_VALUE"""),1920.03)</f>
        <v>1920.03</v>
      </c>
      <c r="D7192" s="1">
        <f>IFERROR(__xludf.DUMMYFUNCTION("""COMPUTED_VALUE"""),1909.82)</f>
        <v>1909.82</v>
      </c>
      <c r="E7192" s="1">
        <f>IFERROR(__xludf.DUMMYFUNCTION("""COMPUTED_VALUE"""),1920.03)</f>
        <v>1920.03</v>
      </c>
      <c r="F7192" s="1">
        <f>IFERROR(__xludf.DUMMYFUNCTION("""COMPUTED_VALUE"""),0.0)</f>
        <v>0</v>
      </c>
    </row>
    <row r="7193">
      <c r="A7193" s="2">
        <f>IFERROR(__xludf.DUMMYFUNCTION("""COMPUTED_VALUE"""),41789.666666666664)</f>
        <v>41789.66667</v>
      </c>
      <c r="B7193" s="1">
        <f>IFERROR(__xludf.DUMMYFUNCTION("""COMPUTED_VALUE"""),1920.33)</f>
        <v>1920.33</v>
      </c>
      <c r="C7193" s="1">
        <f>IFERROR(__xludf.DUMMYFUNCTION("""COMPUTED_VALUE"""),1924.03)</f>
        <v>1924.03</v>
      </c>
      <c r="D7193" s="1">
        <f>IFERROR(__xludf.DUMMYFUNCTION("""COMPUTED_VALUE"""),1916.64)</f>
        <v>1916.64</v>
      </c>
      <c r="E7193" s="1">
        <f>IFERROR(__xludf.DUMMYFUNCTION("""COMPUTED_VALUE"""),1923.57)</f>
        <v>1923.57</v>
      </c>
      <c r="F7193" s="1">
        <f>IFERROR(__xludf.DUMMYFUNCTION("""COMPUTED_VALUE"""),0.0)</f>
        <v>0</v>
      </c>
    </row>
    <row r="7194">
      <c r="A7194" s="2">
        <f>IFERROR(__xludf.DUMMYFUNCTION("""COMPUTED_VALUE"""),41792.666666666664)</f>
        <v>41792.66667</v>
      </c>
      <c r="B7194" s="1">
        <f>IFERROR(__xludf.DUMMYFUNCTION("""COMPUTED_VALUE"""),1923.87)</f>
        <v>1923.87</v>
      </c>
      <c r="C7194" s="1">
        <f>IFERROR(__xludf.DUMMYFUNCTION("""COMPUTED_VALUE"""),1925.88)</f>
        <v>1925.88</v>
      </c>
      <c r="D7194" s="1">
        <f>IFERROR(__xludf.DUMMYFUNCTION("""COMPUTED_VALUE"""),1915.98)</f>
        <v>1915.98</v>
      </c>
      <c r="E7194" s="1">
        <f>IFERROR(__xludf.DUMMYFUNCTION("""COMPUTED_VALUE"""),1924.97)</f>
        <v>1924.97</v>
      </c>
      <c r="F7194" s="1">
        <f>IFERROR(__xludf.DUMMYFUNCTION("""COMPUTED_VALUE"""),0.0)</f>
        <v>0</v>
      </c>
    </row>
    <row r="7195">
      <c r="A7195" s="2">
        <f>IFERROR(__xludf.DUMMYFUNCTION("""COMPUTED_VALUE"""),41793.666666666664)</f>
        <v>41793.66667</v>
      </c>
      <c r="B7195" s="1">
        <f>IFERROR(__xludf.DUMMYFUNCTION("""COMPUTED_VALUE"""),1923.07)</f>
        <v>1923.07</v>
      </c>
      <c r="C7195" s="1">
        <f>IFERROR(__xludf.DUMMYFUNCTION("""COMPUTED_VALUE"""),1925.07)</f>
        <v>1925.07</v>
      </c>
      <c r="D7195" s="1">
        <f>IFERROR(__xludf.DUMMYFUNCTION("""COMPUTED_VALUE"""),1918.79)</f>
        <v>1918.79</v>
      </c>
      <c r="E7195" s="1">
        <f>IFERROR(__xludf.DUMMYFUNCTION("""COMPUTED_VALUE"""),1924.24)</f>
        <v>1924.24</v>
      </c>
      <c r="F7195" s="1">
        <f>IFERROR(__xludf.DUMMYFUNCTION("""COMPUTED_VALUE"""),0.0)</f>
        <v>0</v>
      </c>
    </row>
    <row r="7196">
      <c r="A7196" s="2">
        <f>IFERROR(__xludf.DUMMYFUNCTION("""COMPUTED_VALUE"""),41794.666666666664)</f>
        <v>41794.66667</v>
      </c>
      <c r="B7196" s="1">
        <f>IFERROR(__xludf.DUMMYFUNCTION("""COMPUTED_VALUE"""),1923.06)</f>
        <v>1923.06</v>
      </c>
      <c r="C7196" s="1">
        <f>IFERROR(__xludf.DUMMYFUNCTION("""COMPUTED_VALUE"""),1928.63)</f>
        <v>1928.63</v>
      </c>
      <c r="D7196" s="1">
        <f>IFERROR(__xludf.DUMMYFUNCTION("""COMPUTED_VALUE"""),1918.6)</f>
        <v>1918.6</v>
      </c>
      <c r="E7196" s="1">
        <f>IFERROR(__xludf.DUMMYFUNCTION("""COMPUTED_VALUE"""),1927.88)</f>
        <v>1927.88</v>
      </c>
      <c r="F7196" s="1">
        <f>IFERROR(__xludf.DUMMYFUNCTION("""COMPUTED_VALUE"""),0.0)</f>
        <v>0</v>
      </c>
    </row>
    <row r="7197">
      <c r="A7197" s="2">
        <f>IFERROR(__xludf.DUMMYFUNCTION("""COMPUTED_VALUE"""),41795.666666666664)</f>
        <v>41795.66667</v>
      </c>
      <c r="B7197" s="1">
        <f>IFERROR(__xludf.DUMMYFUNCTION("""COMPUTED_VALUE"""),1928.52)</f>
        <v>1928.52</v>
      </c>
      <c r="C7197" s="1">
        <f>IFERROR(__xludf.DUMMYFUNCTION("""COMPUTED_VALUE"""),1941.74)</f>
        <v>1941.74</v>
      </c>
      <c r="D7197" s="1">
        <f>IFERROR(__xludf.DUMMYFUNCTION("""COMPUTED_VALUE"""),1922.93)</f>
        <v>1922.93</v>
      </c>
      <c r="E7197" s="1">
        <f>IFERROR(__xludf.DUMMYFUNCTION("""COMPUTED_VALUE"""),1940.46)</f>
        <v>1940.46</v>
      </c>
      <c r="F7197" s="1">
        <f>IFERROR(__xludf.DUMMYFUNCTION("""COMPUTED_VALUE"""),0.0)</f>
        <v>0</v>
      </c>
    </row>
    <row r="7198">
      <c r="A7198" s="2">
        <f>IFERROR(__xludf.DUMMYFUNCTION("""COMPUTED_VALUE"""),41796.666666666664)</f>
        <v>41796.66667</v>
      </c>
      <c r="B7198" s="1">
        <f>IFERROR(__xludf.DUMMYFUNCTION("""COMPUTED_VALUE"""),1942.41)</f>
        <v>1942.41</v>
      </c>
      <c r="C7198" s="1">
        <f>IFERROR(__xludf.DUMMYFUNCTION("""COMPUTED_VALUE"""),1949.44)</f>
        <v>1949.44</v>
      </c>
      <c r="D7198" s="1">
        <f>IFERROR(__xludf.DUMMYFUNCTION("""COMPUTED_VALUE"""),1942.41)</f>
        <v>1942.41</v>
      </c>
      <c r="E7198" s="1">
        <f>IFERROR(__xludf.DUMMYFUNCTION("""COMPUTED_VALUE"""),1949.44)</f>
        <v>1949.44</v>
      </c>
      <c r="F7198" s="1">
        <f>IFERROR(__xludf.DUMMYFUNCTION("""COMPUTED_VALUE"""),0.0)</f>
        <v>0</v>
      </c>
    </row>
    <row r="7199">
      <c r="A7199" s="2">
        <f>IFERROR(__xludf.DUMMYFUNCTION("""COMPUTED_VALUE"""),41799.666666666664)</f>
        <v>41799.66667</v>
      </c>
      <c r="B7199" s="1">
        <f>IFERROR(__xludf.DUMMYFUNCTION("""COMPUTED_VALUE"""),1948.97)</f>
        <v>1948.97</v>
      </c>
      <c r="C7199" s="1">
        <f>IFERROR(__xludf.DUMMYFUNCTION("""COMPUTED_VALUE"""),1955.55)</f>
        <v>1955.55</v>
      </c>
      <c r="D7199" s="1">
        <f>IFERROR(__xludf.DUMMYFUNCTION("""COMPUTED_VALUE"""),1947.16)</f>
        <v>1947.16</v>
      </c>
      <c r="E7199" s="1">
        <f>IFERROR(__xludf.DUMMYFUNCTION("""COMPUTED_VALUE"""),1951.27)</f>
        <v>1951.27</v>
      </c>
      <c r="F7199" s="1">
        <f>IFERROR(__xludf.DUMMYFUNCTION("""COMPUTED_VALUE"""),0.0)</f>
        <v>0</v>
      </c>
    </row>
    <row r="7200">
      <c r="A7200" s="2">
        <f>IFERROR(__xludf.DUMMYFUNCTION("""COMPUTED_VALUE"""),41800.666666666664)</f>
        <v>41800.66667</v>
      </c>
      <c r="B7200" s="1">
        <f>IFERROR(__xludf.DUMMYFUNCTION("""COMPUTED_VALUE"""),1950.34)</f>
        <v>1950.34</v>
      </c>
      <c r="C7200" s="1">
        <f>IFERROR(__xludf.DUMMYFUNCTION("""COMPUTED_VALUE"""),1950.86)</f>
        <v>1950.86</v>
      </c>
      <c r="D7200" s="1">
        <f>IFERROR(__xludf.DUMMYFUNCTION("""COMPUTED_VALUE"""),1944.64)</f>
        <v>1944.64</v>
      </c>
      <c r="E7200" s="1">
        <f>IFERROR(__xludf.DUMMYFUNCTION("""COMPUTED_VALUE"""),1950.79)</f>
        <v>1950.79</v>
      </c>
      <c r="F7200" s="1">
        <f>IFERROR(__xludf.DUMMYFUNCTION("""COMPUTED_VALUE"""),0.0)</f>
        <v>0</v>
      </c>
    </row>
    <row r="7201">
      <c r="A7201" s="2">
        <f>IFERROR(__xludf.DUMMYFUNCTION("""COMPUTED_VALUE"""),41801.666666666664)</f>
        <v>41801.66667</v>
      </c>
      <c r="B7201" s="1">
        <f>IFERROR(__xludf.DUMMYFUNCTION("""COMPUTED_VALUE"""),1949.37)</f>
        <v>1949.37</v>
      </c>
      <c r="C7201" s="1">
        <f>IFERROR(__xludf.DUMMYFUNCTION("""COMPUTED_VALUE"""),1949.37)</f>
        <v>1949.37</v>
      </c>
      <c r="D7201" s="1">
        <f>IFERROR(__xludf.DUMMYFUNCTION("""COMPUTED_VALUE"""),1940.08)</f>
        <v>1940.08</v>
      </c>
      <c r="E7201" s="1">
        <f>IFERROR(__xludf.DUMMYFUNCTION("""COMPUTED_VALUE"""),1943.89)</f>
        <v>1943.89</v>
      </c>
      <c r="F7201" s="1">
        <f>IFERROR(__xludf.DUMMYFUNCTION("""COMPUTED_VALUE"""),0.0)</f>
        <v>0</v>
      </c>
    </row>
    <row r="7202">
      <c r="A7202" s="2">
        <f>IFERROR(__xludf.DUMMYFUNCTION("""COMPUTED_VALUE"""),41802.666666666664)</f>
        <v>41802.66667</v>
      </c>
      <c r="B7202" s="1">
        <f>IFERROR(__xludf.DUMMYFUNCTION("""COMPUTED_VALUE"""),1943.35)</f>
        <v>1943.35</v>
      </c>
      <c r="C7202" s="1">
        <f>IFERROR(__xludf.DUMMYFUNCTION("""COMPUTED_VALUE"""),1943.35)</f>
        <v>1943.35</v>
      </c>
      <c r="D7202" s="1">
        <f>IFERROR(__xludf.DUMMYFUNCTION("""COMPUTED_VALUE"""),1925.78)</f>
        <v>1925.78</v>
      </c>
      <c r="E7202" s="1">
        <f>IFERROR(__xludf.DUMMYFUNCTION("""COMPUTED_VALUE"""),1930.11)</f>
        <v>1930.11</v>
      </c>
      <c r="F7202" s="1">
        <f>IFERROR(__xludf.DUMMYFUNCTION("""COMPUTED_VALUE"""),0.0)</f>
        <v>0</v>
      </c>
    </row>
    <row r="7203">
      <c r="A7203" s="2">
        <f>IFERROR(__xludf.DUMMYFUNCTION("""COMPUTED_VALUE"""),41803.666666666664)</f>
        <v>41803.66667</v>
      </c>
      <c r="B7203" s="1">
        <f>IFERROR(__xludf.DUMMYFUNCTION("""COMPUTED_VALUE"""),1930.8)</f>
        <v>1930.8</v>
      </c>
      <c r="C7203" s="1">
        <f>IFERROR(__xludf.DUMMYFUNCTION("""COMPUTED_VALUE"""),1937.3)</f>
        <v>1937.3</v>
      </c>
      <c r="D7203" s="1">
        <f>IFERROR(__xludf.DUMMYFUNCTION("""COMPUTED_VALUE"""),1927.69)</f>
        <v>1927.69</v>
      </c>
      <c r="E7203" s="1">
        <f>IFERROR(__xludf.DUMMYFUNCTION("""COMPUTED_VALUE"""),1936.16)</f>
        <v>1936.16</v>
      </c>
      <c r="F7203" s="1">
        <f>IFERROR(__xludf.DUMMYFUNCTION("""COMPUTED_VALUE"""),0.0)</f>
        <v>0</v>
      </c>
    </row>
    <row r="7204">
      <c r="A7204" s="2">
        <f>IFERROR(__xludf.DUMMYFUNCTION("""COMPUTED_VALUE"""),41806.666666666664)</f>
        <v>41806.66667</v>
      </c>
      <c r="B7204" s="1">
        <f>IFERROR(__xludf.DUMMYFUNCTION("""COMPUTED_VALUE"""),1934.84)</f>
        <v>1934.84</v>
      </c>
      <c r="C7204" s="1">
        <f>IFERROR(__xludf.DUMMYFUNCTION("""COMPUTED_VALUE"""),1941.15)</f>
        <v>1941.15</v>
      </c>
      <c r="D7204" s="1">
        <f>IFERROR(__xludf.DUMMYFUNCTION("""COMPUTED_VALUE"""),1930.91)</f>
        <v>1930.91</v>
      </c>
      <c r="E7204" s="1">
        <f>IFERROR(__xludf.DUMMYFUNCTION("""COMPUTED_VALUE"""),1937.78)</f>
        <v>1937.78</v>
      </c>
      <c r="F7204" s="1">
        <f>IFERROR(__xludf.DUMMYFUNCTION("""COMPUTED_VALUE"""),0.0)</f>
        <v>0</v>
      </c>
    </row>
    <row r="7205">
      <c r="A7205" s="2">
        <f>IFERROR(__xludf.DUMMYFUNCTION("""COMPUTED_VALUE"""),41807.666666666664)</f>
        <v>41807.66667</v>
      </c>
      <c r="B7205" s="1">
        <f>IFERROR(__xludf.DUMMYFUNCTION("""COMPUTED_VALUE"""),1937.15)</f>
        <v>1937.15</v>
      </c>
      <c r="C7205" s="1">
        <f>IFERROR(__xludf.DUMMYFUNCTION("""COMPUTED_VALUE"""),1943.69)</f>
        <v>1943.69</v>
      </c>
      <c r="D7205" s="1">
        <f>IFERROR(__xludf.DUMMYFUNCTION("""COMPUTED_VALUE"""),1933.55)</f>
        <v>1933.55</v>
      </c>
      <c r="E7205" s="1">
        <f>IFERROR(__xludf.DUMMYFUNCTION("""COMPUTED_VALUE"""),1941.99)</f>
        <v>1941.99</v>
      </c>
      <c r="F7205" s="1">
        <f>IFERROR(__xludf.DUMMYFUNCTION("""COMPUTED_VALUE"""),0.0)</f>
        <v>0</v>
      </c>
    </row>
    <row r="7206">
      <c r="A7206" s="2">
        <f>IFERROR(__xludf.DUMMYFUNCTION("""COMPUTED_VALUE"""),41808.666666666664)</f>
        <v>41808.66667</v>
      </c>
      <c r="B7206" s="1">
        <f>IFERROR(__xludf.DUMMYFUNCTION("""COMPUTED_VALUE"""),1942.73)</f>
        <v>1942.73</v>
      </c>
      <c r="C7206" s="1">
        <f>IFERROR(__xludf.DUMMYFUNCTION("""COMPUTED_VALUE"""),1957.74)</f>
        <v>1957.74</v>
      </c>
      <c r="D7206" s="1">
        <f>IFERROR(__xludf.DUMMYFUNCTION("""COMPUTED_VALUE"""),1939.29)</f>
        <v>1939.29</v>
      </c>
      <c r="E7206" s="1">
        <f>IFERROR(__xludf.DUMMYFUNCTION("""COMPUTED_VALUE"""),1956.98)</f>
        <v>1956.98</v>
      </c>
      <c r="F7206" s="1">
        <f>IFERROR(__xludf.DUMMYFUNCTION("""COMPUTED_VALUE"""),0.0)</f>
        <v>0</v>
      </c>
    </row>
    <row r="7207">
      <c r="A7207" s="2">
        <f>IFERROR(__xludf.DUMMYFUNCTION("""COMPUTED_VALUE"""),41809.666666666664)</f>
        <v>41809.66667</v>
      </c>
      <c r="B7207" s="1">
        <f>IFERROR(__xludf.DUMMYFUNCTION("""COMPUTED_VALUE"""),1957.5)</f>
        <v>1957.5</v>
      </c>
      <c r="C7207" s="1">
        <f>IFERROR(__xludf.DUMMYFUNCTION("""COMPUTED_VALUE"""),1959.87)</f>
        <v>1959.87</v>
      </c>
      <c r="D7207" s="1">
        <f>IFERROR(__xludf.DUMMYFUNCTION("""COMPUTED_VALUE"""),1952.26)</f>
        <v>1952.26</v>
      </c>
      <c r="E7207" s="1">
        <f>IFERROR(__xludf.DUMMYFUNCTION("""COMPUTED_VALUE"""),1959.48)</f>
        <v>1959.48</v>
      </c>
      <c r="F7207" s="1">
        <f>IFERROR(__xludf.DUMMYFUNCTION("""COMPUTED_VALUE"""),0.0)</f>
        <v>0</v>
      </c>
    </row>
    <row r="7208">
      <c r="A7208" s="2">
        <f>IFERROR(__xludf.DUMMYFUNCTION("""COMPUTED_VALUE"""),41810.666666666664)</f>
        <v>41810.66667</v>
      </c>
      <c r="B7208" s="1">
        <f>IFERROR(__xludf.DUMMYFUNCTION("""COMPUTED_VALUE"""),1960.45)</f>
        <v>1960.45</v>
      </c>
      <c r="C7208" s="1">
        <f>IFERROR(__xludf.DUMMYFUNCTION("""COMPUTED_VALUE"""),1963.91)</f>
        <v>1963.91</v>
      </c>
      <c r="D7208" s="1">
        <f>IFERROR(__xludf.DUMMYFUNCTION("""COMPUTED_VALUE"""),1959.17)</f>
        <v>1959.17</v>
      </c>
      <c r="E7208" s="1">
        <f>IFERROR(__xludf.DUMMYFUNCTION("""COMPUTED_VALUE"""),1962.87)</f>
        <v>1962.87</v>
      </c>
      <c r="F7208" s="1">
        <f>IFERROR(__xludf.DUMMYFUNCTION("""COMPUTED_VALUE"""),0.0)</f>
        <v>0</v>
      </c>
    </row>
    <row r="7209">
      <c r="A7209" s="2">
        <f>IFERROR(__xludf.DUMMYFUNCTION("""COMPUTED_VALUE"""),41813.666666666664)</f>
        <v>41813.66667</v>
      </c>
      <c r="B7209" s="1">
        <f>IFERROR(__xludf.DUMMYFUNCTION("""COMPUTED_VALUE"""),1962.92)</f>
        <v>1962.92</v>
      </c>
      <c r="C7209" s="1">
        <f>IFERROR(__xludf.DUMMYFUNCTION("""COMPUTED_VALUE"""),1963.74)</f>
        <v>1963.74</v>
      </c>
      <c r="D7209" s="1">
        <f>IFERROR(__xludf.DUMMYFUNCTION("""COMPUTED_VALUE"""),1958.89)</f>
        <v>1958.89</v>
      </c>
      <c r="E7209" s="1">
        <f>IFERROR(__xludf.DUMMYFUNCTION("""COMPUTED_VALUE"""),1962.61)</f>
        <v>1962.61</v>
      </c>
      <c r="F7209" s="1">
        <f>IFERROR(__xludf.DUMMYFUNCTION("""COMPUTED_VALUE"""),0.0)</f>
        <v>0</v>
      </c>
    </row>
    <row r="7210">
      <c r="A7210" s="2">
        <f>IFERROR(__xludf.DUMMYFUNCTION("""COMPUTED_VALUE"""),41814.666666666664)</f>
        <v>41814.66667</v>
      </c>
      <c r="B7210" s="1">
        <f>IFERROR(__xludf.DUMMYFUNCTION("""COMPUTED_VALUE"""),1961.97)</f>
        <v>1961.97</v>
      </c>
      <c r="C7210" s="1">
        <f>IFERROR(__xludf.DUMMYFUNCTION("""COMPUTED_VALUE"""),1968.17)</f>
        <v>1968.17</v>
      </c>
      <c r="D7210" s="1">
        <f>IFERROR(__xludf.DUMMYFUNCTION("""COMPUTED_VALUE"""),1948.34)</f>
        <v>1948.34</v>
      </c>
      <c r="E7210" s="1">
        <f>IFERROR(__xludf.DUMMYFUNCTION("""COMPUTED_VALUE"""),1949.98)</f>
        <v>1949.98</v>
      </c>
      <c r="F7210" s="1">
        <f>IFERROR(__xludf.DUMMYFUNCTION("""COMPUTED_VALUE"""),0.0)</f>
        <v>0</v>
      </c>
    </row>
    <row r="7211">
      <c r="A7211" s="2">
        <f>IFERROR(__xludf.DUMMYFUNCTION("""COMPUTED_VALUE"""),41815.666666666664)</f>
        <v>41815.66667</v>
      </c>
      <c r="B7211" s="1">
        <f>IFERROR(__xludf.DUMMYFUNCTION("""COMPUTED_VALUE"""),1949.27)</f>
        <v>1949.27</v>
      </c>
      <c r="C7211" s="1">
        <f>IFERROR(__xludf.DUMMYFUNCTION("""COMPUTED_VALUE"""),1960.83)</f>
        <v>1960.83</v>
      </c>
      <c r="D7211" s="1">
        <f>IFERROR(__xludf.DUMMYFUNCTION("""COMPUTED_VALUE"""),1947.49)</f>
        <v>1947.49</v>
      </c>
      <c r="E7211" s="1">
        <f>IFERROR(__xludf.DUMMYFUNCTION("""COMPUTED_VALUE"""),1959.53)</f>
        <v>1959.53</v>
      </c>
      <c r="F7211" s="1">
        <f>IFERROR(__xludf.DUMMYFUNCTION("""COMPUTED_VALUE"""),0.0)</f>
        <v>0</v>
      </c>
    </row>
    <row r="7212">
      <c r="A7212" s="2">
        <f>IFERROR(__xludf.DUMMYFUNCTION("""COMPUTED_VALUE"""),41816.666666666664)</f>
        <v>41816.66667</v>
      </c>
      <c r="B7212" s="1">
        <f>IFERROR(__xludf.DUMMYFUNCTION("""COMPUTED_VALUE"""),1959.89)</f>
        <v>1959.89</v>
      </c>
      <c r="C7212" s="1">
        <f>IFERROR(__xludf.DUMMYFUNCTION("""COMPUTED_VALUE"""),1959.89)</f>
        <v>1959.89</v>
      </c>
      <c r="D7212" s="1">
        <f>IFERROR(__xludf.DUMMYFUNCTION("""COMPUTED_VALUE"""),1944.69)</f>
        <v>1944.69</v>
      </c>
      <c r="E7212" s="1">
        <f>IFERROR(__xludf.DUMMYFUNCTION("""COMPUTED_VALUE"""),1957.22)</f>
        <v>1957.22</v>
      </c>
      <c r="F7212" s="1">
        <f>IFERROR(__xludf.DUMMYFUNCTION("""COMPUTED_VALUE"""),0.0)</f>
        <v>0</v>
      </c>
    </row>
    <row r="7213">
      <c r="A7213" s="2">
        <f>IFERROR(__xludf.DUMMYFUNCTION("""COMPUTED_VALUE"""),41817.666666666664)</f>
        <v>41817.66667</v>
      </c>
      <c r="B7213" s="1">
        <f>IFERROR(__xludf.DUMMYFUNCTION("""COMPUTED_VALUE"""),1956.56)</f>
        <v>1956.56</v>
      </c>
      <c r="C7213" s="1">
        <f>IFERROR(__xludf.DUMMYFUNCTION("""COMPUTED_VALUE"""),1961.47)</f>
        <v>1961.47</v>
      </c>
      <c r="D7213" s="1">
        <f>IFERROR(__xludf.DUMMYFUNCTION("""COMPUTED_VALUE"""),1952.18)</f>
        <v>1952.18</v>
      </c>
      <c r="E7213" s="1">
        <f>IFERROR(__xludf.DUMMYFUNCTION("""COMPUTED_VALUE"""),1960.96)</f>
        <v>1960.96</v>
      </c>
      <c r="F7213" s="1">
        <f>IFERROR(__xludf.DUMMYFUNCTION("""COMPUTED_VALUE"""),0.0)</f>
        <v>0</v>
      </c>
    </row>
    <row r="7214">
      <c r="A7214" s="2">
        <f>IFERROR(__xludf.DUMMYFUNCTION("""COMPUTED_VALUE"""),41820.666666666664)</f>
        <v>41820.66667</v>
      </c>
      <c r="B7214" s="1">
        <f>IFERROR(__xludf.DUMMYFUNCTION("""COMPUTED_VALUE"""),1960.79)</f>
        <v>1960.79</v>
      </c>
      <c r="C7214" s="1">
        <f>IFERROR(__xludf.DUMMYFUNCTION("""COMPUTED_VALUE"""),1964.24)</f>
        <v>1964.24</v>
      </c>
      <c r="D7214" s="1">
        <f>IFERROR(__xludf.DUMMYFUNCTION("""COMPUTED_VALUE"""),1958.22)</f>
        <v>1958.22</v>
      </c>
      <c r="E7214" s="1">
        <f>IFERROR(__xludf.DUMMYFUNCTION("""COMPUTED_VALUE"""),1960.23)</f>
        <v>1960.23</v>
      </c>
      <c r="F7214" s="1">
        <f>IFERROR(__xludf.DUMMYFUNCTION("""COMPUTED_VALUE"""),0.0)</f>
        <v>0</v>
      </c>
    </row>
    <row r="7215">
      <c r="A7215" s="2">
        <f>IFERROR(__xludf.DUMMYFUNCTION("""COMPUTED_VALUE"""),41821.666666666664)</f>
        <v>41821.66667</v>
      </c>
      <c r="B7215" s="1">
        <f>IFERROR(__xludf.DUMMYFUNCTION("""COMPUTED_VALUE"""),1962.29)</f>
        <v>1962.29</v>
      </c>
      <c r="C7215" s="1">
        <f>IFERROR(__xludf.DUMMYFUNCTION("""COMPUTED_VALUE"""),1978.58)</f>
        <v>1978.58</v>
      </c>
      <c r="D7215" s="1">
        <f>IFERROR(__xludf.DUMMYFUNCTION("""COMPUTED_VALUE"""),1962.29)</f>
        <v>1962.29</v>
      </c>
      <c r="E7215" s="1">
        <f>IFERROR(__xludf.DUMMYFUNCTION("""COMPUTED_VALUE"""),1973.32)</f>
        <v>1973.32</v>
      </c>
      <c r="F7215" s="1">
        <f>IFERROR(__xludf.DUMMYFUNCTION("""COMPUTED_VALUE"""),0.0)</f>
        <v>0</v>
      </c>
    </row>
    <row r="7216">
      <c r="A7216" s="2">
        <f>IFERROR(__xludf.DUMMYFUNCTION("""COMPUTED_VALUE"""),41822.666666666664)</f>
        <v>41822.66667</v>
      </c>
      <c r="B7216" s="1">
        <f>IFERROR(__xludf.DUMMYFUNCTION("""COMPUTED_VALUE"""),1973.06)</f>
        <v>1973.06</v>
      </c>
      <c r="C7216" s="1">
        <f>IFERROR(__xludf.DUMMYFUNCTION("""COMPUTED_VALUE"""),1976.67)</f>
        <v>1976.67</v>
      </c>
      <c r="D7216" s="1">
        <f>IFERROR(__xludf.DUMMYFUNCTION("""COMPUTED_VALUE"""),1972.58)</f>
        <v>1972.58</v>
      </c>
      <c r="E7216" s="1">
        <f>IFERROR(__xludf.DUMMYFUNCTION("""COMPUTED_VALUE"""),1974.62)</f>
        <v>1974.62</v>
      </c>
      <c r="F7216" s="1">
        <f>IFERROR(__xludf.DUMMYFUNCTION("""COMPUTED_VALUE"""),0.0)</f>
        <v>0</v>
      </c>
    </row>
    <row r="7217">
      <c r="A7217" s="2">
        <f>IFERROR(__xludf.DUMMYFUNCTION("""COMPUTED_VALUE"""),41823.666666666664)</f>
        <v>41823.66667</v>
      </c>
      <c r="B7217" s="1">
        <f>IFERROR(__xludf.DUMMYFUNCTION("""COMPUTED_VALUE"""),1975.88)</f>
        <v>1975.88</v>
      </c>
      <c r="C7217" s="1">
        <f>IFERROR(__xludf.DUMMYFUNCTION("""COMPUTED_VALUE"""),1985.59)</f>
        <v>1985.59</v>
      </c>
      <c r="D7217" s="1">
        <f>IFERROR(__xludf.DUMMYFUNCTION("""COMPUTED_VALUE"""),1975.88)</f>
        <v>1975.88</v>
      </c>
      <c r="E7217" s="1">
        <f>IFERROR(__xludf.DUMMYFUNCTION("""COMPUTED_VALUE"""),1985.44)</f>
        <v>1985.44</v>
      </c>
      <c r="F7217" s="1">
        <f>IFERROR(__xludf.DUMMYFUNCTION("""COMPUTED_VALUE"""),0.0)</f>
        <v>0</v>
      </c>
    </row>
    <row r="7218">
      <c r="A7218" s="2">
        <f>IFERROR(__xludf.DUMMYFUNCTION("""COMPUTED_VALUE"""),41827.666666666664)</f>
        <v>41827.66667</v>
      </c>
      <c r="B7218" s="1">
        <f>IFERROR(__xludf.DUMMYFUNCTION("""COMPUTED_VALUE"""),1984.22)</f>
        <v>1984.22</v>
      </c>
      <c r="C7218" s="1">
        <f>IFERROR(__xludf.DUMMYFUNCTION("""COMPUTED_VALUE"""),1984.22)</f>
        <v>1984.22</v>
      </c>
      <c r="D7218" s="1">
        <f>IFERROR(__xludf.DUMMYFUNCTION("""COMPUTED_VALUE"""),1974.88)</f>
        <v>1974.88</v>
      </c>
      <c r="E7218" s="1">
        <f>IFERROR(__xludf.DUMMYFUNCTION("""COMPUTED_VALUE"""),1977.65)</f>
        <v>1977.65</v>
      </c>
      <c r="F7218" s="1">
        <f>IFERROR(__xludf.DUMMYFUNCTION("""COMPUTED_VALUE"""),0.0)</f>
        <v>0</v>
      </c>
    </row>
    <row r="7219">
      <c r="A7219" s="2">
        <f>IFERROR(__xludf.DUMMYFUNCTION("""COMPUTED_VALUE"""),41828.666666666664)</f>
        <v>41828.66667</v>
      </c>
      <c r="B7219" s="1">
        <f>IFERROR(__xludf.DUMMYFUNCTION("""COMPUTED_VALUE"""),1976.39)</f>
        <v>1976.39</v>
      </c>
      <c r="C7219" s="1">
        <f>IFERROR(__xludf.DUMMYFUNCTION("""COMPUTED_VALUE"""),1976.39)</f>
        <v>1976.39</v>
      </c>
      <c r="D7219" s="1">
        <f>IFERROR(__xludf.DUMMYFUNCTION("""COMPUTED_VALUE"""),1959.46)</f>
        <v>1959.46</v>
      </c>
      <c r="E7219" s="1">
        <f>IFERROR(__xludf.DUMMYFUNCTION("""COMPUTED_VALUE"""),1963.71)</f>
        <v>1963.71</v>
      </c>
      <c r="F7219" s="1">
        <f>IFERROR(__xludf.DUMMYFUNCTION("""COMPUTED_VALUE"""),0.0)</f>
        <v>0</v>
      </c>
    </row>
    <row r="7220">
      <c r="A7220" s="2">
        <f>IFERROR(__xludf.DUMMYFUNCTION("""COMPUTED_VALUE"""),41829.666666666664)</f>
        <v>41829.66667</v>
      </c>
      <c r="B7220" s="1">
        <f>IFERROR(__xludf.DUMMYFUNCTION("""COMPUTED_VALUE"""),1965.1)</f>
        <v>1965.1</v>
      </c>
      <c r="C7220" s="1">
        <f>IFERROR(__xludf.DUMMYFUNCTION("""COMPUTED_VALUE"""),1974.15)</f>
        <v>1974.15</v>
      </c>
      <c r="D7220" s="1">
        <f>IFERROR(__xludf.DUMMYFUNCTION("""COMPUTED_VALUE"""),1965.1)</f>
        <v>1965.1</v>
      </c>
      <c r="E7220" s="1">
        <f>IFERROR(__xludf.DUMMYFUNCTION("""COMPUTED_VALUE"""),1972.83)</f>
        <v>1972.83</v>
      </c>
      <c r="F7220" s="1">
        <f>IFERROR(__xludf.DUMMYFUNCTION("""COMPUTED_VALUE"""),0.0)</f>
        <v>0</v>
      </c>
    </row>
    <row r="7221">
      <c r="A7221" s="2">
        <f>IFERROR(__xludf.DUMMYFUNCTION("""COMPUTED_VALUE"""),41830.666666666664)</f>
        <v>41830.66667</v>
      </c>
      <c r="B7221" s="1">
        <f>IFERROR(__xludf.DUMMYFUNCTION("""COMPUTED_VALUE"""),1966.67)</f>
        <v>1966.67</v>
      </c>
      <c r="C7221" s="1">
        <f>IFERROR(__xludf.DUMMYFUNCTION("""COMPUTED_VALUE"""),1969.84)</f>
        <v>1969.84</v>
      </c>
      <c r="D7221" s="1">
        <f>IFERROR(__xludf.DUMMYFUNCTION("""COMPUTED_VALUE"""),1952.86)</f>
        <v>1952.86</v>
      </c>
      <c r="E7221" s="1">
        <f>IFERROR(__xludf.DUMMYFUNCTION("""COMPUTED_VALUE"""),1964.68)</f>
        <v>1964.68</v>
      </c>
      <c r="F7221" s="1">
        <f>IFERROR(__xludf.DUMMYFUNCTION("""COMPUTED_VALUE"""),0.0)</f>
        <v>0</v>
      </c>
    </row>
    <row r="7222">
      <c r="A7222" s="2">
        <f>IFERROR(__xludf.DUMMYFUNCTION("""COMPUTED_VALUE"""),41831.666666666664)</f>
        <v>41831.66667</v>
      </c>
      <c r="B7222" s="1">
        <f>IFERROR(__xludf.DUMMYFUNCTION("""COMPUTED_VALUE"""),1965.76)</f>
        <v>1965.76</v>
      </c>
      <c r="C7222" s="1">
        <f>IFERROR(__xludf.DUMMYFUNCTION("""COMPUTED_VALUE"""),1968.67)</f>
        <v>1968.67</v>
      </c>
      <c r="D7222" s="1">
        <f>IFERROR(__xludf.DUMMYFUNCTION("""COMPUTED_VALUE"""),1959.63)</f>
        <v>1959.63</v>
      </c>
      <c r="E7222" s="1">
        <f>IFERROR(__xludf.DUMMYFUNCTION("""COMPUTED_VALUE"""),1967.57)</f>
        <v>1967.57</v>
      </c>
      <c r="F7222" s="1">
        <f>IFERROR(__xludf.DUMMYFUNCTION("""COMPUTED_VALUE"""),0.0)</f>
        <v>0</v>
      </c>
    </row>
    <row r="7223">
      <c r="A7223" s="2">
        <f>IFERROR(__xludf.DUMMYFUNCTION("""COMPUTED_VALUE"""),41834.666666666664)</f>
        <v>41834.66667</v>
      </c>
      <c r="B7223" s="1">
        <f>IFERROR(__xludf.DUMMYFUNCTION("""COMPUTED_VALUE"""),1969.86)</f>
        <v>1969.86</v>
      </c>
      <c r="C7223" s="1">
        <f>IFERROR(__xludf.DUMMYFUNCTION("""COMPUTED_VALUE"""),1979.85)</f>
        <v>1979.85</v>
      </c>
      <c r="D7223" s="1">
        <f>IFERROR(__xludf.DUMMYFUNCTION("""COMPUTED_VALUE"""),1969.86)</f>
        <v>1969.86</v>
      </c>
      <c r="E7223" s="1">
        <f>IFERROR(__xludf.DUMMYFUNCTION("""COMPUTED_VALUE"""),1977.1)</f>
        <v>1977.1</v>
      </c>
      <c r="F7223" s="1">
        <f>IFERROR(__xludf.DUMMYFUNCTION("""COMPUTED_VALUE"""),0.0)</f>
        <v>0</v>
      </c>
    </row>
    <row r="7224">
      <c r="A7224" s="2">
        <f>IFERROR(__xludf.DUMMYFUNCTION("""COMPUTED_VALUE"""),41835.666666666664)</f>
        <v>41835.66667</v>
      </c>
      <c r="B7224" s="1">
        <f>IFERROR(__xludf.DUMMYFUNCTION("""COMPUTED_VALUE"""),1977.36)</f>
        <v>1977.36</v>
      </c>
      <c r="C7224" s="1">
        <f>IFERROR(__xludf.DUMMYFUNCTION("""COMPUTED_VALUE"""),1982.52)</f>
        <v>1982.52</v>
      </c>
      <c r="D7224" s="1">
        <f>IFERROR(__xludf.DUMMYFUNCTION("""COMPUTED_VALUE"""),1965.34)</f>
        <v>1965.34</v>
      </c>
      <c r="E7224" s="1">
        <f>IFERROR(__xludf.DUMMYFUNCTION("""COMPUTED_VALUE"""),1973.28)</f>
        <v>1973.28</v>
      </c>
      <c r="F7224" s="1">
        <f>IFERROR(__xludf.DUMMYFUNCTION("""COMPUTED_VALUE"""),0.0)</f>
        <v>0</v>
      </c>
    </row>
    <row r="7225">
      <c r="A7225" s="2">
        <f>IFERROR(__xludf.DUMMYFUNCTION("""COMPUTED_VALUE"""),41836.666666666664)</f>
        <v>41836.66667</v>
      </c>
      <c r="B7225" s="1">
        <f>IFERROR(__xludf.DUMMYFUNCTION("""COMPUTED_VALUE"""),1976.35)</f>
        <v>1976.35</v>
      </c>
      <c r="C7225" s="1">
        <f>IFERROR(__xludf.DUMMYFUNCTION("""COMPUTED_VALUE"""),1983.94)</f>
        <v>1983.94</v>
      </c>
      <c r="D7225" s="1">
        <f>IFERROR(__xludf.DUMMYFUNCTION("""COMPUTED_VALUE"""),1975.67)</f>
        <v>1975.67</v>
      </c>
      <c r="E7225" s="1">
        <f>IFERROR(__xludf.DUMMYFUNCTION("""COMPUTED_VALUE"""),1981.57)</f>
        <v>1981.57</v>
      </c>
      <c r="F7225" s="1">
        <f>IFERROR(__xludf.DUMMYFUNCTION("""COMPUTED_VALUE"""),0.0)</f>
        <v>0</v>
      </c>
    </row>
    <row r="7226">
      <c r="A7226" s="2">
        <f>IFERROR(__xludf.DUMMYFUNCTION("""COMPUTED_VALUE"""),41837.666666666664)</f>
        <v>41837.66667</v>
      </c>
      <c r="B7226" s="1">
        <f>IFERROR(__xludf.DUMMYFUNCTION("""COMPUTED_VALUE"""),1979.75)</f>
        <v>1979.75</v>
      </c>
      <c r="C7226" s="1">
        <f>IFERROR(__xludf.DUMMYFUNCTION("""COMPUTED_VALUE"""),1981.8)</f>
        <v>1981.8</v>
      </c>
      <c r="D7226" s="1">
        <f>IFERROR(__xludf.DUMMYFUNCTION("""COMPUTED_VALUE"""),1955.59)</f>
        <v>1955.59</v>
      </c>
      <c r="E7226" s="1">
        <f>IFERROR(__xludf.DUMMYFUNCTION("""COMPUTED_VALUE"""),1958.12)</f>
        <v>1958.12</v>
      </c>
      <c r="F7226" s="1">
        <f>IFERROR(__xludf.DUMMYFUNCTION("""COMPUTED_VALUE"""),0.0)</f>
        <v>0</v>
      </c>
    </row>
    <row r="7227">
      <c r="A7227" s="2">
        <f>IFERROR(__xludf.DUMMYFUNCTION("""COMPUTED_VALUE"""),41838.666666666664)</f>
        <v>41838.66667</v>
      </c>
      <c r="B7227" s="1">
        <f>IFERROR(__xludf.DUMMYFUNCTION("""COMPUTED_VALUE"""),1961.54)</f>
        <v>1961.54</v>
      </c>
      <c r="C7227" s="1">
        <f>IFERROR(__xludf.DUMMYFUNCTION("""COMPUTED_VALUE"""),1979.91)</f>
        <v>1979.91</v>
      </c>
      <c r="D7227" s="1">
        <f>IFERROR(__xludf.DUMMYFUNCTION("""COMPUTED_VALUE"""),1960.82)</f>
        <v>1960.82</v>
      </c>
      <c r="E7227" s="1">
        <f>IFERROR(__xludf.DUMMYFUNCTION("""COMPUTED_VALUE"""),1978.22)</f>
        <v>1978.22</v>
      </c>
      <c r="F7227" s="1">
        <f>IFERROR(__xludf.DUMMYFUNCTION("""COMPUTED_VALUE"""),0.0)</f>
        <v>0</v>
      </c>
    </row>
    <row r="7228">
      <c r="A7228" s="2">
        <f>IFERROR(__xludf.DUMMYFUNCTION("""COMPUTED_VALUE"""),41841.666666666664)</f>
        <v>41841.66667</v>
      </c>
      <c r="B7228" s="1">
        <f>IFERROR(__xludf.DUMMYFUNCTION("""COMPUTED_VALUE"""),1976.93)</f>
        <v>1976.93</v>
      </c>
      <c r="C7228" s="1">
        <f>IFERROR(__xludf.DUMMYFUNCTION("""COMPUTED_VALUE"""),1976.93)</f>
        <v>1976.93</v>
      </c>
      <c r="D7228" s="1">
        <f>IFERROR(__xludf.DUMMYFUNCTION("""COMPUTED_VALUE"""),1965.77)</f>
        <v>1965.77</v>
      </c>
      <c r="E7228" s="1">
        <f>IFERROR(__xludf.DUMMYFUNCTION("""COMPUTED_VALUE"""),1973.63)</f>
        <v>1973.63</v>
      </c>
      <c r="F7228" s="1">
        <f>IFERROR(__xludf.DUMMYFUNCTION("""COMPUTED_VALUE"""),0.0)</f>
        <v>0</v>
      </c>
    </row>
    <row r="7229">
      <c r="A7229" s="2">
        <f>IFERROR(__xludf.DUMMYFUNCTION("""COMPUTED_VALUE"""),41842.666666666664)</f>
        <v>41842.66667</v>
      </c>
      <c r="B7229" s="1">
        <f>IFERROR(__xludf.DUMMYFUNCTION("""COMPUTED_VALUE"""),1975.65)</f>
        <v>1975.65</v>
      </c>
      <c r="C7229" s="1">
        <f>IFERROR(__xludf.DUMMYFUNCTION("""COMPUTED_VALUE"""),1986.24)</f>
        <v>1986.24</v>
      </c>
      <c r="D7229" s="1">
        <f>IFERROR(__xludf.DUMMYFUNCTION("""COMPUTED_VALUE"""),1975.65)</f>
        <v>1975.65</v>
      </c>
      <c r="E7229" s="1">
        <f>IFERROR(__xludf.DUMMYFUNCTION("""COMPUTED_VALUE"""),1983.53)</f>
        <v>1983.53</v>
      </c>
      <c r="F7229" s="1">
        <f>IFERROR(__xludf.DUMMYFUNCTION("""COMPUTED_VALUE"""),0.0)</f>
        <v>0</v>
      </c>
    </row>
    <row r="7230">
      <c r="A7230" s="2">
        <f>IFERROR(__xludf.DUMMYFUNCTION("""COMPUTED_VALUE"""),41843.666666666664)</f>
        <v>41843.66667</v>
      </c>
      <c r="B7230" s="1">
        <f>IFERROR(__xludf.DUMMYFUNCTION("""COMPUTED_VALUE"""),1985.32)</f>
        <v>1985.32</v>
      </c>
      <c r="C7230" s="1">
        <f>IFERROR(__xludf.DUMMYFUNCTION("""COMPUTED_VALUE"""),1989.23)</f>
        <v>1989.23</v>
      </c>
      <c r="D7230" s="1">
        <f>IFERROR(__xludf.DUMMYFUNCTION("""COMPUTED_VALUE"""),1982.44)</f>
        <v>1982.44</v>
      </c>
      <c r="E7230" s="1">
        <f>IFERROR(__xludf.DUMMYFUNCTION("""COMPUTED_VALUE"""),1987.01)</f>
        <v>1987.01</v>
      </c>
      <c r="F7230" s="1">
        <f>IFERROR(__xludf.DUMMYFUNCTION("""COMPUTED_VALUE"""),0.0)</f>
        <v>0</v>
      </c>
    </row>
    <row r="7231">
      <c r="A7231" s="2">
        <f>IFERROR(__xludf.DUMMYFUNCTION("""COMPUTED_VALUE"""),41844.666666666664)</f>
        <v>41844.66667</v>
      </c>
      <c r="B7231" s="1">
        <f>IFERROR(__xludf.DUMMYFUNCTION("""COMPUTED_VALUE"""),1988.07)</f>
        <v>1988.07</v>
      </c>
      <c r="C7231" s="1">
        <f>IFERROR(__xludf.DUMMYFUNCTION("""COMPUTED_VALUE"""),1991.39)</f>
        <v>1991.39</v>
      </c>
      <c r="D7231" s="1">
        <f>IFERROR(__xludf.DUMMYFUNCTION("""COMPUTED_VALUE"""),1985.79)</f>
        <v>1985.79</v>
      </c>
      <c r="E7231" s="1">
        <f>IFERROR(__xludf.DUMMYFUNCTION("""COMPUTED_VALUE"""),1987.98)</f>
        <v>1987.98</v>
      </c>
      <c r="F7231" s="1">
        <f>IFERROR(__xludf.DUMMYFUNCTION("""COMPUTED_VALUE"""),0.0)</f>
        <v>0</v>
      </c>
    </row>
    <row r="7232">
      <c r="A7232" s="2">
        <f>IFERROR(__xludf.DUMMYFUNCTION("""COMPUTED_VALUE"""),41845.666666666664)</f>
        <v>41845.66667</v>
      </c>
      <c r="B7232" s="1">
        <f>IFERROR(__xludf.DUMMYFUNCTION("""COMPUTED_VALUE"""),1984.6)</f>
        <v>1984.6</v>
      </c>
      <c r="C7232" s="1">
        <f>IFERROR(__xludf.DUMMYFUNCTION("""COMPUTED_VALUE"""),1984.6)</f>
        <v>1984.6</v>
      </c>
      <c r="D7232" s="1">
        <f>IFERROR(__xludf.DUMMYFUNCTION("""COMPUTED_VALUE"""),1974.37)</f>
        <v>1974.37</v>
      </c>
      <c r="E7232" s="1">
        <f>IFERROR(__xludf.DUMMYFUNCTION("""COMPUTED_VALUE"""),1978.34)</f>
        <v>1978.34</v>
      </c>
      <c r="F7232" s="1">
        <f>IFERROR(__xludf.DUMMYFUNCTION("""COMPUTED_VALUE"""),0.0)</f>
        <v>0</v>
      </c>
    </row>
    <row r="7233">
      <c r="A7233" s="2">
        <f>IFERROR(__xludf.DUMMYFUNCTION("""COMPUTED_VALUE"""),41848.666666666664)</f>
        <v>41848.66667</v>
      </c>
      <c r="B7233" s="1">
        <f>IFERROR(__xludf.DUMMYFUNCTION("""COMPUTED_VALUE"""),1978.25)</f>
        <v>1978.25</v>
      </c>
      <c r="C7233" s="1">
        <f>IFERROR(__xludf.DUMMYFUNCTION("""COMPUTED_VALUE"""),1981.52)</f>
        <v>1981.52</v>
      </c>
      <c r="D7233" s="1">
        <f>IFERROR(__xludf.DUMMYFUNCTION("""COMPUTED_VALUE"""),1967.31)</f>
        <v>1967.31</v>
      </c>
      <c r="E7233" s="1">
        <f>IFERROR(__xludf.DUMMYFUNCTION("""COMPUTED_VALUE"""),1978.91)</f>
        <v>1978.91</v>
      </c>
      <c r="F7233" s="1">
        <f>IFERROR(__xludf.DUMMYFUNCTION("""COMPUTED_VALUE"""),0.0)</f>
        <v>0</v>
      </c>
    </row>
    <row r="7234">
      <c r="A7234" s="2">
        <f>IFERROR(__xludf.DUMMYFUNCTION("""COMPUTED_VALUE"""),41849.666666666664)</f>
        <v>41849.66667</v>
      </c>
      <c r="B7234" s="1">
        <f>IFERROR(__xludf.DUMMYFUNCTION("""COMPUTED_VALUE"""),1980.03)</f>
        <v>1980.03</v>
      </c>
      <c r="C7234" s="1">
        <f>IFERROR(__xludf.DUMMYFUNCTION("""COMPUTED_VALUE"""),1984.85)</f>
        <v>1984.85</v>
      </c>
      <c r="D7234" s="1">
        <f>IFERROR(__xludf.DUMMYFUNCTION("""COMPUTED_VALUE"""),1969.95)</f>
        <v>1969.95</v>
      </c>
      <c r="E7234" s="1">
        <f>IFERROR(__xludf.DUMMYFUNCTION("""COMPUTED_VALUE"""),1969.95)</f>
        <v>1969.95</v>
      </c>
      <c r="F7234" s="1">
        <f>IFERROR(__xludf.DUMMYFUNCTION("""COMPUTED_VALUE"""),0.0)</f>
        <v>0</v>
      </c>
    </row>
    <row r="7235">
      <c r="A7235" s="2">
        <f>IFERROR(__xludf.DUMMYFUNCTION("""COMPUTED_VALUE"""),41850.666666666664)</f>
        <v>41850.66667</v>
      </c>
      <c r="B7235" s="1">
        <f>IFERROR(__xludf.DUMMYFUNCTION("""COMPUTED_VALUE"""),1973.21)</f>
        <v>1973.21</v>
      </c>
      <c r="C7235" s="1">
        <f>IFERROR(__xludf.DUMMYFUNCTION("""COMPUTED_VALUE"""),1978.9)</f>
        <v>1978.9</v>
      </c>
      <c r="D7235" s="1">
        <f>IFERROR(__xludf.DUMMYFUNCTION("""COMPUTED_VALUE"""),1962.75)</f>
        <v>1962.75</v>
      </c>
      <c r="E7235" s="1">
        <f>IFERROR(__xludf.DUMMYFUNCTION("""COMPUTED_VALUE"""),1970.07)</f>
        <v>1970.07</v>
      </c>
      <c r="F7235" s="1">
        <f>IFERROR(__xludf.DUMMYFUNCTION("""COMPUTED_VALUE"""),0.0)</f>
        <v>0</v>
      </c>
    </row>
    <row r="7236">
      <c r="A7236" s="2">
        <f>IFERROR(__xludf.DUMMYFUNCTION("""COMPUTED_VALUE"""),41851.666666666664)</f>
        <v>41851.66667</v>
      </c>
      <c r="B7236" s="1">
        <f>IFERROR(__xludf.DUMMYFUNCTION("""COMPUTED_VALUE"""),1965.14)</f>
        <v>1965.14</v>
      </c>
      <c r="C7236" s="1">
        <f>IFERROR(__xludf.DUMMYFUNCTION("""COMPUTED_VALUE"""),1965.14)</f>
        <v>1965.14</v>
      </c>
      <c r="D7236" s="1">
        <f>IFERROR(__xludf.DUMMYFUNCTION("""COMPUTED_VALUE"""),1930.67)</f>
        <v>1930.67</v>
      </c>
      <c r="E7236" s="1">
        <f>IFERROR(__xludf.DUMMYFUNCTION("""COMPUTED_VALUE"""),1930.67)</f>
        <v>1930.67</v>
      </c>
      <c r="F7236" s="1">
        <f>IFERROR(__xludf.DUMMYFUNCTION("""COMPUTED_VALUE"""),0.0)</f>
        <v>0</v>
      </c>
    </row>
    <row r="7237">
      <c r="A7237" s="2">
        <f>IFERROR(__xludf.DUMMYFUNCTION("""COMPUTED_VALUE"""),41852.666666666664)</f>
        <v>41852.66667</v>
      </c>
      <c r="B7237" s="1">
        <f>IFERROR(__xludf.DUMMYFUNCTION("""COMPUTED_VALUE"""),1929.8)</f>
        <v>1929.8</v>
      </c>
      <c r="C7237" s="1">
        <f>IFERROR(__xludf.DUMMYFUNCTION("""COMPUTED_VALUE"""),1937.35)</f>
        <v>1937.35</v>
      </c>
      <c r="D7237" s="1">
        <f>IFERROR(__xludf.DUMMYFUNCTION("""COMPUTED_VALUE"""),1916.37)</f>
        <v>1916.37</v>
      </c>
      <c r="E7237" s="1">
        <f>IFERROR(__xludf.DUMMYFUNCTION("""COMPUTED_VALUE"""),1925.15)</f>
        <v>1925.15</v>
      </c>
      <c r="F7237" s="1">
        <f>IFERROR(__xludf.DUMMYFUNCTION("""COMPUTED_VALUE"""),0.0)</f>
        <v>0</v>
      </c>
    </row>
    <row r="7238">
      <c r="A7238" s="2">
        <f>IFERROR(__xludf.DUMMYFUNCTION("""COMPUTED_VALUE"""),41855.666666666664)</f>
        <v>41855.66667</v>
      </c>
      <c r="B7238" s="1">
        <f>IFERROR(__xludf.DUMMYFUNCTION("""COMPUTED_VALUE"""),1926.62)</f>
        <v>1926.62</v>
      </c>
      <c r="C7238" s="1">
        <f>IFERROR(__xludf.DUMMYFUNCTION("""COMPUTED_VALUE"""),1942.92)</f>
        <v>1942.92</v>
      </c>
      <c r="D7238" s="1">
        <f>IFERROR(__xludf.DUMMYFUNCTION("""COMPUTED_VALUE"""),1921.2)</f>
        <v>1921.2</v>
      </c>
      <c r="E7238" s="1">
        <f>IFERROR(__xludf.DUMMYFUNCTION("""COMPUTED_VALUE"""),1938.99)</f>
        <v>1938.99</v>
      </c>
      <c r="F7238" s="1">
        <f>IFERROR(__xludf.DUMMYFUNCTION("""COMPUTED_VALUE"""),0.0)</f>
        <v>0</v>
      </c>
    </row>
    <row r="7239">
      <c r="A7239" s="2">
        <f>IFERROR(__xludf.DUMMYFUNCTION("""COMPUTED_VALUE"""),41856.666666666664)</f>
        <v>41856.66667</v>
      </c>
      <c r="B7239" s="1">
        <f>IFERROR(__xludf.DUMMYFUNCTION("""COMPUTED_VALUE"""),1936.34)</f>
        <v>1936.34</v>
      </c>
      <c r="C7239" s="1">
        <f>IFERROR(__xludf.DUMMYFUNCTION("""COMPUTED_VALUE"""),1936.34)</f>
        <v>1936.34</v>
      </c>
      <c r="D7239" s="1">
        <f>IFERROR(__xludf.DUMMYFUNCTION("""COMPUTED_VALUE"""),1914.3)</f>
        <v>1914.3</v>
      </c>
      <c r="E7239" s="1">
        <f>IFERROR(__xludf.DUMMYFUNCTION("""COMPUTED_VALUE"""),1920.21)</f>
        <v>1920.21</v>
      </c>
      <c r="F7239" s="1">
        <f>IFERROR(__xludf.DUMMYFUNCTION("""COMPUTED_VALUE"""),0.0)</f>
        <v>0</v>
      </c>
    </row>
    <row r="7240">
      <c r="A7240" s="2">
        <f>IFERROR(__xludf.DUMMYFUNCTION("""COMPUTED_VALUE"""),41857.666666666664)</f>
        <v>41857.66667</v>
      </c>
      <c r="B7240" s="1">
        <f>IFERROR(__xludf.DUMMYFUNCTION("""COMPUTED_VALUE"""),1917.29)</f>
        <v>1917.29</v>
      </c>
      <c r="C7240" s="1">
        <f>IFERROR(__xludf.DUMMYFUNCTION("""COMPUTED_VALUE"""),1927.91)</f>
        <v>1927.91</v>
      </c>
      <c r="D7240" s="1">
        <f>IFERROR(__xludf.DUMMYFUNCTION("""COMPUTED_VALUE"""),1911.45)</f>
        <v>1911.45</v>
      </c>
      <c r="E7240" s="1">
        <f>IFERROR(__xludf.DUMMYFUNCTION("""COMPUTED_VALUE"""),1920.24)</f>
        <v>1920.24</v>
      </c>
      <c r="F7240" s="1">
        <f>IFERROR(__xludf.DUMMYFUNCTION("""COMPUTED_VALUE"""),0.0)</f>
        <v>0</v>
      </c>
    </row>
    <row r="7241">
      <c r="A7241" s="2">
        <f>IFERROR(__xludf.DUMMYFUNCTION("""COMPUTED_VALUE"""),41858.666666666664)</f>
        <v>41858.66667</v>
      </c>
      <c r="B7241" s="1">
        <f>IFERROR(__xludf.DUMMYFUNCTION("""COMPUTED_VALUE"""),1923.03)</f>
        <v>1923.03</v>
      </c>
      <c r="C7241" s="1">
        <f>IFERROR(__xludf.DUMMYFUNCTION("""COMPUTED_VALUE"""),1928.89)</f>
        <v>1928.89</v>
      </c>
      <c r="D7241" s="1">
        <f>IFERROR(__xludf.DUMMYFUNCTION("""COMPUTED_VALUE"""),1904.78)</f>
        <v>1904.78</v>
      </c>
      <c r="E7241" s="1">
        <f>IFERROR(__xludf.DUMMYFUNCTION("""COMPUTED_VALUE"""),1909.57)</f>
        <v>1909.57</v>
      </c>
      <c r="F7241" s="1">
        <f>IFERROR(__xludf.DUMMYFUNCTION("""COMPUTED_VALUE"""),0.0)</f>
        <v>0</v>
      </c>
    </row>
    <row r="7242">
      <c r="A7242" s="2">
        <f>IFERROR(__xludf.DUMMYFUNCTION("""COMPUTED_VALUE"""),41859.666666666664)</f>
        <v>41859.66667</v>
      </c>
      <c r="B7242" s="1">
        <f>IFERROR(__xludf.DUMMYFUNCTION("""COMPUTED_VALUE"""),1910.35)</f>
        <v>1910.35</v>
      </c>
      <c r="C7242" s="1">
        <f>IFERROR(__xludf.DUMMYFUNCTION("""COMPUTED_VALUE"""),1932.38)</f>
        <v>1932.38</v>
      </c>
      <c r="D7242" s="1">
        <f>IFERROR(__xludf.DUMMYFUNCTION("""COMPUTED_VALUE"""),1909.01)</f>
        <v>1909.01</v>
      </c>
      <c r="E7242" s="1">
        <f>IFERROR(__xludf.DUMMYFUNCTION("""COMPUTED_VALUE"""),1931.59)</f>
        <v>1931.59</v>
      </c>
      <c r="F7242" s="1">
        <f>IFERROR(__xludf.DUMMYFUNCTION("""COMPUTED_VALUE"""),0.0)</f>
        <v>0</v>
      </c>
    </row>
    <row r="7243">
      <c r="A7243" s="2">
        <f>IFERROR(__xludf.DUMMYFUNCTION("""COMPUTED_VALUE"""),41862.666666666664)</f>
        <v>41862.66667</v>
      </c>
      <c r="B7243" s="1">
        <f>IFERROR(__xludf.DUMMYFUNCTION("""COMPUTED_VALUE"""),1933.43)</f>
        <v>1933.43</v>
      </c>
      <c r="C7243" s="1">
        <f>IFERROR(__xludf.DUMMYFUNCTION("""COMPUTED_VALUE"""),1944.9)</f>
        <v>1944.9</v>
      </c>
      <c r="D7243" s="1">
        <f>IFERROR(__xludf.DUMMYFUNCTION("""COMPUTED_VALUE"""),1933.43)</f>
        <v>1933.43</v>
      </c>
      <c r="E7243" s="1">
        <f>IFERROR(__xludf.DUMMYFUNCTION("""COMPUTED_VALUE"""),1936.92)</f>
        <v>1936.92</v>
      </c>
      <c r="F7243" s="1">
        <f>IFERROR(__xludf.DUMMYFUNCTION("""COMPUTED_VALUE"""),0.0)</f>
        <v>0</v>
      </c>
    </row>
    <row r="7244">
      <c r="A7244" s="2">
        <f>IFERROR(__xludf.DUMMYFUNCTION("""COMPUTED_VALUE"""),41863.666666666664)</f>
        <v>41863.66667</v>
      </c>
      <c r="B7244" s="1">
        <f>IFERROR(__xludf.DUMMYFUNCTION("""COMPUTED_VALUE"""),1935.73)</f>
        <v>1935.73</v>
      </c>
      <c r="C7244" s="1">
        <f>IFERROR(__xludf.DUMMYFUNCTION("""COMPUTED_VALUE"""),1939.65)</f>
        <v>1939.65</v>
      </c>
      <c r="D7244" s="1">
        <f>IFERROR(__xludf.DUMMYFUNCTION("""COMPUTED_VALUE"""),1928.29)</f>
        <v>1928.29</v>
      </c>
      <c r="E7244" s="1">
        <f>IFERROR(__xludf.DUMMYFUNCTION("""COMPUTED_VALUE"""),1933.75)</f>
        <v>1933.75</v>
      </c>
      <c r="F7244" s="1">
        <f>IFERROR(__xludf.DUMMYFUNCTION("""COMPUTED_VALUE"""),0.0)</f>
        <v>0</v>
      </c>
    </row>
    <row r="7245">
      <c r="A7245" s="2">
        <f>IFERROR(__xludf.DUMMYFUNCTION("""COMPUTED_VALUE"""),41864.666666666664)</f>
        <v>41864.66667</v>
      </c>
      <c r="B7245" s="1">
        <f>IFERROR(__xludf.DUMMYFUNCTION("""COMPUTED_VALUE"""),1935.6)</f>
        <v>1935.6</v>
      </c>
      <c r="C7245" s="1">
        <f>IFERROR(__xludf.DUMMYFUNCTION("""COMPUTED_VALUE"""),1948.41)</f>
        <v>1948.41</v>
      </c>
      <c r="D7245" s="1">
        <f>IFERROR(__xludf.DUMMYFUNCTION("""COMPUTED_VALUE"""),1935.6)</f>
        <v>1935.6</v>
      </c>
      <c r="E7245" s="1">
        <f>IFERROR(__xludf.DUMMYFUNCTION("""COMPUTED_VALUE"""),1946.72)</f>
        <v>1946.72</v>
      </c>
      <c r="F7245" s="1">
        <f>IFERROR(__xludf.DUMMYFUNCTION("""COMPUTED_VALUE"""),0.0)</f>
        <v>0</v>
      </c>
    </row>
    <row r="7246">
      <c r="A7246" s="2">
        <f>IFERROR(__xludf.DUMMYFUNCTION("""COMPUTED_VALUE"""),41865.666666666664)</f>
        <v>41865.66667</v>
      </c>
      <c r="B7246" s="1">
        <f>IFERROR(__xludf.DUMMYFUNCTION("""COMPUTED_VALUE"""),1947.41)</f>
        <v>1947.41</v>
      </c>
      <c r="C7246" s="1">
        <f>IFERROR(__xludf.DUMMYFUNCTION("""COMPUTED_VALUE"""),1955.23)</f>
        <v>1955.23</v>
      </c>
      <c r="D7246" s="1">
        <f>IFERROR(__xludf.DUMMYFUNCTION("""COMPUTED_VALUE"""),1947.41)</f>
        <v>1947.41</v>
      </c>
      <c r="E7246" s="1">
        <f>IFERROR(__xludf.DUMMYFUNCTION("""COMPUTED_VALUE"""),1955.18)</f>
        <v>1955.18</v>
      </c>
      <c r="F7246" s="1">
        <f>IFERROR(__xludf.DUMMYFUNCTION("""COMPUTED_VALUE"""),0.0)</f>
        <v>0</v>
      </c>
    </row>
    <row r="7247">
      <c r="A7247" s="2">
        <f>IFERROR(__xludf.DUMMYFUNCTION("""COMPUTED_VALUE"""),41866.666666666664)</f>
        <v>41866.66667</v>
      </c>
      <c r="B7247" s="1">
        <f>IFERROR(__xludf.DUMMYFUNCTION("""COMPUTED_VALUE"""),1958.87)</f>
        <v>1958.87</v>
      </c>
      <c r="C7247" s="1">
        <f>IFERROR(__xludf.DUMMYFUNCTION("""COMPUTED_VALUE"""),1964.04)</f>
        <v>1964.04</v>
      </c>
      <c r="D7247" s="1">
        <f>IFERROR(__xludf.DUMMYFUNCTION("""COMPUTED_VALUE"""),1941.5)</f>
        <v>1941.5</v>
      </c>
      <c r="E7247" s="1">
        <f>IFERROR(__xludf.DUMMYFUNCTION("""COMPUTED_VALUE"""),1955.06)</f>
        <v>1955.06</v>
      </c>
      <c r="F7247" s="1">
        <f>IFERROR(__xludf.DUMMYFUNCTION("""COMPUTED_VALUE"""),0.0)</f>
        <v>0</v>
      </c>
    </row>
    <row r="7248">
      <c r="A7248" s="2">
        <f>IFERROR(__xludf.DUMMYFUNCTION("""COMPUTED_VALUE"""),41869.666666666664)</f>
        <v>41869.66667</v>
      </c>
      <c r="B7248" s="1">
        <f>IFERROR(__xludf.DUMMYFUNCTION("""COMPUTED_VALUE"""),1958.36)</f>
        <v>1958.36</v>
      </c>
      <c r="C7248" s="1">
        <f>IFERROR(__xludf.DUMMYFUNCTION("""COMPUTED_VALUE"""),1971.99)</f>
        <v>1971.99</v>
      </c>
      <c r="D7248" s="1">
        <f>IFERROR(__xludf.DUMMYFUNCTION("""COMPUTED_VALUE"""),1958.36)</f>
        <v>1958.36</v>
      </c>
      <c r="E7248" s="1">
        <f>IFERROR(__xludf.DUMMYFUNCTION("""COMPUTED_VALUE"""),1971.74)</f>
        <v>1971.74</v>
      </c>
      <c r="F7248" s="1">
        <f>IFERROR(__xludf.DUMMYFUNCTION("""COMPUTED_VALUE"""),0.0)</f>
        <v>0</v>
      </c>
    </row>
    <row r="7249">
      <c r="A7249" s="2">
        <f>IFERROR(__xludf.DUMMYFUNCTION("""COMPUTED_VALUE"""),41870.666666666664)</f>
        <v>41870.66667</v>
      </c>
      <c r="B7249" s="1">
        <f>IFERROR(__xludf.DUMMYFUNCTION("""COMPUTED_VALUE"""),1972.73)</f>
        <v>1972.73</v>
      </c>
      <c r="C7249" s="1">
        <f>IFERROR(__xludf.DUMMYFUNCTION("""COMPUTED_VALUE"""),1982.57)</f>
        <v>1982.57</v>
      </c>
      <c r="D7249" s="1">
        <f>IFERROR(__xludf.DUMMYFUNCTION("""COMPUTED_VALUE"""),1972.73)</f>
        <v>1972.73</v>
      </c>
      <c r="E7249" s="1">
        <f>IFERROR(__xludf.DUMMYFUNCTION("""COMPUTED_VALUE"""),1981.6)</f>
        <v>1981.6</v>
      </c>
      <c r="F7249" s="1">
        <f>IFERROR(__xludf.DUMMYFUNCTION("""COMPUTED_VALUE"""),0.0)</f>
        <v>0</v>
      </c>
    </row>
    <row r="7250">
      <c r="A7250" s="2">
        <f>IFERROR(__xludf.DUMMYFUNCTION("""COMPUTED_VALUE"""),41871.666666666664)</f>
        <v>41871.66667</v>
      </c>
      <c r="B7250" s="1">
        <f>IFERROR(__xludf.DUMMYFUNCTION("""COMPUTED_VALUE"""),1980.46)</f>
        <v>1980.46</v>
      </c>
      <c r="C7250" s="1">
        <f>IFERROR(__xludf.DUMMYFUNCTION("""COMPUTED_VALUE"""),1988.57)</f>
        <v>1988.57</v>
      </c>
      <c r="D7250" s="1">
        <f>IFERROR(__xludf.DUMMYFUNCTION("""COMPUTED_VALUE"""),1977.68)</f>
        <v>1977.68</v>
      </c>
      <c r="E7250" s="1">
        <f>IFERROR(__xludf.DUMMYFUNCTION("""COMPUTED_VALUE"""),1986.51)</f>
        <v>1986.51</v>
      </c>
      <c r="F7250" s="1">
        <f>IFERROR(__xludf.DUMMYFUNCTION("""COMPUTED_VALUE"""),0.0)</f>
        <v>0</v>
      </c>
    </row>
    <row r="7251">
      <c r="A7251" s="2">
        <f>IFERROR(__xludf.DUMMYFUNCTION("""COMPUTED_VALUE"""),41872.666666666664)</f>
        <v>41872.66667</v>
      </c>
      <c r="B7251" s="1">
        <f>IFERROR(__xludf.DUMMYFUNCTION("""COMPUTED_VALUE"""),1986.82)</f>
        <v>1986.82</v>
      </c>
      <c r="C7251" s="1">
        <f>IFERROR(__xludf.DUMMYFUNCTION("""COMPUTED_VALUE"""),1994.76)</f>
        <v>1994.76</v>
      </c>
      <c r="D7251" s="1">
        <f>IFERROR(__xludf.DUMMYFUNCTION("""COMPUTED_VALUE"""),1986.82)</f>
        <v>1986.82</v>
      </c>
      <c r="E7251" s="1">
        <f>IFERROR(__xludf.DUMMYFUNCTION("""COMPUTED_VALUE"""),1992.37)</f>
        <v>1992.37</v>
      </c>
      <c r="F7251" s="1">
        <f>IFERROR(__xludf.DUMMYFUNCTION("""COMPUTED_VALUE"""),0.0)</f>
        <v>0</v>
      </c>
    </row>
    <row r="7252">
      <c r="A7252" s="2">
        <f>IFERROR(__xludf.DUMMYFUNCTION("""COMPUTED_VALUE"""),41873.666666666664)</f>
        <v>41873.66667</v>
      </c>
      <c r="B7252" s="1">
        <f>IFERROR(__xludf.DUMMYFUNCTION("""COMPUTED_VALUE"""),1992.6)</f>
        <v>1992.6</v>
      </c>
      <c r="C7252" s="1">
        <f>IFERROR(__xludf.DUMMYFUNCTION("""COMPUTED_VALUE"""),1993.54)</f>
        <v>1993.54</v>
      </c>
      <c r="D7252" s="1">
        <f>IFERROR(__xludf.DUMMYFUNCTION("""COMPUTED_VALUE"""),1984.76)</f>
        <v>1984.76</v>
      </c>
      <c r="E7252" s="1">
        <f>IFERROR(__xludf.DUMMYFUNCTION("""COMPUTED_VALUE"""),1988.4)</f>
        <v>1988.4</v>
      </c>
      <c r="F7252" s="1">
        <f>IFERROR(__xludf.DUMMYFUNCTION("""COMPUTED_VALUE"""),0.0)</f>
        <v>0</v>
      </c>
    </row>
    <row r="7253">
      <c r="A7253" s="2">
        <f>IFERROR(__xludf.DUMMYFUNCTION("""COMPUTED_VALUE"""),41876.666666666664)</f>
        <v>41876.66667</v>
      </c>
      <c r="B7253" s="1">
        <f>IFERROR(__xludf.DUMMYFUNCTION("""COMPUTED_VALUE"""),1988.97)</f>
        <v>1988.97</v>
      </c>
      <c r="C7253" s="1">
        <f>IFERROR(__xludf.DUMMYFUNCTION("""COMPUTED_VALUE"""),2001.95)</f>
        <v>2001.95</v>
      </c>
      <c r="D7253" s="1">
        <f>IFERROR(__xludf.DUMMYFUNCTION("""COMPUTED_VALUE"""),1988.51)</f>
        <v>1988.51</v>
      </c>
      <c r="E7253" s="1">
        <f>IFERROR(__xludf.DUMMYFUNCTION("""COMPUTED_VALUE"""),1997.92)</f>
        <v>1997.92</v>
      </c>
      <c r="F7253" s="1">
        <f>IFERROR(__xludf.DUMMYFUNCTION("""COMPUTED_VALUE"""),0.0)</f>
        <v>0</v>
      </c>
    </row>
    <row r="7254">
      <c r="A7254" s="2">
        <f>IFERROR(__xludf.DUMMYFUNCTION("""COMPUTED_VALUE"""),41877.666666666664)</f>
        <v>41877.66667</v>
      </c>
      <c r="B7254" s="1">
        <f>IFERROR(__xludf.DUMMYFUNCTION("""COMPUTED_VALUE"""),1998.59)</f>
        <v>1998.59</v>
      </c>
      <c r="C7254" s="1">
        <f>IFERROR(__xludf.DUMMYFUNCTION("""COMPUTED_VALUE"""),2005.04)</f>
        <v>2005.04</v>
      </c>
      <c r="D7254" s="1">
        <f>IFERROR(__xludf.DUMMYFUNCTION("""COMPUTED_VALUE"""),1998.59)</f>
        <v>1998.59</v>
      </c>
      <c r="E7254" s="1">
        <f>IFERROR(__xludf.DUMMYFUNCTION("""COMPUTED_VALUE"""),2000.02)</f>
        <v>2000.02</v>
      </c>
      <c r="F7254" s="1">
        <f>IFERROR(__xludf.DUMMYFUNCTION("""COMPUTED_VALUE"""),0.0)</f>
        <v>0</v>
      </c>
    </row>
    <row r="7255">
      <c r="A7255" s="2">
        <f>IFERROR(__xludf.DUMMYFUNCTION("""COMPUTED_VALUE"""),41878.666666666664)</f>
        <v>41878.66667</v>
      </c>
      <c r="B7255" s="1">
        <f>IFERROR(__xludf.DUMMYFUNCTION("""COMPUTED_VALUE"""),2000.54)</f>
        <v>2000.54</v>
      </c>
      <c r="C7255" s="1">
        <f>IFERROR(__xludf.DUMMYFUNCTION("""COMPUTED_VALUE"""),2002.14)</f>
        <v>2002.14</v>
      </c>
      <c r="D7255" s="1">
        <f>IFERROR(__xludf.DUMMYFUNCTION("""COMPUTED_VALUE"""),1996.2)</f>
        <v>1996.2</v>
      </c>
      <c r="E7255" s="1">
        <f>IFERROR(__xludf.DUMMYFUNCTION("""COMPUTED_VALUE"""),2000.12)</f>
        <v>2000.12</v>
      </c>
      <c r="F7255" s="1">
        <f>IFERROR(__xludf.DUMMYFUNCTION("""COMPUTED_VALUE"""),0.0)</f>
        <v>0</v>
      </c>
    </row>
    <row r="7256">
      <c r="A7256" s="2">
        <f>IFERROR(__xludf.DUMMYFUNCTION("""COMPUTED_VALUE"""),41879.666666666664)</f>
        <v>41879.66667</v>
      </c>
      <c r="B7256" s="1">
        <f>IFERROR(__xludf.DUMMYFUNCTION("""COMPUTED_VALUE"""),1997.42)</f>
        <v>1997.42</v>
      </c>
      <c r="C7256" s="1">
        <f>IFERROR(__xludf.DUMMYFUNCTION("""COMPUTED_VALUE"""),1998.55)</f>
        <v>1998.55</v>
      </c>
      <c r="D7256" s="1">
        <f>IFERROR(__xludf.DUMMYFUNCTION("""COMPUTED_VALUE"""),1990.52)</f>
        <v>1990.52</v>
      </c>
      <c r="E7256" s="1">
        <f>IFERROR(__xludf.DUMMYFUNCTION("""COMPUTED_VALUE"""),1996.74)</f>
        <v>1996.74</v>
      </c>
      <c r="F7256" s="1">
        <f>IFERROR(__xludf.DUMMYFUNCTION("""COMPUTED_VALUE"""),0.0)</f>
        <v>0</v>
      </c>
    </row>
    <row r="7257">
      <c r="A7257" s="2">
        <f>IFERROR(__xludf.DUMMYFUNCTION("""COMPUTED_VALUE"""),41880.666666666664)</f>
        <v>41880.66667</v>
      </c>
      <c r="B7257" s="1">
        <f>IFERROR(__xludf.DUMMYFUNCTION("""COMPUTED_VALUE"""),1998.45)</f>
        <v>1998.45</v>
      </c>
      <c r="C7257" s="1">
        <f>IFERROR(__xludf.DUMMYFUNCTION("""COMPUTED_VALUE"""),2003.38)</f>
        <v>2003.38</v>
      </c>
      <c r="D7257" s="1">
        <f>IFERROR(__xludf.DUMMYFUNCTION("""COMPUTED_VALUE"""),1994.65)</f>
        <v>1994.65</v>
      </c>
      <c r="E7257" s="1">
        <f>IFERROR(__xludf.DUMMYFUNCTION("""COMPUTED_VALUE"""),2003.37)</f>
        <v>2003.37</v>
      </c>
      <c r="F7257" s="1">
        <f>IFERROR(__xludf.DUMMYFUNCTION("""COMPUTED_VALUE"""),0.0)</f>
        <v>0</v>
      </c>
    </row>
    <row r="7258">
      <c r="A7258" s="2">
        <f>IFERROR(__xludf.DUMMYFUNCTION("""COMPUTED_VALUE"""),41884.666666666664)</f>
        <v>41884.66667</v>
      </c>
      <c r="B7258" s="1">
        <f>IFERROR(__xludf.DUMMYFUNCTION("""COMPUTED_VALUE"""),2004.07)</f>
        <v>2004.07</v>
      </c>
      <c r="C7258" s="1">
        <f>IFERROR(__xludf.DUMMYFUNCTION("""COMPUTED_VALUE"""),2006.12)</f>
        <v>2006.12</v>
      </c>
      <c r="D7258" s="1">
        <f>IFERROR(__xludf.DUMMYFUNCTION("""COMPUTED_VALUE"""),1994.85)</f>
        <v>1994.85</v>
      </c>
      <c r="E7258" s="1">
        <f>IFERROR(__xludf.DUMMYFUNCTION("""COMPUTED_VALUE"""),2002.28)</f>
        <v>2002.28</v>
      </c>
      <c r="F7258" s="1">
        <f>IFERROR(__xludf.DUMMYFUNCTION("""COMPUTED_VALUE"""),0.0)</f>
        <v>0</v>
      </c>
    </row>
    <row r="7259">
      <c r="A7259" s="2">
        <f>IFERROR(__xludf.DUMMYFUNCTION("""COMPUTED_VALUE"""),41885.666666666664)</f>
        <v>41885.66667</v>
      </c>
      <c r="B7259" s="1">
        <f>IFERROR(__xludf.DUMMYFUNCTION("""COMPUTED_VALUE"""),2003.57)</f>
        <v>2003.57</v>
      </c>
      <c r="C7259" s="1">
        <f>IFERROR(__xludf.DUMMYFUNCTION("""COMPUTED_VALUE"""),2009.28)</f>
        <v>2009.28</v>
      </c>
      <c r="D7259" s="1">
        <f>IFERROR(__xludf.DUMMYFUNCTION("""COMPUTED_VALUE"""),1998.14)</f>
        <v>1998.14</v>
      </c>
      <c r="E7259" s="1">
        <f>IFERROR(__xludf.DUMMYFUNCTION("""COMPUTED_VALUE"""),2000.72)</f>
        <v>2000.72</v>
      </c>
      <c r="F7259" s="1">
        <f>IFERROR(__xludf.DUMMYFUNCTION("""COMPUTED_VALUE"""),0.0)</f>
        <v>0</v>
      </c>
    </row>
    <row r="7260">
      <c r="A7260" s="2">
        <f>IFERROR(__xludf.DUMMYFUNCTION("""COMPUTED_VALUE"""),41886.666666666664)</f>
        <v>41886.66667</v>
      </c>
      <c r="B7260" s="1">
        <f>IFERROR(__xludf.DUMMYFUNCTION("""COMPUTED_VALUE"""),2001.67)</f>
        <v>2001.67</v>
      </c>
      <c r="C7260" s="1">
        <f>IFERROR(__xludf.DUMMYFUNCTION("""COMPUTED_VALUE"""),2011.17)</f>
        <v>2011.17</v>
      </c>
      <c r="D7260" s="1">
        <f>IFERROR(__xludf.DUMMYFUNCTION("""COMPUTED_VALUE"""),1992.54)</f>
        <v>1992.54</v>
      </c>
      <c r="E7260" s="1">
        <f>IFERROR(__xludf.DUMMYFUNCTION("""COMPUTED_VALUE"""),1997.65)</f>
        <v>1997.65</v>
      </c>
      <c r="F7260" s="1">
        <f>IFERROR(__xludf.DUMMYFUNCTION("""COMPUTED_VALUE"""),0.0)</f>
        <v>0</v>
      </c>
    </row>
    <row r="7261">
      <c r="A7261" s="2">
        <f>IFERROR(__xludf.DUMMYFUNCTION("""COMPUTED_VALUE"""),41887.666666666664)</f>
        <v>41887.66667</v>
      </c>
      <c r="B7261" s="1">
        <f>IFERROR(__xludf.DUMMYFUNCTION("""COMPUTED_VALUE"""),1998.0)</f>
        <v>1998</v>
      </c>
      <c r="C7261" s="1">
        <f>IFERROR(__xludf.DUMMYFUNCTION("""COMPUTED_VALUE"""),2007.71)</f>
        <v>2007.71</v>
      </c>
      <c r="D7261" s="1">
        <f>IFERROR(__xludf.DUMMYFUNCTION("""COMPUTED_VALUE"""),1990.1)</f>
        <v>1990.1</v>
      </c>
      <c r="E7261" s="1">
        <f>IFERROR(__xludf.DUMMYFUNCTION("""COMPUTED_VALUE"""),2007.71)</f>
        <v>2007.71</v>
      </c>
      <c r="F7261" s="1">
        <f>IFERROR(__xludf.DUMMYFUNCTION("""COMPUTED_VALUE"""),0.0)</f>
        <v>0</v>
      </c>
    </row>
    <row r="7262">
      <c r="A7262" s="2">
        <f>IFERROR(__xludf.DUMMYFUNCTION("""COMPUTED_VALUE"""),41890.666666666664)</f>
        <v>41890.66667</v>
      </c>
      <c r="B7262" s="1">
        <f>IFERROR(__xludf.DUMMYFUNCTION("""COMPUTED_VALUE"""),2007.17)</f>
        <v>2007.17</v>
      </c>
      <c r="C7262" s="1">
        <f>IFERROR(__xludf.DUMMYFUNCTION("""COMPUTED_VALUE"""),2007.17)</f>
        <v>2007.17</v>
      </c>
      <c r="D7262" s="1">
        <f>IFERROR(__xludf.DUMMYFUNCTION("""COMPUTED_VALUE"""),1995.6)</f>
        <v>1995.6</v>
      </c>
      <c r="E7262" s="1">
        <f>IFERROR(__xludf.DUMMYFUNCTION("""COMPUTED_VALUE"""),2001.54)</f>
        <v>2001.54</v>
      </c>
      <c r="F7262" s="1">
        <f>IFERROR(__xludf.DUMMYFUNCTION("""COMPUTED_VALUE"""),0.0)</f>
        <v>0</v>
      </c>
    </row>
    <row r="7263">
      <c r="A7263" s="2">
        <f>IFERROR(__xludf.DUMMYFUNCTION("""COMPUTED_VALUE"""),41891.666666666664)</f>
        <v>41891.66667</v>
      </c>
      <c r="B7263" s="1">
        <f>IFERROR(__xludf.DUMMYFUNCTION("""COMPUTED_VALUE"""),2000.73)</f>
        <v>2000.73</v>
      </c>
      <c r="C7263" s="1">
        <f>IFERROR(__xludf.DUMMYFUNCTION("""COMPUTED_VALUE"""),2001.01)</f>
        <v>2001.01</v>
      </c>
      <c r="D7263" s="1">
        <f>IFERROR(__xludf.DUMMYFUNCTION("""COMPUTED_VALUE"""),1984.61)</f>
        <v>1984.61</v>
      </c>
      <c r="E7263" s="1">
        <f>IFERROR(__xludf.DUMMYFUNCTION("""COMPUTED_VALUE"""),1988.44)</f>
        <v>1988.44</v>
      </c>
      <c r="F7263" s="1">
        <f>IFERROR(__xludf.DUMMYFUNCTION("""COMPUTED_VALUE"""),0.0)</f>
        <v>0</v>
      </c>
    </row>
    <row r="7264">
      <c r="A7264" s="2">
        <f>IFERROR(__xludf.DUMMYFUNCTION("""COMPUTED_VALUE"""),41892.666666666664)</f>
        <v>41892.66667</v>
      </c>
      <c r="B7264" s="1">
        <f>IFERROR(__xludf.DUMMYFUNCTION("""COMPUTED_VALUE"""),1988.41)</f>
        <v>1988.41</v>
      </c>
      <c r="C7264" s="1">
        <f>IFERROR(__xludf.DUMMYFUNCTION("""COMPUTED_VALUE"""),1996.66)</f>
        <v>1996.66</v>
      </c>
      <c r="D7264" s="1">
        <f>IFERROR(__xludf.DUMMYFUNCTION("""COMPUTED_VALUE"""),1982.99)</f>
        <v>1982.99</v>
      </c>
      <c r="E7264" s="1">
        <f>IFERROR(__xludf.DUMMYFUNCTION("""COMPUTED_VALUE"""),1995.69)</f>
        <v>1995.69</v>
      </c>
      <c r="F7264" s="1">
        <f>IFERROR(__xludf.DUMMYFUNCTION("""COMPUTED_VALUE"""),0.0)</f>
        <v>0</v>
      </c>
    </row>
    <row r="7265">
      <c r="A7265" s="2">
        <f>IFERROR(__xludf.DUMMYFUNCTION("""COMPUTED_VALUE"""),41893.666666666664)</f>
        <v>41893.66667</v>
      </c>
      <c r="B7265" s="1">
        <f>IFERROR(__xludf.DUMMYFUNCTION("""COMPUTED_VALUE"""),1992.85)</f>
        <v>1992.85</v>
      </c>
      <c r="C7265" s="1">
        <f>IFERROR(__xludf.DUMMYFUNCTION("""COMPUTED_VALUE"""),1997.65)</f>
        <v>1997.65</v>
      </c>
      <c r="D7265" s="1">
        <f>IFERROR(__xludf.DUMMYFUNCTION("""COMPUTED_VALUE"""),1985.93)</f>
        <v>1985.93</v>
      </c>
      <c r="E7265" s="1">
        <f>IFERROR(__xludf.DUMMYFUNCTION("""COMPUTED_VALUE"""),1997.45)</f>
        <v>1997.45</v>
      </c>
      <c r="F7265" s="1">
        <f>IFERROR(__xludf.DUMMYFUNCTION("""COMPUTED_VALUE"""),0.0)</f>
        <v>0</v>
      </c>
    </row>
    <row r="7266">
      <c r="A7266" s="2">
        <f>IFERROR(__xludf.DUMMYFUNCTION("""COMPUTED_VALUE"""),41894.666666666664)</f>
        <v>41894.66667</v>
      </c>
      <c r="B7266" s="1">
        <f>IFERROR(__xludf.DUMMYFUNCTION("""COMPUTED_VALUE"""),1996.74)</f>
        <v>1996.74</v>
      </c>
      <c r="C7266" s="1">
        <f>IFERROR(__xludf.DUMMYFUNCTION("""COMPUTED_VALUE"""),1996.74)</f>
        <v>1996.74</v>
      </c>
      <c r="D7266" s="1">
        <f>IFERROR(__xludf.DUMMYFUNCTION("""COMPUTED_VALUE"""),1980.26)</f>
        <v>1980.26</v>
      </c>
      <c r="E7266" s="1">
        <f>IFERROR(__xludf.DUMMYFUNCTION("""COMPUTED_VALUE"""),1985.54)</f>
        <v>1985.54</v>
      </c>
      <c r="F7266" s="1">
        <f>IFERROR(__xludf.DUMMYFUNCTION("""COMPUTED_VALUE"""),0.0)</f>
        <v>0</v>
      </c>
    </row>
    <row r="7267">
      <c r="A7267" s="2">
        <f>IFERROR(__xludf.DUMMYFUNCTION("""COMPUTED_VALUE"""),41897.666666666664)</f>
        <v>41897.66667</v>
      </c>
      <c r="B7267" s="1">
        <f>IFERROR(__xludf.DUMMYFUNCTION("""COMPUTED_VALUE"""),1996.74)</f>
        <v>1996.74</v>
      </c>
      <c r="C7267" s="1">
        <f>IFERROR(__xludf.DUMMYFUNCTION("""COMPUTED_VALUE"""),1996.74)</f>
        <v>1996.74</v>
      </c>
      <c r="D7267" s="1">
        <f>IFERROR(__xludf.DUMMYFUNCTION("""COMPUTED_VALUE"""),1978.48)</f>
        <v>1978.48</v>
      </c>
      <c r="E7267" s="1">
        <f>IFERROR(__xludf.DUMMYFUNCTION("""COMPUTED_VALUE"""),1984.13)</f>
        <v>1984.13</v>
      </c>
      <c r="F7267" s="1">
        <f>IFERROR(__xludf.DUMMYFUNCTION("""COMPUTED_VALUE"""),0.0)</f>
        <v>0</v>
      </c>
    </row>
    <row r="7268">
      <c r="A7268" s="2">
        <f>IFERROR(__xludf.DUMMYFUNCTION("""COMPUTED_VALUE"""),41898.666666666664)</f>
        <v>41898.66667</v>
      </c>
      <c r="B7268" s="1">
        <f>IFERROR(__xludf.DUMMYFUNCTION("""COMPUTED_VALUE"""),1981.93)</f>
        <v>1981.93</v>
      </c>
      <c r="C7268" s="1">
        <f>IFERROR(__xludf.DUMMYFUNCTION("""COMPUTED_VALUE"""),2002.28)</f>
        <v>2002.28</v>
      </c>
      <c r="D7268" s="1">
        <f>IFERROR(__xludf.DUMMYFUNCTION("""COMPUTED_VALUE"""),1979.06)</f>
        <v>1979.06</v>
      </c>
      <c r="E7268" s="1">
        <f>IFERROR(__xludf.DUMMYFUNCTION("""COMPUTED_VALUE"""),1998.98)</f>
        <v>1998.98</v>
      </c>
      <c r="F7268" s="1">
        <f>IFERROR(__xludf.DUMMYFUNCTION("""COMPUTED_VALUE"""),0.0)</f>
        <v>0</v>
      </c>
    </row>
    <row r="7269">
      <c r="A7269" s="2">
        <f>IFERROR(__xludf.DUMMYFUNCTION("""COMPUTED_VALUE"""),41899.666666666664)</f>
        <v>41899.66667</v>
      </c>
      <c r="B7269" s="1">
        <f>IFERROR(__xludf.DUMMYFUNCTION("""COMPUTED_VALUE"""),1999.3)</f>
        <v>1999.3</v>
      </c>
      <c r="C7269" s="1">
        <f>IFERROR(__xludf.DUMMYFUNCTION("""COMPUTED_VALUE"""),2010.74)</f>
        <v>2010.74</v>
      </c>
      <c r="D7269" s="1">
        <f>IFERROR(__xludf.DUMMYFUNCTION("""COMPUTED_VALUE"""),1993.29)</f>
        <v>1993.29</v>
      </c>
      <c r="E7269" s="1">
        <f>IFERROR(__xludf.DUMMYFUNCTION("""COMPUTED_VALUE"""),2001.57)</f>
        <v>2001.57</v>
      </c>
      <c r="F7269" s="1">
        <f>IFERROR(__xludf.DUMMYFUNCTION("""COMPUTED_VALUE"""),0.0)</f>
        <v>0</v>
      </c>
    </row>
    <row r="7270">
      <c r="A7270" s="2">
        <f>IFERROR(__xludf.DUMMYFUNCTION("""COMPUTED_VALUE"""),41900.666666666664)</f>
        <v>41900.66667</v>
      </c>
      <c r="B7270" s="1">
        <f>IFERROR(__xludf.DUMMYFUNCTION("""COMPUTED_VALUE"""),2003.07)</f>
        <v>2003.07</v>
      </c>
      <c r="C7270" s="1">
        <f>IFERROR(__xludf.DUMMYFUNCTION("""COMPUTED_VALUE"""),2012.34)</f>
        <v>2012.34</v>
      </c>
      <c r="D7270" s="1">
        <f>IFERROR(__xludf.DUMMYFUNCTION("""COMPUTED_VALUE"""),2003.07)</f>
        <v>2003.07</v>
      </c>
      <c r="E7270" s="1">
        <f>IFERROR(__xludf.DUMMYFUNCTION("""COMPUTED_VALUE"""),2011.36)</f>
        <v>2011.36</v>
      </c>
      <c r="F7270" s="1">
        <f>IFERROR(__xludf.DUMMYFUNCTION("""COMPUTED_VALUE"""),0.0)</f>
        <v>0</v>
      </c>
    </row>
    <row r="7271">
      <c r="A7271" s="2">
        <f>IFERROR(__xludf.DUMMYFUNCTION("""COMPUTED_VALUE"""),41901.666666666664)</f>
        <v>41901.66667</v>
      </c>
      <c r="B7271" s="1">
        <f>IFERROR(__xludf.DUMMYFUNCTION("""COMPUTED_VALUE"""),2012.74)</f>
        <v>2012.74</v>
      </c>
      <c r="C7271" s="1">
        <f>IFERROR(__xludf.DUMMYFUNCTION("""COMPUTED_VALUE"""),2019.26)</f>
        <v>2019.26</v>
      </c>
      <c r="D7271" s="1">
        <f>IFERROR(__xludf.DUMMYFUNCTION("""COMPUTED_VALUE"""),2006.59)</f>
        <v>2006.59</v>
      </c>
      <c r="E7271" s="1">
        <f>IFERROR(__xludf.DUMMYFUNCTION("""COMPUTED_VALUE"""),2010.4)</f>
        <v>2010.4</v>
      </c>
      <c r="F7271" s="1">
        <f>IFERROR(__xludf.DUMMYFUNCTION("""COMPUTED_VALUE"""),0.0)</f>
        <v>0</v>
      </c>
    </row>
    <row r="7272">
      <c r="A7272" s="2">
        <f>IFERROR(__xludf.DUMMYFUNCTION("""COMPUTED_VALUE"""),41904.666666666664)</f>
        <v>41904.66667</v>
      </c>
      <c r="B7272" s="1">
        <f>IFERROR(__xludf.DUMMYFUNCTION("""COMPUTED_VALUE"""),2009.08)</f>
        <v>2009.08</v>
      </c>
      <c r="C7272" s="1">
        <f>IFERROR(__xludf.DUMMYFUNCTION("""COMPUTED_VALUE"""),2009.08)</f>
        <v>2009.08</v>
      </c>
      <c r="D7272" s="1">
        <f>IFERROR(__xludf.DUMMYFUNCTION("""COMPUTED_VALUE"""),1991.01)</f>
        <v>1991.01</v>
      </c>
      <c r="E7272" s="1">
        <f>IFERROR(__xludf.DUMMYFUNCTION("""COMPUTED_VALUE"""),1994.29)</f>
        <v>1994.29</v>
      </c>
      <c r="F7272" s="1">
        <f>IFERROR(__xludf.DUMMYFUNCTION("""COMPUTED_VALUE"""),0.0)</f>
        <v>0</v>
      </c>
    </row>
    <row r="7273">
      <c r="A7273" s="2">
        <f>IFERROR(__xludf.DUMMYFUNCTION("""COMPUTED_VALUE"""),41905.666666666664)</f>
        <v>41905.66667</v>
      </c>
      <c r="B7273" s="1">
        <f>IFERROR(__xludf.DUMMYFUNCTION("""COMPUTED_VALUE"""),1992.78)</f>
        <v>1992.78</v>
      </c>
      <c r="C7273" s="1">
        <f>IFERROR(__xludf.DUMMYFUNCTION("""COMPUTED_VALUE"""),1995.41)</f>
        <v>1995.41</v>
      </c>
      <c r="D7273" s="1">
        <f>IFERROR(__xludf.DUMMYFUNCTION("""COMPUTED_VALUE"""),1982.77)</f>
        <v>1982.77</v>
      </c>
      <c r="E7273" s="1">
        <f>IFERROR(__xludf.DUMMYFUNCTION("""COMPUTED_VALUE"""),1982.77)</f>
        <v>1982.77</v>
      </c>
      <c r="F7273" s="1">
        <f>IFERROR(__xludf.DUMMYFUNCTION("""COMPUTED_VALUE"""),0.0)</f>
        <v>0</v>
      </c>
    </row>
    <row r="7274">
      <c r="A7274" s="2">
        <f>IFERROR(__xludf.DUMMYFUNCTION("""COMPUTED_VALUE"""),41906.666666666664)</f>
        <v>41906.66667</v>
      </c>
      <c r="B7274" s="1">
        <f>IFERROR(__xludf.DUMMYFUNCTION("""COMPUTED_VALUE"""),1983.34)</f>
        <v>1983.34</v>
      </c>
      <c r="C7274" s="1">
        <f>IFERROR(__xludf.DUMMYFUNCTION("""COMPUTED_VALUE"""),1999.79)</f>
        <v>1999.79</v>
      </c>
      <c r="D7274" s="1">
        <f>IFERROR(__xludf.DUMMYFUNCTION("""COMPUTED_VALUE"""),1978.63)</f>
        <v>1978.63</v>
      </c>
      <c r="E7274" s="1">
        <f>IFERROR(__xludf.DUMMYFUNCTION("""COMPUTED_VALUE"""),1998.3)</f>
        <v>1998.3</v>
      </c>
      <c r="F7274" s="1">
        <f>IFERROR(__xludf.DUMMYFUNCTION("""COMPUTED_VALUE"""),0.0)</f>
        <v>0</v>
      </c>
    </row>
    <row r="7275">
      <c r="A7275" s="2">
        <f>IFERROR(__xludf.DUMMYFUNCTION("""COMPUTED_VALUE"""),41907.666666666664)</f>
        <v>41907.66667</v>
      </c>
      <c r="B7275" s="1">
        <f>IFERROR(__xludf.DUMMYFUNCTION("""COMPUTED_VALUE"""),1997.32)</f>
        <v>1997.32</v>
      </c>
      <c r="C7275" s="1">
        <f>IFERROR(__xludf.DUMMYFUNCTION("""COMPUTED_VALUE"""),1997.32)</f>
        <v>1997.32</v>
      </c>
      <c r="D7275" s="1">
        <f>IFERROR(__xludf.DUMMYFUNCTION("""COMPUTED_VALUE"""),1965.99)</f>
        <v>1965.99</v>
      </c>
      <c r="E7275" s="1">
        <f>IFERROR(__xludf.DUMMYFUNCTION("""COMPUTED_VALUE"""),1965.99)</f>
        <v>1965.99</v>
      </c>
      <c r="F7275" s="1">
        <f>IFERROR(__xludf.DUMMYFUNCTION("""COMPUTED_VALUE"""),0.0)</f>
        <v>0</v>
      </c>
    </row>
    <row r="7276">
      <c r="A7276" s="2">
        <f>IFERROR(__xludf.DUMMYFUNCTION("""COMPUTED_VALUE"""),41908.666666666664)</f>
        <v>41908.66667</v>
      </c>
      <c r="B7276" s="1">
        <f>IFERROR(__xludf.DUMMYFUNCTION("""COMPUTED_VALUE"""),1966.22)</f>
        <v>1966.22</v>
      </c>
      <c r="C7276" s="1">
        <f>IFERROR(__xludf.DUMMYFUNCTION("""COMPUTED_VALUE"""),1986.37)</f>
        <v>1986.37</v>
      </c>
      <c r="D7276" s="1">
        <f>IFERROR(__xludf.DUMMYFUNCTION("""COMPUTED_VALUE"""),1966.22)</f>
        <v>1966.22</v>
      </c>
      <c r="E7276" s="1">
        <f>IFERROR(__xludf.DUMMYFUNCTION("""COMPUTED_VALUE"""),1982.85)</f>
        <v>1982.85</v>
      </c>
      <c r="F7276" s="1">
        <f>IFERROR(__xludf.DUMMYFUNCTION("""COMPUTED_VALUE"""),0.0)</f>
        <v>0</v>
      </c>
    </row>
    <row r="7277">
      <c r="A7277" s="2">
        <f>IFERROR(__xludf.DUMMYFUNCTION("""COMPUTED_VALUE"""),41911.666666666664)</f>
        <v>41911.66667</v>
      </c>
      <c r="B7277" s="1">
        <f>IFERROR(__xludf.DUMMYFUNCTION("""COMPUTED_VALUE"""),1978.96)</f>
        <v>1978.96</v>
      </c>
      <c r="C7277" s="1">
        <f>IFERROR(__xludf.DUMMYFUNCTION("""COMPUTED_VALUE"""),1981.28)</f>
        <v>1981.28</v>
      </c>
      <c r="D7277" s="1">
        <f>IFERROR(__xludf.DUMMYFUNCTION("""COMPUTED_VALUE"""),1964.04)</f>
        <v>1964.04</v>
      </c>
      <c r="E7277" s="1">
        <f>IFERROR(__xludf.DUMMYFUNCTION("""COMPUTED_VALUE"""),1977.8)</f>
        <v>1977.8</v>
      </c>
      <c r="F7277" s="1">
        <f>IFERROR(__xludf.DUMMYFUNCTION("""COMPUTED_VALUE"""),0.0)</f>
        <v>0</v>
      </c>
    </row>
    <row r="7278">
      <c r="A7278" s="2">
        <f>IFERROR(__xludf.DUMMYFUNCTION("""COMPUTED_VALUE"""),41912.666666666664)</f>
        <v>41912.66667</v>
      </c>
      <c r="B7278" s="1">
        <f>IFERROR(__xludf.DUMMYFUNCTION("""COMPUTED_VALUE"""),1978.21)</f>
        <v>1978.21</v>
      </c>
      <c r="C7278" s="1">
        <f>IFERROR(__xludf.DUMMYFUNCTION("""COMPUTED_VALUE"""),1985.17)</f>
        <v>1985.17</v>
      </c>
      <c r="D7278" s="1">
        <f>IFERROR(__xludf.DUMMYFUNCTION("""COMPUTED_VALUE"""),1968.96)</f>
        <v>1968.96</v>
      </c>
      <c r="E7278" s="1">
        <f>IFERROR(__xludf.DUMMYFUNCTION("""COMPUTED_VALUE"""),1972.29)</f>
        <v>1972.29</v>
      </c>
      <c r="F7278" s="1">
        <f>IFERROR(__xludf.DUMMYFUNCTION("""COMPUTED_VALUE"""),0.0)</f>
        <v>0</v>
      </c>
    </row>
    <row r="7279">
      <c r="A7279" s="2">
        <f>IFERROR(__xludf.DUMMYFUNCTION("""COMPUTED_VALUE"""),41913.666666666664)</f>
        <v>41913.66667</v>
      </c>
      <c r="B7279" s="1">
        <f>IFERROR(__xludf.DUMMYFUNCTION("""COMPUTED_VALUE"""),1971.44)</f>
        <v>1971.44</v>
      </c>
      <c r="C7279" s="1">
        <f>IFERROR(__xludf.DUMMYFUNCTION("""COMPUTED_VALUE"""),1971.44)</f>
        <v>1971.44</v>
      </c>
      <c r="D7279" s="1">
        <f>IFERROR(__xludf.DUMMYFUNCTION("""COMPUTED_VALUE"""),1941.72)</f>
        <v>1941.72</v>
      </c>
      <c r="E7279" s="1">
        <f>IFERROR(__xludf.DUMMYFUNCTION("""COMPUTED_VALUE"""),1946.16)</f>
        <v>1946.16</v>
      </c>
      <c r="F7279" s="1">
        <f>IFERROR(__xludf.DUMMYFUNCTION("""COMPUTED_VALUE"""),0.0)</f>
        <v>0</v>
      </c>
    </row>
    <row r="7280">
      <c r="A7280" s="2">
        <f>IFERROR(__xludf.DUMMYFUNCTION("""COMPUTED_VALUE"""),41914.666666666664)</f>
        <v>41914.66667</v>
      </c>
      <c r="B7280" s="1">
        <f>IFERROR(__xludf.DUMMYFUNCTION("""COMPUTED_VALUE"""),1945.83)</f>
        <v>1945.83</v>
      </c>
      <c r="C7280" s="1">
        <f>IFERROR(__xludf.DUMMYFUNCTION("""COMPUTED_VALUE"""),1952.32)</f>
        <v>1952.32</v>
      </c>
      <c r="D7280" s="1">
        <f>IFERROR(__xludf.DUMMYFUNCTION("""COMPUTED_VALUE"""),1926.03)</f>
        <v>1926.03</v>
      </c>
      <c r="E7280" s="1">
        <f>IFERROR(__xludf.DUMMYFUNCTION("""COMPUTED_VALUE"""),1946.17)</f>
        <v>1946.17</v>
      </c>
      <c r="F7280" s="1">
        <f>IFERROR(__xludf.DUMMYFUNCTION("""COMPUTED_VALUE"""),0.0)</f>
        <v>0</v>
      </c>
    </row>
    <row r="7281">
      <c r="A7281" s="2">
        <f>IFERROR(__xludf.DUMMYFUNCTION("""COMPUTED_VALUE"""),41915.666666666664)</f>
        <v>41915.66667</v>
      </c>
      <c r="B7281" s="1">
        <f>IFERROR(__xludf.DUMMYFUNCTION("""COMPUTED_VALUE"""),1948.12)</f>
        <v>1948.12</v>
      </c>
      <c r="C7281" s="1">
        <f>IFERROR(__xludf.DUMMYFUNCTION("""COMPUTED_VALUE"""),1971.19)</f>
        <v>1971.19</v>
      </c>
      <c r="D7281" s="1">
        <f>IFERROR(__xludf.DUMMYFUNCTION("""COMPUTED_VALUE"""),1948.12)</f>
        <v>1948.12</v>
      </c>
      <c r="E7281" s="1">
        <f>IFERROR(__xludf.DUMMYFUNCTION("""COMPUTED_VALUE"""),1967.9)</f>
        <v>1967.9</v>
      </c>
      <c r="F7281" s="1">
        <f>IFERROR(__xludf.DUMMYFUNCTION("""COMPUTED_VALUE"""),0.0)</f>
        <v>0</v>
      </c>
    </row>
    <row r="7282">
      <c r="A7282" s="2">
        <f>IFERROR(__xludf.DUMMYFUNCTION("""COMPUTED_VALUE"""),41918.666666666664)</f>
        <v>41918.66667</v>
      </c>
      <c r="B7282" s="1">
        <f>IFERROR(__xludf.DUMMYFUNCTION("""COMPUTED_VALUE"""),1970.01)</f>
        <v>1970.01</v>
      </c>
      <c r="C7282" s="1">
        <f>IFERROR(__xludf.DUMMYFUNCTION("""COMPUTED_VALUE"""),1977.84)</f>
        <v>1977.84</v>
      </c>
      <c r="D7282" s="1">
        <f>IFERROR(__xludf.DUMMYFUNCTION("""COMPUTED_VALUE"""),1958.43)</f>
        <v>1958.43</v>
      </c>
      <c r="E7282" s="1">
        <f>IFERROR(__xludf.DUMMYFUNCTION("""COMPUTED_VALUE"""),1964.82)</f>
        <v>1964.82</v>
      </c>
      <c r="F7282" s="1">
        <f>IFERROR(__xludf.DUMMYFUNCTION("""COMPUTED_VALUE"""),0.0)</f>
        <v>0</v>
      </c>
    </row>
    <row r="7283">
      <c r="A7283" s="2">
        <f>IFERROR(__xludf.DUMMYFUNCTION("""COMPUTED_VALUE"""),41919.666666666664)</f>
        <v>41919.66667</v>
      </c>
      <c r="B7283" s="1">
        <f>IFERROR(__xludf.DUMMYFUNCTION("""COMPUTED_VALUE"""),1962.36)</f>
        <v>1962.36</v>
      </c>
      <c r="C7283" s="1">
        <f>IFERROR(__xludf.DUMMYFUNCTION("""COMPUTED_VALUE"""),1962.36)</f>
        <v>1962.36</v>
      </c>
      <c r="D7283" s="1">
        <f>IFERROR(__xludf.DUMMYFUNCTION("""COMPUTED_VALUE"""),1934.87)</f>
        <v>1934.87</v>
      </c>
      <c r="E7283" s="1">
        <f>IFERROR(__xludf.DUMMYFUNCTION("""COMPUTED_VALUE"""),1935.1)</f>
        <v>1935.1</v>
      </c>
      <c r="F7283" s="1">
        <f>IFERROR(__xludf.DUMMYFUNCTION("""COMPUTED_VALUE"""),0.0)</f>
        <v>0</v>
      </c>
    </row>
    <row r="7284">
      <c r="A7284" s="2">
        <f>IFERROR(__xludf.DUMMYFUNCTION("""COMPUTED_VALUE"""),41920.666666666664)</f>
        <v>41920.66667</v>
      </c>
      <c r="B7284" s="1">
        <f>IFERROR(__xludf.DUMMYFUNCTION("""COMPUTED_VALUE"""),1935.55)</f>
        <v>1935.55</v>
      </c>
      <c r="C7284" s="1">
        <f>IFERROR(__xludf.DUMMYFUNCTION("""COMPUTED_VALUE"""),1970.36)</f>
        <v>1970.36</v>
      </c>
      <c r="D7284" s="1">
        <f>IFERROR(__xludf.DUMMYFUNCTION("""COMPUTED_VALUE"""),1925.25)</f>
        <v>1925.25</v>
      </c>
      <c r="E7284" s="1">
        <f>IFERROR(__xludf.DUMMYFUNCTION("""COMPUTED_VALUE"""),1968.89)</f>
        <v>1968.89</v>
      </c>
      <c r="F7284" s="1">
        <f>IFERROR(__xludf.DUMMYFUNCTION("""COMPUTED_VALUE"""),0.0)</f>
        <v>0</v>
      </c>
    </row>
    <row r="7285">
      <c r="A7285" s="2">
        <f>IFERROR(__xludf.DUMMYFUNCTION("""COMPUTED_VALUE"""),41921.666666666664)</f>
        <v>41921.66667</v>
      </c>
      <c r="B7285" s="1">
        <f>IFERROR(__xludf.DUMMYFUNCTION("""COMPUTED_VALUE"""),1967.68)</f>
        <v>1967.68</v>
      </c>
      <c r="C7285" s="1">
        <f>IFERROR(__xludf.DUMMYFUNCTION("""COMPUTED_VALUE"""),1967.68)</f>
        <v>1967.68</v>
      </c>
      <c r="D7285" s="1">
        <f>IFERROR(__xludf.DUMMYFUNCTION("""COMPUTED_VALUE"""),1927.56)</f>
        <v>1927.56</v>
      </c>
      <c r="E7285" s="1">
        <f>IFERROR(__xludf.DUMMYFUNCTION("""COMPUTED_VALUE"""),1928.21)</f>
        <v>1928.21</v>
      </c>
      <c r="F7285" s="1">
        <f>IFERROR(__xludf.DUMMYFUNCTION("""COMPUTED_VALUE"""),0.0)</f>
        <v>0</v>
      </c>
    </row>
    <row r="7286">
      <c r="A7286" s="2">
        <f>IFERROR(__xludf.DUMMYFUNCTION("""COMPUTED_VALUE"""),41922.666666666664)</f>
        <v>41922.66667</v>
      </c>
      <c r="B7286" s="1">
        <f>IFERROR(__xludf.DUMMYFUNCTION("""COMPUTED_VALUE"""),1925.63)</f>
        <v>1925.63</v>
      </c>
      <c r="C7286" s="1">
        <f>IFERROR(__xludf.DUMMYFUNCTION("""COMPUTED_VALUE"""),1936.98)</f>
        <v>1936.98</v>
      </c>
      <c r="D7286" s="1">
        <f>IFERROR(__xludf.DUMMYFUNCTION("""COMPUTED_VALUE"""),1906.05)</f>
        <v>1906.05</v>
      </c>
      <c r="E7286" s="1">
        <f>IFERROR(__xludf.DUMMYFUNCTION("""COMPUTED_VALUE"""),1906.13)</f>
        <v>1906.13</v>
      </c>
      <c r="F7286" s="1">
        <f>IFERROR(__xludf.DUMMYFUNCTION("""COMPUTED_VALUE"""),0.0)</f>
        <v>0</v>
      </c>
    </row>
    <row r="7287">
      <c r="A7287" s="2">
        <f>IFERROR(__xludf.DUMMYFUNCTION("""COMPUTED_VALUE"""),41925.666666666664)</f>
        <v>41925.66667</v>
      </c>
      <c r="B7287" s="1">
        <f>IFERROR(__xludf.DUMMYFUNCTION("""COMPUTED_VALUE"""),1905.65)</f>
        <v>1905.65</v>
      </c>
      <c r="C7287" s="1">
        <f>IFERROR(__xludf.DUMMYFUNCTION("""COMPUTED_VALUE"""),1912.09)</f>
        <v>1912.09</v>
      </c>
      <c r="D7287" s="1">
        <f>IFERROR(__xludf.DUMMYFUNCTION("""COMPUTED_VALUE"""),1874.14)</f>
        <v>1874.14</v>
      </c>
      <c r="E7287" s="1">
        <f>IFERROR(__xludf.DUMMYFUNCTION("""COMPUTED_VALUE"""),1874.74)</f>
        <v>1874.74</v>
      </c>
      <c r="F7287" s="1">
        <f>IFERROR(__xludf.DUMMYFUNCTION("""COMPUTED_VALUE"""),0.0)</f>
        <v>0</v>
      </c>
    </row>
    <row r="7288">
      <c r="A7288" s="2">
        <f>IFERROR(__xludf.DUMMYFUNCTION("""COMPUTED_VALUE"""),41926.666666666664)</f>
        <v>41926.66667</v>
      </c>
      <c r="B7288" s="1">
        <f>IFERROR(__xludf.DUMMYFUNCTION("""COMPUTED_VALUE"""),1877.11)</f>
        <v>1877.11</v>
      </c>
      <c r="C7288" s="1">
        <f>IFERROR(__xludf.DUMMYFUNCTION("""COMPUTED_VALUE"""),1898.71)</f>
        <v>1898.71</v>
      </c>
      <c r="D7288" s="1">
        <f>IFERROR(__xludf.DUMMYFUNCTION("""COMPUTED_VALUE"""),1871.79)</f>
        <v>1871.79</v>
      </c>
      <c r="E7288" s="1">
        <f>IFERROR(__xludf.DUMMYFUNCTION("""COMPUTED_VALUE"""),1877.7)</f>
        <v>1877.7</v>
      </c>
      <c r="F7288" s="1">
        <f>IFERROR(__xludf.DUMMYFUNCTION("""COMPUTED_VALUE"""),0.0)</f>
        <v>0</v>
      </c>
    </row>
    <row r="7289">
      <c r="A7289" s="2">
        <f>IFERROR(__xludf.DUMMYFUNCTION("""COMPUTED_VALUE"""),41927.666666666664)</f>
        <v>41927.66667</v>
      </c>
      <c r="B7289" s="1">
        <f>IFERROR(__xludf.DUMMYFUNCTION("""COMPUTED_VALUE"""),1874.18)</f>
        <v>1874.18</v>
      </c>
      <c r="C7289" s="1">
        <f>IFERROR(__xludf.DUMMYFUNCTION("""COMPUTED_VALUE"""),1874.18)</f>
        <v>1874.18</v>
      </c>
      <c r="D7289" s="1">
        <f>IFERROR(__xludf.DUMMYFUNCTION("""COMPUTED_VALUE"""),1820.66)</f>
        <v>1820.66</v>
      </c>
      <c r="E7289" s="1">
        <f>IFERROR(__xludf.DUMMYFUNCTION("""COMPUTED_VALUE"""),1862.49)</f>
        <v>1862.49</v>
      </c>
      <c r="F7289" s="1">
        <f>IFERROR(__xludf.DUMMYFUNCTION("""COMPUTED_VALUE"""),0.0)</f>
        <v>0</v>
      </c>
    </row>
    <row r="7290">
      <c r="A7290" s="2">
        <f>IFERROR(__xludf.DUMMYFUNCTION("""COMPUTED_VALUE"""),41928.666666666664)</f>
        <v>41928.66667</v>
      </c>
      <c r="B7290" s="1">
        <f>IFERROR(__xludf.DUMMYFUNCTION("""COMPUTED_VALUE"""),1855.95)</f>
        <v>1855.95</v>
      </c>
      <c r="C7290" s="1">
        <f>IFERROR(__xludf.DUMMYFUNCTION("""COMPUTED_VALUE"""),1876.01)</f>
        <v>1876.01</v>
      </c>
      <c r="D7290" s="1">
        <f>IFERROR(__xludf.DUMMYFUNCTION("""COMPUTED_VALUE"""),1835.02)</f>
        <v>1835.02</v>
      </c>
      <c r="E7290" s="1">
        <f>IFERROR(__xludf.DUMMYFUNCTION("""COMPUTED_VALUE"""),1862.76)</f>
        <v>1862.76</v>
      </c>
      <c r="F7290" s="1">
        <f>IFERROR(__xludf.DUMMYFUNCTION("""COMPUTED_VALUE"""),0.0)</f>
        <v>0</v>
      </c>
    </row>
    <row r="7291">
      <c r="A7291" s="2">
        <f>IFERROR(__xludf.DUMMYFUNCTION("""COMPUTED_VALUE"""),41929.666666666664)</f>
        <v>41929.66667</v>
      </c>
      <c r="B7291" s="1">
        <f>IFERROR(__xludf.DUMMYFUNCTION("""COMPUTED_VALUE"""),1864.91)</f>
        <v>1864.91</v>
      </c>
      <c r="C7291" s="1">
        <f>IFERROR(__xludf.DUMMYFUNCTION("""COMPUTED_VALUE"""),1898.16)</f>
        <v>1898.16</v>
      </c>
      <c r="D7291" s="1">
        <f>IFERROR(__xludf.DUMMYFUNCTION("""COMPUTED_VALUE"""),1864.91)</f>
        <v>1864.91</v>
      </c>
      <c r="E7291" s="1">
        <f>IFERROR(__xludf.DUMMYFUNCTION("""COMPUTED_VALUE"""),1886.76)</f>
        <v>1886.76</v>
      </c>
      <c r="F7291" s="1">
        <f>IFERROR(__xludf.DUMMYFUNCTION("""COMPUTED_VALUE"""),0.0)</f>
        <v>0</v>
      </c>
    </row>
    <row r="7292">
      <c r="A7292" s="2">
        <f>IFERROR(__xludf.DUMMYFUNCTION("""COMPUTED_VALUE"""),41932.666666666664)</f>
        <v>41932.66667</v>
      </c>
      <c r="B7292" s="1">
        <f>IFERROR(__xludf.DUMMYFUNCTION("""COMPUTED_VALUE"""),1885.62)</f>
        <v>1885.62</v>
      </c>
      <c r="C7292" s="1">
        <f>IFERROR(__xludf.DUMMYFUNCTION("""COMPUTED_VALUE"""),1905.03)</f>
        <v>1905.03</v>
      </c>
      <c r="D7292" s="1">
        <f>IFERROR(__xludf.DUMMYFUNCTION("""COMPUTED_VALUE"""),1882.3)</f>
        <v>1882.3</v>
      </c>
      <c r="E7292" s="1">
        <f>IFERROR(__xludf.DUMMYFUNCTION("""COMPUTED_VALUE"""),1904.01)</f>
        <v>1904.01</v>
      </c>
      <c r="F7292" s="1">
        <f>IFERROR(__xludf.DUMMYFUNCTION("""COMPUTED_VALUE"""),0.0)</f>
        <v>0</v>
      </c>
    </row>
    <row r="7293">
      <c r="A7293" s="2">
        <f>IFERROR(__xludf.DUMMYFUNCTION("""COMPUTED_VALUE"""),41933.666666666664)</f>
        <v>41933.66667</v>
      </c>
      <c r="B7293" s="1">
        <f>IFERROR(__xludf.DUMMYFUNCTION("""COMPUTED_VALUE"""),1909.38)</f>
        <v>1909.38</v>
      </c>
      <c r="C7293" s="1">
        <f>IFERROR(__xludf.DUMMYFUNCTION("""COMPUTED_VALUE"""),1942.45)</f>
        <v>1942.45</v>
      </c>
      <c r="D7293" s="1">
        <f>IFERROR(__xludf.DUMMYFUNCTION("""COMPUTED_VALUE"""),1909.38)</f>
        <v>1909.38</v>
      </c>
      <c r="E7293" s="1">
        <f>IFERROR(__xludf.DUMMYFUNCTION("""COMPUTED_VALUE"""),1941.28)</f>
        <v>1941.28</v>
      </c>
      <c r="F7293" s="1">
        <f>IFERROR(__xludf.DUMMYFUNCTION("""COMPUTED_VALUE"""),0.0)</f>
        <v>0</v>
      </c>
    </row>
    <row r="7294">
      <c r="A7294" s="2">
        <f>IFERROR(__xludf.DUMMYFUNCTION("""COMPUTED_VALUE"""),41934.666666666664)</f>
        <v>41934.66667</v>
      </c>
      <c r="B7294" s="1">
        <f>IFERROR(__xludf.DUMMYFUNCTION("""COMPUTED_VALUE"""),1941.29)</f>
        <v>1941.29</v>
      </c>
      <c r="C7294" s="1">
        <f>IFERROR(__xludf.DUMMYFUNCTION("""COMPUTED_VALUE"""),1949.31)</f>
        <v>1949.31</v>
      </c>
      <c r="D7294" s="1">
        <f>IFERROR(__xludf.DUMMYFUNCTION("""COMPUTED_VALUE"""),1926.83)</f>
        <v>1926.83</v>
      </c>
      <c r="E7294" s="1">
        <f>IFERROR(__xludf.DUMMYFUNCTION("""COMPUTED_VALUE"""),1927.11)</f>
        <v>1927.11</v>
      </c>
      <c r="F7294" s="1">
        <f>IFERROR(__xludf.DUMMYFUNCTION("""COMPUTED_VALUE"""),0.0)</f>
        <v>0</v>
      </c>
    </row>
    <row r="7295">
      <c r="A7295" s="2">
        <f>IFERROR(__xludf.DUMMYFUNCTION("""COMPUTED_VALUE"""),41935.666666666664)</f>
        <v>41935.66667</v>
      </c>
      <c r="B7295" s="1">
        <f>IFERROR(__xludf.DUMMYFUNCTION("""COMPUTED_VALUE"""),1931.02)</f>
        <v>1931.02</v>
      </c>
      <c r="C7295" s="1">
        <f>IFERROR(__xludf.DUMMYFUNCTION("""COMPUTED_VALUE"""),1961.95)</f>
        <v>1961.95</v>
      </c>
      <c r="D7295" s="1">
        <f>IFERROR(__xludf.DUMMYFUNCTION("""COMPUTED_VALUE"""),1931.02)</f>
        <v>1931.02</v>
      </c>
      <c r="E7295" s="1">
        <f>IFERROR(__xludf.DUMMYFUNCTION("""COMPUTED_VALUE"""),1950.82)</f>
        <v>1950.82</v>
      </c>
      <c r="F7295" s="1">
        <f>IFERROR(__xludf.DUMMYFUNCTION("""COMPUTED_VALUE"""),0.0)</f>
        <v>0</v>
      </c>
    </row>
    <row r="7296">
      <c r="A7296" s="2">
        <f>IFERROR(__xludf.DUMMYFUNCTION("""COMPUTED_VALUE"""),41936.666666666664)</f>
        <v>41936.66667</v>
      </c>
      <c r="B7296" s="1">
        <f>IFERROR(__xludf.DUMMYFUNCTION("""COMPUTED_VALUE"""),1951.59)</f>
        <v>1951.59</v>
      </c>
      <c r="C7296" s="1">
        <f>IFERROR(__xludf.DUMMYFUNCTION("""COMPUTED_VALUE"""),1965.27)</f>
        <v>1965.27</v>
      </c>
      <c r="D7296" s="1">
        <f>IFERROR(__xludf.DUMMYFUNCTION("""COMPUTED_VALUE"""),1946.27)</f>
        <v>1946.27</v>
      </c>
      <c r="E7296" s="1">
        <f>IFERROR(__xludf.DUMMYFUNCTION("""COMPUTED_VALUE"""),1964.58)</f>
        <v>1964.58</v>
      </c>
      <c r="F7296" s="1">
        <f>IFERROR(__xludf.DUMMYFUNCTION("""COMPUTED_VALUE"""),0.0)</f>
        <v>0</v>
      </c>
    </row>
    <row r="7297">
      <c r="A7297" s="2">
        <f>IFERROR(__xludf.DUMMYFUNCTION("""COMPUTED_VALUE"""),41939.666666666664)</f>
        <v>41939.66667</v>
      </c>
      <c r="B7297" s="1">
        <f>IFERROR(__xludf.DUMMYFUNCTION("""COMPUTED_VALUE"""),1962.97)</f>
        <v>1962.97</v>
      </c>
      <c r="C7297" s="1">
        <f>IFERROR(__xludf.DUMMYFUNCTION("""COMPUTED_VALUE"""),1964.64)</f>
        <v>1964.64</v>
      </c>
      <c r="D7297" s="1">
        <f>IFERROR(__xludf.DUMMYFUNCTION("""COMPUTED_VALUE"""),1951.37)</f>
        <v>1951.37</v>
      </c>
      <c r="E7297" s="1">
        <f>IFERROR(__xludf.DUMMYFUNCTION("""COMPUTED_VALUE"""),1961.63)</f>
        <v>1961.63</v>
      </c>
      <c r="F7297" s="1">
        <f>IFERROR(__xludf.DUMMYFUNCTION("""COMPUTED_VALUE"""),0.0)</f>
        <v>0</v>
      </c>
    </row>
    <row r="7298">
      <c r="A7298" s="2">
        <f>IFERROR(__xludf.DUMMYFUNCTION("""COMPUTED_VALUE"""),41940.666666666664)</f>
        <v>41940.66667</v>
      </c>
      <c r="B7298" s="1">
        <f>IFERROR(__xludf.DUMMYFUNCTION("""COMPUTED_VALUE"""),1964.14)</f>
        <v>1964.14</v>
      </c>
      <c r="C7298" s="1">
        <f>IFERROR(__xludf.DUMMYFUNCTION("""COMPUTED_VALUE"""),1985.05)</f>
        <v>1985.05</v>
      </c>
      <c r="D7298" s="1">
        <f>IFERROR(__xludf.DUMMYFUNCTION("""COMPUTED_VALUE"""),1964.14)</f>
        <v>1964.14</v>
      </c>
      <c r="E7298" s="1">
        <f>IFERROR(__xludf.DUMMYFUNCTION("""COMPUTED_VALUE"""),1985.05)</f>
        <v>1985.05</v>
      </c>
      <c r="F7298" s="1">
        <f>IFERROR(__xludf.DUMMYFUNCTION("""COMPUTED_VALUE"""),0.0)</f>
        <v>0</v>
      </c>
    </row>
    <row r="7299">
      <c r="A7299" s="2">
        <f>IFERROR(__xludf.DUMMYFUNCTION("""COMPUTED_VALUE"""),41941.666666666664)</f>
        <v>41941.66667</v>
      </c>
      <c r="B7299" s="1">
        <f>IFERROR(__xludf.DUMMYFUNCTION("""COMPUTED_VALUE"""),1983.29)</f>
        <v>1983.29</v>
      </c>
      <c r="C7299" s="1">
        <f>IFERROR(__xludf.DUMMYFUNCTION("""COMPUTED_VALUE"""),1991.4)</f>
        <v>1991.4</v>
      </c>
      <c r="D7299" s="1">
        <f>IFERROR(__xludf.DUMMYFUNCTION("""COMPUTED_VALUE"""),1969.04)</f>
        <v>1969.04</v>
      </c>
      <c r="E7299" s="1">
        <f>IFERROR(__xludf.DUMMYFUNCTION("""COMPUTED_VALUE"""),1982.3)</f>
        <v>1982.3</v>
      </c>
      <c r="F7299" s="1">
        <f>IFERROR(__xludf.DUMMYFUNCTION("""COMPUTED_VALUE"""),0.0)</f>
        <v>0</v>
      </c>
    </row>
    <row r="7300">
      <c r="A7300" s="2">
        <f>IFERROR(__xludf.DUMMYFUNCTION("""COMPUTED_VALUE"""),41942.666666666664)</f>
        <v>41942.66667</v>
      </c>
      <c r="B7300" s="1">
        <f>IFERROR(__xludf.DUMMYFUNCTION("""COMPUTED_VALUE"""),1979.49)</f>
        <v>1979.49</v>
      </c>
      <c r="C7300" s="1">
        <f>IFERROR(__xludf.DUMMYFUNCTION("""COMPUTED_VALUE"""),1999.4)</f>
        <v>1999.4</v>
      </c>
      <c r="D7300" s="1">
        <f>IFERROR(__xludf.DUMMYFUNCTION("""COMPUTED_VALUE"""),1974.75)</f>
        <v>1974.75</v>
      </c>
      <c r="E7300" s="1">
        <f>IFERROR(__xludf.DUMMYFUNCTION("""COMPUTED_VALUE"""),1994.65)</f>
        <v>1994.65</v>
      </c>
      <c r="F7300" s="1">
        <f>IFERROR(__xludf.DUMMYFUNCTION("""COMPUTED_VALUE"""),0.0)</f>
        <v>0</v>
      </c>
    </row>
    <row r="7301">
      <c r="A7301" s="2">
        <f>IFERROR(__xludf.DUMMYFUNCTION("""COMPUTED_VALUE"""),41943.666666666664)</f>
        <v>41943.66667</v>
      </c>
      <c r="B7301" s="1">
        <f>IFERROR(__xludf.DUMMYFUNCTION("""COMPUTED_VALUE"""),2001.2)</f>
        <v>2001.2</v>
      </c>
      <c r="C7301" s="1">
        <f>IFERROR(__xludf.DUMMYFUNCTION("""COMPUTED_VALUE"""),2018.19)</f>
        <v>2018.19</v>
      </c>
      <c r="D7301" s="1">
        <f>IFERROR(__xludf.DUMMYFUNCTION("""COMPUTED_VALUE"""),2001.2)</f>
        <v>2001.2</v>
      </c>
      <c r="E7301" s="1">
        <f>IFERROR(__xludf.DUMMYFUNCTION("""COMPUTED_VALUE"""),2018.05)</f>
        <v>2018.05</v>
      </c>
      <c r="F7301" s="1">
        <f>IFERROR(__xludf.DUMMYFUNCTION("""COMPUTED_VALUE"""),0.0)</f>
        <v>0</v>
      </c>
    </row>
    <row r="7302">
      <c r="A7302" s="2">
        <f>IFERROR(__xludf.DUMMYFUNCTION("""COMPUTED_VALUE"""),41946.666666666664)</f>
        <v>41946.66667</v>
      </c>
      <c r="B7302" s="1">
        <f>IFERROR(__xludf.DUMMYFUNCTION("""COMPUTED_VALUE"""),2018.21)</f>
        <v>2018.21</v>
      </c>
      <c r="C7302" s="1">
        <f>IFERROR(__xludf.DUMMYFUNCTION("""COMPUTED_VALUE"""),2024.46)</f>
        <v>2024.46</v>
      </c>
      <c r="D7302" s="1">
        <f>IFERROR(__xludf.DUMMYFUNCTION("""COMPUTED_VALUE"""),2013.68)</f>
        <v>2013.68</v>
      </c>
      <c r="E7302" s="1">
        <f>IFERROR(__xludf.DUMMYFUNCTION("""COMPUTED_VALUE"""),2017.81)</f>
        <v>2017.81</v>
      </c>
      <c r="F7302" s="1">
        <f>IFERROR(__xludf.DUMMYFUNCTION("""COMPUTED_VALUE"""),0.0)</f>
        <v>0</v>
      </c>
    </row>
    <row r="7303">
      <c r="A7303" s="2">
        <f>IFERROR(__xludf.DUMMYFUNCTION("""COMPUTED_VALUE"""),41947.666666666664)</f>
        <v>41947.66667</v>
      </c>
      <c r="B7303" s="1">
        <f>IFERROR(__xludf.DUMMYFUNCTION("""COMPUTED_VALUE"""),2015.81)</f>
        <v>2015.81</v>
      </c>
      <c r="C7303" s="1">
        <f>IFERROR(__xludf.DUMMYFUNCTION("""COMPUTED_VALUE"""),2015.98)</f>
        <v>2015.98</v>
      </c>
      <c r="D7303" s="1">
        <f>IFERROR(__xludf.DUMMYFUNCTION("""COMPUTED_VALUE"""),2001.01)</f>
        <v>2001.01</v>
      </c>
      <c r="E7303" s="1">
        <f>IFERROR(__xludf.DUMMYFUNCTION("""COMPUTED_VALUE"""),2012.1)</f>
        <v>2012.1</v>
      </c>
      <c r="F7303" s="1">
        <f>IFERROR(__xludf.DUMMYFUNCTION("""COMPUTED_VALUE"""),0.0)</f>
        <v>0</v>
      </c>
    </row>
    <row r="7304">
      <c r="A7304" s="2">
        <f>IFERROR(__xludf.DUMMYFUNCTION("""COMPUTED_VALUE"""),41948.666666666664)</f>
        <v>41948.66667</v>
      </c>
      <c r="B7304" s="1">
        <f>IFERROR(__xludf.DUMMYFUNCTION("""COMPUTED_VALUE"""),2015.29)</f>
        <v>2015.29</v>
      </c>
      <c r="C7304" s="1">
        <f>IFERROR(__xludf.DUMMYFUNCTION("""COMPUTED_VALUE"""),2023.77)</f>
        <v>2023.77</v>
      </c>
      <c r="D7304" s="1">
        <f>IFERROR(__xludf.DUMMYFUNCTION("""COMPUTED_VALUE"""),2014.42)</f>
        <v>2014.42</v>
      </c>
      <c r="E7304" s="1">
        <f>IFERROR(__xludf.DUMMYFUNCTION("""COMPUTED_VALUE"""),2023.57)</f>
        <v>2023.57</v>
      </c>
      <c r="F7304" s="1">
        <f>IFERROR(__xludf.DUMMYFUNCTION("""COMPUTED_VALUE"""),0.0)</f>
        <v>0</v>
      </c>
    </row>
    <row r="7305">
      <c r="A7305" s="2">
        <f>IFERROR(__xludf.DUMMYFUNCTION("""COMPUTED_VALUE"""),41949.666666666664)</f>
        <v>41949.66667</v>
      </c>
      <c r="B7305" s="1">
        <f>IFERROR(__xludf.DUMMYFUNCTION("""COMPUTED_VALUE"""),2023.33)</f>
        <v>2023.33</v>
      </c>
      <c r="C7305" s="1">
        <f>IFERROR(__xludf.DUMMYFUNCTION("""COMPUTED_VALUE"""),2031.61)</f>
        <v>2031.61</v>
      </c>
      <c r="D7305" s="1">
        <f>IFERROR(__xludf.DUMMYFUNCTION("""COMPUTED_VALUE"""),2015.86)</f>
        <v>2015.86</v>
      </c>
      <c r="E7305" s="1">
        <f>IFERROR(__xludf.DUMMYFUNCTION("""COMPUTED_VALUE"""),2031.21)</f>
        <v>2031.21</v>
      </c>
      <c r="F7305" s="1">
        <f>IFERROR(__xludf.DUMMYFUNCTION("""COMPUTED_VALUE"""),0.0)</f>
        <v>0</v>
      </c>
    </row>
    <row r="7306">
      <c r="A7306" s="2">
        <f>IFERROR(__xludf.DUMMYFUNCTION("""COMPUTED_VALUE"""),41950.666666666664)</f>
        <v>41950.66667</v>
      </c>
      <c r="B7306" s="1">
        <f>IFERROR(__xludf.DUMMYFUNCTION("""COMPUTED_VALUE"""),2032.36)</f>
        <v>2032.36</v>
      </c>
      <c r="C7306" s="1">
        <f>IFERROR(__xludf.DUMMYFUNCTION("""COMPUTED_VALUE"""),2034.26)</f>
        <v>2034.26</v>
      </c>
      <c r="D7306" s="1">
        <f>IFERROR(__xludf.DUMMYFUNCTION("""COMPUTED_VALUE"""),2025.07)</f>
        <v>2025.07</v>
      </c>
      <c r="E7306" s="1">
        <f>IFERROR(__xludf.DUMMYFUNCTION("""COMPUTED_VALUE"""),2031.92)</f>
        <v>2031.92</v>
      </c>
      <c r="F7306" s="1">
        <f>IFERROR(__xludf.DUMMYFUNCTION("""COMPUTED_VALUE"""),0.0)</f>
        <v>0</v>
      </c>
    </row>
    <row r="7307">
      <c r="A7307" s="2">
        <f>IFERROR(__xludf.DUMMYFUNCTION("""COMPUTED_VALUE"""),41953.66666666667)</f>
        <v>41953.66667</v>
      </c>
      <c r="B7307" s="1">
        <f>IFERROR(__xludf.DUMMYFUNCTION("""COMPUTED_VALUE"""),2032.01)</f>
        <v>2032.01</v>
      </c>
      <c r="C7307" s="1">
        <f>IFERROR(__xludf.DUMMYFUNCTION("""COMPUTED_VALUE"""),2038.7)</f>
        <v>2038.7</v>
      </c>
      <c r="D7307" s="1">
        <f>IFERROR(__xludf.DUMMYFUNCTION("""COMPUTED_VALUE"""),2030.17)</f>
        <v>2030.17</v>
      </c>
      <c r="E7307" s="1">
        <f>IFERROR(__xludf.DUMMYFUNCTION("""COMPUTED_VALUE"""),2038.26)</f>
        <v>2038.26</v>
      </c>
      <c r="F7307" s="1">
        <f>IFERROR(__xludf.DUMMYFUNCTION("""COMPUTED_VALUE"""),0.0)</f>
        <v>0</v>
      </c>
    </row>
    <row r="7308">
      <c r="A7308" s="2">
        <f>IFERROR(__xludf.DUMMYFUNCTION("""COMPUTED_VALUE"""),41954.66666666667)</f>
        <v>41954.66667</v>
      </c>
      <c r="B7308" s="1">
        <f>IFERROR(__xludf.DUMMYFUNCTION("""COMPUTED_VALUE"""),2038.2)</f>
        <v>2038.2</v>
      </c>
      <c r="C7308" s="1">
        <f>IFERROR(__xludf.DUMMYFUNCTION("""COMPUTED_VALUE"""),2041.28)</f>
        <v>2041.28</v>
      </c>
      <c r="D7308" s="1">
        <f>IFERROR(__xludf.DUMMYFUNCTION("""COMPUTED_VALUE"""),2035.28)</f>
        <v>2035.28</v>
      </c>
      <c r="E7308" s="1">
        <f>IFERROR(__xludf.DUMMYFUNCTION("""COMPUTED_VALUE"""),2039.68)</f>
        <v>2039.68</v>
      </c>
      <c r="F7308" s="1">
        <f>IFERROR(__xludf.DUMMYFUNCTION("""COMPUTED_VALUE"""),0.0)</f>
        <v>0</v>
      </c>
    </row>
    <row r="7309">
      <c r="A7309" s="2">
        <f>IFERROR(__xludf.DUMMYFUNCTION("""COMPUTED_VALUE"""),41955.66666666667)</f>
        <v>41955.66667</v>
      </c>
      <c r="B7309" s="1">
        <f>IFERROR(__xludf.DUMMYFUNCTION("""COMPUTED_VALUE"""),2037.75)</f>
        <v>2037.75</v>
      </c>
      <c r="C7309" s="1">
        <f>IFERROR(__xludf.DUMMYFUNCTION("""COMPUTED_VALUE"""),2040.33)</f>
        <v>2040.33</v>
      </c>
      <c r="D7309" s="1">
        <f>IFERROR(__xludf.DUMMYFUNCTION("""COMPUTED_VALUE"""),2031.95)</f>
        <v>2031.95</v>
      </c>
      <c r="E7309" s="1">
        <f>IFERROR(__xludf.DUMMYFUNCTION("""COMPUTED_VALUE"""),2038.25)</f>
        <v>2038.25</v>
      </c>
      <c r="F7309" s="1">
        <f>IFERROR(__xludf.DUMMYFUNCTION("""COMPUTED_VALUE"""),0.0)</f>
        <v>0</v>
      </c>
    </row>
    <row r="7310">
      <c r="A7310" s="2">
        <f>IFERROR(__xludf.DUMMYFUNCTION("""COMPUTED_VALUE"""),41956.66666666667)</f>
        <v>41956.66667</v>
      </c>
      <c r="B7310" s="1">
        <f>IFERROR(__xludf.DUMMYFUNCTION("""COMPUTED_VALUE"""),2039.21)</f>
        <v>2039.21</v>
      </c>
      <c r="C7310" s="1">
        <f>IFERROR(__xludf.DUMMYFUNCTION("""COMPUTED_VALUE"""),2046.18)</f>
        <v>2046.18</v>
      </c>
      <c r="D7310" s="1">
        <f>IFERROR(__xludf.DUMMYFUNCTION("""COMPUTED_VALUE"""),2030.44)</f>
        <v>2030.44</v>
      </c>
      <c r="E7310" s="1">
        <f>IFERROR(__xludf.DUMMYFUNCTION("""COMPUTED_VALUE"""),2039.33)</f>
        <v>2039.33</v>
      </c>
      <c r="F7310" s="1">
        <f>IFERROR(__xludf.DUMMYFUNCTION("""COMPUTED_VALUE"""),0.0)</f>
        <v>0</v>
      </c>
    </row>
    <row r="7311">
      <c r="A7311" s="2">
        <f>IFERROR(__xludf.DUMMYFUNCTION("""COMPUTED_VALUE"""),41957.66666666667)</f>
        <v>41957.66667</v>
      </c>
      <c r="B7311" s="1">
        <f>IFERROR(__xludf.DUMMYFUNCTION("""COMPUTED_VALUE"""),2039.74)</f>
        <v>2039.74</v>
      </c>
      <c r="C7311" s="1">
        <f>IFERROR(__xludf.DUMMYFUNCTION("""COMPUTED_VALUE"""),2042.22)</f>
        <v>2042.22</v>
      </c>
      <c r="D7311" s="1">
        <f>IFERROR(__xludf.DUMMYFUNCTION("""COMPUTED_VALUE"""),2035.2)</f>
        <v>2035.2</v>
      </c>
      <c r="E7311" s="1">
        <f>IFERROR(__xludf.DUMMYFUNCTION("""COMPUTED_VALUE"""),2039.82)</f>
        <v>2039.82</v>
      </c>
      <c r="F7311" s="1">
        <f>IFERROR(__xludf.DUMMYFUNCTION("""COMPUTED_VALUE"""),0.0)</f>
        <v>0</v>
      </c>
    </row>
    <row r="7312">
      <c r="A7312" s="2">
        <f>IFERROR(__xludf.DUMMYFUNCTION("""COMPUTED_VALUE"""),41960.66666666667)</f>
        <v>41960.66667</v>
      </c>
      <c r="B7312" s="1">
        <f>IFERROR(__xludf.DUMMYFUNCTION("""COMPUTED_VALUE"""),2038.29)</f>
        <v>2038.29</v>
      </c>
      <c r="C7312" s="1">
        <f>IFERROR(__xludf.DUMMYFUNCTION("""COMPUTED_VALUE"""),2043.07)</f>
        <v>2043.07</v>
      </c>
      <c r="D7312" s="1">
        <f>IFERROR(__xludf.DUMMYFUNCTION("""COMPUTED_VALUE"""),2034.46)</f>
        <v>2034.46</v>
      </c>
      <c r="E7312" s="1">
        <f>IFERROR(__xludf.DUMMYFUNCTION("""COMPUTED_VALUE"""),2041.32)</f>
        <v>2041.32</v>
      </c>
      <c r="F7312" s="1">
        <f>IFERROR(__xludf.DUMMYFUNCTION("""COMPUTED_VALUE"""),0.0)</f>
        <v>0</v>
      </c>
    </row>
    <row r="7313">
      <c r="A7313" s="2">
        <f>IFERROR(__xludf.DUMMYFUNCTION("""COMPUTED_VALUE"""),41961.66666666667)</f>
        <v>41961.66667</v>
      </c>
      <c r="B7313" s="1">
        <f>IFERROR(__xludf.DUMMYFUNCTION("""COMPUTED_VALUE"""),2041.48)</f>
        <v>2041.48</v>
      </c>
      <c r="C7313" s="1">
        <f>IFERROR(__xludf.DUMMYFUNCTION("""COMPUTED_VALUE"""),2056.08)</f>
        <v>2056.08</v>
      </c>
      <c r="D7313" s="1">
        <f>IFERROR(__xludf.DUMMYFUNCTION("""COMPUTED_VALUE"""),2041.48)</f>
        <v>2041.48</v>
      </c>
      <c r="E7313" s="1">
        <f>IFERROR(__xludf.DUMMYFUNCTION("""COMPUTED_VALUE"""),2051.8)</f>
        <v>2051.8</v>
      </c>
      <c r="F7313" s="1">
        <f>IFERROR(__xludf.DUMMYFUNCTION("""COMPUTED_VALUE"""),0.0)</f>
        <v>0</v>
      </c>
    </row>
    <row r="7314">
      <c r="A7314" s="2">
        <f>IFERROR(__xludf.DUMMYFUNCTION("""COMPUTED_VALUE"""),41962.66666666667)</f>
        <v>41962.66667</v>
      </c>
      <c r="B7314" s="1">
        <f>IFERROR(__xludf.DUMMYFUNCTION("""COMPUTED_VALUE"""),2051.16)</f>
        <v>2051.16</v>
      </c>
      <c r="C7314" s="1">
        <f>IFERROR(__xludf.DUMMYFUNCTION("""COMPUTED_VALUE"""),2052.14)</f>
        <v>2052.14</v>
      </c>
      <c r="D7314" s="1">
        <f>IFERROR(__xludf.DUMMYFUNCTION("""COMPUTED_VALUE"""),2040.37)</f>
        <v>2040.37</v>
      </c>
      <c r="E7314" s="1">
        <f>IFERROR(__xludf.DUMMYFUNCTION("""COMPUTED_VALUE"""),2048.72)</f>
        <v>2048.72</v>
      </c>
      <c r="F7314" s="1">
        <f>IFERROR(__xludf.DUMMYFUNCTION("""COMPUTED_VALUE"""),0.0)</f>
        <v>0</v>
      </c>
    </row>
    <row r="7315">
      <c r="A7315" s="2">
        <f>IFERROR(__xludf.DUMMYFUNCTION("""COMPUTED_VALUE"""),41963.66666666667)</f>
        <v>41963.66667</v>
      </c>
      <c r="B7315" s="1">
        <f>IFERROR(__xludf.DUMMYFUNCTION("""COMPUTED_VALUE"""),2045.87)</f>
        <v>2045.87</v>
      </c>
      <c r="C7315" s="1">
        <f>IFERROR(__xludf.DUMMYFUNCTION("""COMPUTED_VALUE"""),2053.84)</f>
        <v>2053.84</v>
      </c>
      <c r="D7315" s="1">
        <f>IFERROR(__xludf.DUMMYFUNCTION("""COMPUTED_VALUE"""),2040.49)</f>
        <v>2040.49</v>
      </c>
      <c r="E7315" s="1">
        <f>IFERROR(__xludf.DUMMYFUNCTION("""COMPUTED_VALUE"""),2052.75)</f>
        <v>2052.75</v>
      </c>
      <c r="F7315" s="1">
        <f>IFERROR(__xludf.DUMMYFUNCTION("""COMPUTED_VALUE"""),0.0)</f>
        <v>0</v>
      </c>
    </row>
    <row r="7316">
      <c r="A7316" s="2">
        <f>IFERROR(__xludf.DUMMYFUNCTION("""COMPUTED_VALUE"""),41964.66666666667)</f>
        <v>41964.66667</v>
      </c>
      <c r="B7316" s="1">
        <f>IFERROR(__xludf.DUMMYFUNCTION("""COMPUTED_VALUE"""),2057.46)</f>
        <v>2057.46</v>
      </c>
      <c r="C7316" s="1">
        <f>IFERROR(__xludf.DUMMYFUNCTION("""COMPUTED_VALUE"""),2071.46)</f>
        <v>2071.46</v>
      </c>
      <c r="D7316" s="1">
        <f>IFERROR(__xludf.DUMMYFUNCTION("""COMPUTED_VALUE"""),2056.75)</f>
        <v>2056.75</v>
      </c>
      <c r="E7316" s="1">
        <f>IFERROR(__xludf.DUMMYFUNCTION("""COMPUTED_VALUE"""),2063.5)</f>
        <v>2063.5</v>
      </c>
      <c r="F7316" s="1">
        <f>IFERROR(__xludf.DUMMYFUNCTION("""COMPUTED_VALUE"""),0.0)</f>
        <v>0</v>
      </c>
    </row>
    <row r="7317">
      <c r="A7317" s="2">
        <f>IFERROR(__xludf.DUMMYFUNCTION("""COMPUTED_VALUE"""),41967.66666666667)</f>
        <v>41967.66667</v>
      </c>
      <c r="B7317" s="1">
        <f>IFERROR(__xludf.DUMMYFUNCTION("""COMPUTED_VALUE"""),2065.07)</f>
        <v>2065.07</v>
      </c>
      <c r="C7317" s="1">
        <f>IFERROR(__xludf.DUMMYFUNCTION("""COMPUTED_VALUE"""),2070.17)</f>
        <v>2070.17</v>
      </c>
      <c r="D7317" s="1">
        <f>IFERROR(__xludf.DUMMYFUNCTION("""COMPUTED_VALUE"""),2065.07)</f>
        <v>2065.07</v>
      </c>
      <c r="E7317" s="1">
        <f>IFERROR(__xludf.DUMMYFUNCTION("""COMPUTED_VALUE"""),2069.41)</f>
        <v>2069.41</v>
      </c>
      <c r="F7317" s="1">
        <f>IFERROR(__xludf.DUMMYFUNCTION("""COMPUTED_VALUE"""),0.0)</f>
        <v>0</v>
      </c>
    </row>
    <row r="7318">
      <c r="A7318" s="2">
        <f>IFERROR(__xludf.DUMMYFUNCTION("""COMPUTED_VALUE"""),41968.66666666667)</f>
        <v>41968.66667</v>
      </c>
      <c r="B7318" s="1">
        <f>IFERROR(__xludf.DUMMYFUNCTION("""COMPUTED_VALUE"""),2070.15)</f>
        <v>2070.15</v>
      </c>
      <c r="C7318" s="1">
        <f>IFERROR(__xludf.DUMMYFUNCTION("""COMPUTED_VALUE"""),2074.21)</f>
        <v>2074.21</v>
      </c>
      <c r="D7318" s="1">
        <f>IFERROR(__xludf.DUMMYFUNCTION("""COMPUTED_VALUE"""),2064.75)</f>
        <v>2064.75</v>
      </c>
      <c r="E7318" s="1">
        <f>IFERROR(__xludf.DUMMYFUNCTION("""COMPUTED_VALUE"""),2067.03)</f>
        <v>2067.03</v>
      </c>
      <c r="F7318" s="1">
        <f>IFERROR(__xludf.DUMMYFUNCTION("""COMPUTED_VALUE"""),0.0)</f>
        <v>0</v>
      </c>
    </row>
    <row r="7319">
      <c r="A7319" s="2">
        <f>IFERROR(__xludf.DUMMYFUNCTION("""COMPUTED_VALUE"""),41969.66666666667)</f>
        <v>41969.66667</v>
      </c>
      <c r="B7319" s="1">
        <f>IFERROR(__xludf.DUMMYFUNCTION("""COMPUTED_VALUE"""),2067.36)</f>
        <v>2067.36</v>
      </c>
      <c r="C7319" s="1">
        <f>IFERROR(__xludf.DUMMYFUNCTION("""COMPUTED_VALUE"""),2073.29)</f>
        <v>2073.29</v>
      </c>
      <c r="D7319" s="1">
        <f>IFERROR(__xludf.DUMMYFUNCTION("""COMPUTED_VALUE"""),2066.62)</f>
        <v>2066.62</v>
      </c>
      <c r="E7319" s="1">
        <f>IFERROR(__xludf.DUMMYFUNCTION("""COMPUTED_VALUE"""),2072.83)</f>
        <v>2072.83</v>
      </c>
      <c r="F7319" s="1">
        <f>IFERROR(__xludf.DUMMYFUNCTION("""COMPUTED_VALUE"""),0.0)</f>
        <v>0</v>
      </c>
    </row>
    <row r="7320">
      <c r="A7320" s="2">
        <f>IFERROR(__xludf.DUMMYFUNCTION("""COMPUTED_VALUE"""),41971.66666666667)</f>
        <v>41971.66667</v>
      </c>
      <c r="B7320" s="1">
        <f>IFERROR(__xludf.DUMMYFUNCTION("""COMPUTED_VALUE"""),2074.78)</f>
        <v>2074.78</v>
      </c>
      <c r="C7320" s="1">
        <f>IFERROR(__xludf.DUMMYFUNCTION("""COMPUTED_VALUE"""),2075.76)</f>
        <v>2075.76</v>
      </c>
      <c r="D7320" s="1">
        <f>IFERROR(__xludf.DUMMYFUNCTION("""COMPUTED_VALUE"""),2065.06)</f>
        <v>2065.06</v>
      </c>
      <c r="E7320" s="1">
        <f>IFERROR(__xludf.DUMMYFUNCTION("""COMPUTED_VALUE"""),2067.56)</f>
        <v>2067.56</v>
      </c>
      <c r="F7320" s="1">
        <f>IFERROR(__xludf.DUMMYFUNCTION("""COMPUTED_VALUE"""),0.0)</f>
        <v>0</v>
      </c>
    </row>
    <row r="7321">
      <c r="A7321" s="2">
        <f>IFERROR(__xludf.DUMMYFUNCTION("""COMPUTED_VALUE"""),41974.66666666667)</f>
        <v>41974.66667</v>
      </c>
      <c r="B7321" s="1">
        <f>IFERROR(__xludf.DUMMYFUNCTION("""COMPUTED_VALUE"""),2065.78)</f>
        <v>2065.78</v>
      </c>
      <c r="C7321" s="1">
        <f>IFERROR(__xludf.DUMMYFUNCTION("""COMPUTED_VALUE"""),2065.78)</f>
        <v>2065.78</v>
      </c>
      <c r="D7321" s="1">
        <f>IFERROR(__xludf.DUMMYFUNCTION("""COMPUTED_VALUE"""),2049.57)</f>
        <v>2049.57</v>
      </c>
      <c r="E7321" s="1">
        <f>IFERROR(__xludf.DUMMYFUNCTION("""COMPUTED_VALUE"""),2053.44)</f>
        <v>2053.44</v>
      </c>
      <c r="F7321" s="1">
        <f>IFERROR(__xludf.DUMMYFUNCTION("""COMPUTED_VALUE"""),0.0)</f>
        <v>0</v>
      </c>
    </row>
    <row r="7322">
      <c r="A7322" s="2">
        <f>IFERROR(__xludf.DUMMYFUNCTION("""COMPUTED_VALUE"""),41975.66666666667)</f>
        <v>41975.66667</v>
      </c>
      <c r="B7322" s="1">
        <f>IFERROR(__xludf.DUMMYFUNCTION("""COMPUTED_VALUE"""),2053.77)</f>
        <v>2053.77</v>
      </c>
      <c r="C7322" s="1">
        <f>IFERROR(__xludf.DUMMYFUNCTION("""COMPUTED_VALUE"""),2068.77)</f>
        <v>2068.77</v>
      </c>
      <c r="D7322" s="1">
        <f>IFERROR(__xludf.DUMMYFUNCTION("""COMPUTED_VALUE"""),2053.77)</f>
        <v>2053.77</v>
      </c>
      <c r="E7322" s="1">
        <f>IFERROR(__xludf.DUMMYFUNCTION("""COMPUTED_VALUE"""),2066.55)</f>
        <v>2066.55</v>
      </c>
      <c r="F7322" s="1">
        <f>IFERROR(__xludf.DUMMYFUNCTION("""COMPUTED_VALUE"""),0.0)</f>
        <v>0</v>
      </c>
    </row>
    <row r="7323">
      <c r="A7323" s="2">
        <f>IFERROR(__xludf.DUMMYFUNCTION("""COMPUTED_VALUE"""),41976.66666666667)</f>
        <v>41976.66667</v>
      </c>
      <c r="B7323" s="1">
        <f>IFERROR(__xludf.DUMMYFUNCTION("""COMPUTED_VALUE"""),2067.45)</f>
        <v>2067.45</v>
      </c>
      <c r="C7323" s="1">
        <f>IFERROR(__xludf.DUMMYFUNCTION("""COMPUTED_VALUE"""),2076.28)</f>
        <v>2076.28</v>
      </c>
      <c r="D7323" s="1">
        <f>IFERROR(__xludf.DUMMYFUNCTION("""COMPUTED_VALUE"""),2066.65)</f>
        <v>2066.65</v>
      </c>
      <c r="E7323" s="1">
        <f>IFERROR(__xludf.DUMMYFUNCTION("""COMPUTED_VALUE"""),2074.33)</f>
        <v>2074.33</v>
      </c>
      <c r="F7323" s="1">
        <f>IFERROR(__xludf.DUMMYFUNCTION("""COMPUTED_VALUE"""),0.0)</f>
        <v>0</v>
      </c>
    </row>
    <row r="7324">
      <c r="A7324" s="2">
        <f>IFERROR(__xludf.DUMMYFUNCTION("""COMPUTED_VALUE"""),41977.66666666667)</f>
        <v>41977.66667</v>
      </c>
      <c r="B7324" s="1">
        <f>IFERROR(__xludf.DUMMYFUNCTION("""COMPUTED_VALUE"""),2073.64)</f>
        <v>2073.64</v>
      </c>
      <c r="C7324" s="1">
        <f>IFERROR(__xludf.DUMMYFUNCTION("""COMPUTED_VALUE"""),2077.34)</f>
        <v>2077.34</v>
      </c>
      <c r="D7324" s="1">
        <f>IFERROR(__xludf.DUMMYFUNCTION("""COMPUTED_VALUE"""),2062.34)</f>
        <v>2062.34</v>
      </c>
      <c r="E7324" s="1">
        <f>IFERROR(__xludf.DUMMYFUNCTION("""COMPUTED_VALUE"""),2071.92)</f>
        <v>2071.92</v>
      </c>
      <c r="F7324" s="1">
        <f>IFERROR(__xludf.DUMMYFUNCTION("""COMPUTED_VALUE"""),0.0)</f>
        <v>0</v>
      </c>
    </row>
    <row r="7325">
      <c r="A7325" s="2">
        <f>IFERROR(__xludf.DUMMYFUNCTION("""COMPUTED_VALUE"""),41978.66666666667)</f>
        <v>41978.66667</v>
      </c>
      <c r="B7325" s="1">
        <f>IFERROR(__xludf.DUMMYFUNCTION("""COMPUTED_VALUE"""),2072.78)</f>
        <v>2072.78</v>
      </c>
      <c r="C7325" s="1">
        <f>IFERROR(__xludf.DUMMYFUNCTION("""COMPUTED_VALUE"""),2079.47)</f>
        <v>2079.47</v>
      </c>
      <c r="D7325" s="1">
        <f>IFERROR(__xludf.DUMMYFUNCTION("""COMPUTED_VALUE"""),2070.81)</f>
        <v>2070.81</v>
      </c>
      <c r="E7325" s="1">
        <f>IFERROR(__xludf.DUMMYFUNCTION("""COMPUTED_VALUE"""),2075.37)</f>
        <v>2075.37</v>
      </c>
      <c r="F7325" s="1">
        <f>IFERROR(__xludf.DUMMYFUNCTION("""COMPUTED_VALUE"""),0.0)</f>
        <v>0</v>
      </c>
    </row>
    <row r="7326">
      <c r="A7326" s="2">
        <f>IFERROR(__xludf.DUMMYFUNCTION("""COMPUTED_VALUE"""),41981.66666666667)</f>
        <v>41981.66667</v>
      </c>
      <c r="B7326" s="1">
        <f>IFERROR(__xludf.DUMMYFUNCTION("""COMPUTED_VALUE"""),2074.84)</f>
        <v>2074.84</v>
      </c>
      <c r="C7326" s="1">
        <f>IFERROR(__xludf.DUMMYFUNCTION("""COMPUTED_VALUE"""),2075.78)</f>
        <v>2075.78</v>
      </c>
      <c r="D7326" s="1">
        <f>IFERROR(__xludf.DUMMYFUNCTION("""COMPUTED_VALUE"""),2054.27)</f>
        <v>2054.27</v>
      </c>
      <c r="E7326" s="1">
        <f>IFERROR(__xludf.DUMMYFUNCTION("""COMPUTED_VALUE"""),2060.31)</f>
        <v>2060.31</v>
      </c>
      <c r="F7326" s="1">
        <f>IFERROR(__xludf.DUMMYFUNCTION("""COMPUTED_VALUE"""),0.0)</f>
        <v>0</v>
      </c>
    </row>
    <row r="7327">
      <c r="A7327" s="2">
        <f>IFERROR(__xludf.DUMMYFUNCTION("""COMPUTED_VALUE"""),41982.66666666667)</f>
        <v>41982.66667</v>
      </c>
      <c r="B7327" s="1">
        <f>IFERROR(__xludf.DUMMYFUNCTION("""COMPUTED_VALUE"""),2056.55)</f>
        <v>2056.55</v>
      </c>
      <c r="C7327" s="1">
        <f>IFERROR(__xludf.DUMMYFUNCTION("""COMPUTED_VALUE"""),2060.6)</f>
        <v>2060.6</v>
      </c>
      <c r="D7327" s="1">
        <f>IFERROR(__xludf.DUMMYFUNCTION("""COMPUTED_VALUE"""),2034.17)</f>
        <v>2034.17</v>
      </c>
      <c r="E7327" s="1">
        <f>IFERROR(__xludf.DUMMYFUNCTION("""COMPUTED_VALUE"""),2059.82)</f>
        <v>2059.82</v>
      </c>
      <c r="F7327" s="1">
        <f>IFERROR(__xludf.DUMMYFUNCTION("""COMPUTED_VALUE"""),0.0)</f>
        <v>0</v>
      </c>
    </row>
    <row r="7328">
      <c r="A7328" s="2">
        <f>IFERROR(__xludf.DUMMYFUNCTION("""COMPUTED_VALUE"""),41983.66666666667)</f>
        <v>41983.66667</v>
      </c>
      <c r="B7328" s="1">
        <f>IFERROR(__xludf.DUMMYFUNCTION("""COMPUTED_VALUE"""),2058.86)</f>
        <v>2058.86</v>
      </c>
      <c r="C7328" s="1">
        <f>IFERROR(__xludf.DUMMYFUNCTION("""COMPUTED_VALUE"""),2058.86)</f>
        <v>2058.86</v>
      </c>
      <c r="D7328" s="1">
        <f>IFERROR(__xludf.DUMMYFUNCTION("""COMPUTED_VALUE"""),2024.26)</f>
        <v>2024.26</v>
      </c>
      <c r="E7328" s="1">
        <f>IFERROR(__xludf.DUMMYFUNCTION("""COMPUTED_VALUE"""),2026.14)</f>
        <v>2026.14</v>
      </c>
      <c r="F7328" s="1">
        <f>IFERROR(__xludf.DUMMYFUNCTION("""COMPUTED_VALUE"""),0.0)</f>
        <v>0</v>
      </c>
    </row>
    <row r="7329">
      <c r="A7329" s="2">
        <f>IFERROR(__xludf.DUMMYFUNCTION("""COMPUTED_VALUE"""),41984.66666666667)</f>
        <v>41984.66667</v>
      </c>
      <c r="B7329" s="1">
        <f>IFERROR(__xludf.DUMMYFUNCTION("""COMPUTED_VALUE"""),2027.92)</f>
        <v>2027.92</v>
      </c>
      <c r="C7329" s="1">
        <f>IFERROR(__xludf.DUMMYFUNCTION("""COMPUTED_VALUE"""),2055.53)</f>
        <v>2055.53</v>
      </c>
      <c r="D7329" s="1">
        <f>IFERROR(__xludf.DUMMYFUNCTION("""COMPUTED_VALUE"""),2027.92)</f>
        <v>2027.92</v>
      </c>
      <c r="E7329" s="1">
        <f>IFERROR(__xludf.DUMMYFUNCTION("""COMPUTED_VALUE"""),2035.33)</f>
        <v>2035.33</v>
      </c>
      <c r="F7329" s="1">
        <f>IFERROR(__xludf.DUMMYFUNCTION("""COMPUTED_VALUE"""),0.0)</f>
        <v>0</v>
      </c>
    </row>
    <row r="7330">
      <c r="A7330" s="2">
        <f>IFERROR(__xludf.DUMMYFUNCTION("""COMPUTED_VALUE"""),41985.66666666667)</f>
        <v>41985.66667</v>
      </c>
      <c r="B7330" s="1">
        <f>IFERROR(__xludf.DUMMYFUNCTION("""COMPUTED_VALUE"""),2030.36)</f>
        <v>2030.36</v>
      </c>
      <c r="C7330" s="1">
        <f>IFERROR(__xludf.DUMMYFUNCTION("""COMPUTED_VALUE"""),2032.25)</f>
        <v>2032.25</v>
      </c>
      <c r="D7330" s="1">
        <f>IFERROR(__xludf.DUMMYFUNCTION("""COMPUTED_VALUE"""),2002.33)</f>
        <v>2002.33</v>
      </c>
      <c r="E7330" s="1">
        <f>IFERROR(__xludf.DUMMYFUNCTION("""COMPUTED_VALUE"""),2002.33)</f>
        <v>2002.33</v>
      </c>
      <c r="F7330" s="1">
        <f>IFERROR(__xludf.DUMMYFUNCTION("""COMPUTED_VALUE"""),0.0)</f>
        <v>0</v>
      </c>
    </row>
    <row r="7331">
      <c r="A7331" s="2">
        <f>IFERROR(__xludf.DUMMYFUNCTION("""COMPUTED_VALUE"""),41988.66666666667)</f>
        <v>41988.66667</v>
      </c>
      <c r="B7331" s="1">
        <f>IFERROR(__xludf.DUMMYFUNCTION("""COMPUTED_VALUE"""),2005.03)</f>
        <v>2005.03</v>
      </c>
      <c r="C7331" s="1">
        <f>IFERROR(__xludf.DUMMYFUNCTION("""COMPUTED_VALUE"""),2018.69)</f>
        <v>2018.69</v>
      </c>
      <c r="D7331" s="1">
        <f>IFERROR(__xludf.DUMMYFUNCTION("""COMPUTED_VALUE"""),1982.26)</f>
        <v>1982.26</v>
      </c>
      <c r="E7331" s="1">
        <f>IFERROR(__xludf.DUMMYFUNCTION("""COMPUTED_VALUE"""),1989.63)</f>
        <v>1989.63</v>
      </c>
      <c r="F7331" s="1">
        <f>IFERROR(__xludf.DUMMYFUNCTION("""COMPUTED_VALUE"""),0.0)</f>
        <v>0</v>
      </c>
    </row>
    <row r="7332">
      <c r="A7332" s="2">
        <f>IFERROR(__xludf.DUMMYFUNCTION("""COMPUTED_VALUE"""),41989.66666666667)</f>
        <v>41989.66667</v>
      </c>
      <c r="B7332" s="1">
        <f>IFERROR(__xludf.DUMMYFUNCTION("""COMPUTED_VALUE"""),1986.71)</f>
        <v>1986.71</v>
      </c>
      <c r="C7332" s="1">
        <f>IFERROR(__xludf.DUMMYFUNCTION("""COMPUTED_VALUE"""),2016.89)</f>
        <v>2016.89</v>
      </c>
      <c r="D7332" s="1">
        <f>IFERROR(__xludf.DUMMYFUNCTION("""COMPUTED_VALUE"""),1972.56)</f>
        <v>1972.56</v>
      </c>
      <c r="E7332" s="1">
        <f>IFERROR(__xludf.DUMMYFUNCTION("""COMPUTED_VALUE"""),1972.74)</f>
        <v>1972.74</v>
      </c>
      <c r="F7332" s="1">
        <f>IFERROR(__xludf.DUMMYFUNCTION("""COMPUTED_VALUE"""),0.0)</f>
        <v>0</v>
      </c>
    </row>
    <row r="7333">
      <c r="A7333" s="2">
        <f>IFERROR(__xludf.DUMMYFUNCTION("""COMPUTED_VALUE"""),41990.66666666667)</f>
        <v>41990.66667</v>
      </c>
      <c r="B7333" s="1">
        <f>IFERROR(__xludf.DUMMYFUNCTION("""COMPUTED_VALUE"""),1973.77)</f>
        <v>1973.77</v>
      </c>
      <c r="C7333" s="1">
        <f>IFERROR(__xludf.DUMMYFUNCTION("""COMPUTED_VALUE"""),2016.75)</f>
        <v>2016.75</v>
      </c>
      <c r="D7333" s="1">
        <f>IFERROR(__xludf.DUMMYFUNCTION("""COMPUTED_VALUE"""),1973.77)</f>
        <v>1973.77</v>
      </c>
      <c r="E7333" s="1">
        <f>IFERROR(__xludf.DUMMYFUNCTION("""COMPUTED_VALUE"""),2012.89)</f>
        <v>2012.89</v>
      </c>
      <c r="F7333" s="1">
        <f>IFERROR(__xludf.DUMMYFUNCTION("""COMPUTED_VALUE"""),0.0)</f>
        <v>0</v>
      </c>
    </row>
    <row r="7334">
      <c r="A7334" s="2">
        <f>IFERROR(__xludf.DUMMYFUNCTION("""COMPUTED_VALUE"""),41991.66666666667)</f>
        <v>41991.66667</v>
      </c>
      <c r="B7334" s="1">
        <f>IFERROR(__xludf.DUMMYFUNCTION("""COMPUTED_VALUE"""),2018.98)</f>
        <v>2018.98</v>
      </c>
      <c r="C7334" s="1">
        <f>IFERROR(__xludf.DUMMYFUNCTION("""COMPUTED_VALUE"""),2061.23)</f>
        <v>2061.23</v>
      </c>
      <c r="D7334" s="1">
        <f>IFERROR(__xludf.DUMMYFUNCTION("""COMPUTED_VALUE"""),2018.98)</f>
        <v>2018.98</v>
      </c>
      <c r="E7334" s="1">
        <f>IFERROR(__xludf.DUMMYFUNCTION("""COMPUTED_VALUE"""),2061.23)</f>
        <v>2061.23</v>
      </c>
      <c r="F7334" s="1">
        <f>IFERROR(__xludf.DUMMYFUNCTION("""COMPUTED_VALUE"""),0.0)</f>
        <v>0</v>
      </c>
    </row>
    <row r="7335">
      <c r="A7335" s="2">
        <f>IFERROR(__xludf.DUMMYFUNCTION("""COMPUTED_VALUE"""),41992.66666666667)</f>
        <v>41992.66667</v>
      </c>
      <c r="B7335" s="1">
        <f>IFERROR(__xludf.DUMMYFUNCTION("""COMPUTED_VALUE"""),2061.04)</f>
        <v>2061.04</v>
      </c>
      <c r="C7335" s="1">
        <f>IFERROR(__xludf.DUMMYFUNCTION("""COMPUTED_VALUE"""),2077.85)</f>
        <v>2077.85</v>
      </c>
      <c r="D7335" s="1">
        <f>IFERROR(__xludf.DUMMYFUNCTION("""COMPUTED_VALUE"""),2061.03)</f>
        <v>2061.03</v>
      </c>
      <c r="E7335" s="1">
        <f>IFERROR(__xludf.DUMMYFUNCTION("""COMPUTED_VALUE"""),2070.65)</f>
        <v>2070.65</v>
      </c>
      <c r="F7335" s="1">
        <f>IFERROR(__xludf.DUMMYFUNCTION("""COMPUTED_VALUE"""),0.0)</f>
        <v>0</v>
      </c>
    </row>
    <row r="7336">
      <c r="A7336" s="2">
        <f>IFERROR(__xludf.DUMMYFUNCTION("""COMPUTED_VALUE"""),41995.66666666667)</f>
        <v>41995.66667</v>
      </c>
      <c r="B7336" s="1">
        <f>IFERROR(__xludf.DUMMYFUNCTION("""COMPUTED_VALUE"""),2069.28)</f>
        <v>2069.28</v>
      </c>
      <c r="C7336" s="1">
        <f>IFERROR(__xludf.DUMMYFUNCTION("""COMPUTED_VALUE"""),2078.76)</f>
        <v>2078.76</v>
      </c>
      <c r="D7336" s="1">
        <f>IFERROR(__xludf.DUMMYFUNCTION("""COMPUTED_VALUE"""),2069.28)</f>
        <v>2069.28</v>
      </c>
      <c r="E7336" s="1">
        <f>IFERROR(__xludf.DUMMYFUNCTION("""COMPUTED_VALUE"""),2078.54)</f>
        <v>2078.54</v>
      </c>
      <c r="F7336" s="1">
        <f>IFERROR(__xludf.DUMMYFUNCTION("""COMPUTED_VALUE"""),0.0)</f>
        <v>0</v>
      </c>
    </row>
    <row r="7337">
      <c r="A7337" s="2">
        <f>IFERROR(__xludf.DUMMYFUNCTION("""COMPUTED_VALUE"""),41996.66666666667)</f>
        <v>41996.66667</v>
      </c>
      <c r="B7337" s="1">
        <f>IFERROR(__xludf.DUMMYFUNCTION("""COMPUTED_VALUE"""),2081.48)</f>
        <v>2081.48</v>
      </c>
      <c r="C7337" s="1">
        <f>IFERROR(__xludf.DUMMYFUNCTION("""COMPUTED_VALUE"""),2086.73)</f>
        <v>2086.73</v>
      </c>
      <c r="D7337" s="1">
        <f>IFERROR(__xludf.DUMMYFUNCTION("""COMPUTED_VALUE"""),2079.77)</f>
        <v>2079.77</v>
      </c>
      <c r="E7337" s="1">
        <f>IFERROR(__xludf.DUMMYFUNCTION("""COMPUTED_VALUE"""),2082.17)</f>
        <v>2082.17</v>
      </c>
      <c r="F7337" s="1">
        <f>IFERROR(__xludf.DUMMYFUNCTION("""COMPUTED_VALUE"""),0.0)</f>
        <v>0</v>
      </c>
    </row>
    <row r="7338">
      <c r="A7338" s="2">
        <f>IFERROR(__xludf.DUMMYFUNCTION("""COMPUTED_VALUE"""),41997.66666666667)</f>
        <v>41997.66667</v>
      </c>
      <c r="B7338" s="1">
        <f>IFERROR(__xludf.DUMMYFUNCTION("""COMPUTED_VALUE"""),2083.25)</f>
        <v>2083.25</v>
      </c>
      <c r="C7338" s="1">
        <f>IFERROR(__xludf.DUMMYFUNCTION("""COMPUTED_VALUE"""),2087.56)</f>
        <v>2087.56</v>
      </c>
      <c r="D7338" s="1">
        <f>IFERROR(__xludf.DUMMYFUNCTION("""COMPUTED_VALUE"""),2081.86)</f>
        <v>2081.86</v>
      </c>
      <c r="E7338" s="1">
        <f>IFERROR(__xludf.DUMMYFUNCTION("""COMPUTED_VALUE"""),2081.88)</f>
        <v>2081.88</v>
      </c>
      <c r="F7338" s="1">
        <f>IFERROR(__xludf.DUMMYFUNCTION("""COMPUTED_VALUE"""),0.0)</f>
        <v>0</v>
      </c>
    </row>
    <row r="7339">
      <c r="A7339" s="2">
        <f>IFERROR(__xludf.DUMMYFUNCTION("""COMPUTED_VALUE"""),41999.66666666667)</f>
        <v>41999.66667</v>
      </c>
      <c r="B7339" s="1">
        <f>IFERROR(__xludf.DUMMYFUNCTION("""COMPUTED_VALUE"""),2084.3)</f>
        <v>2084.3</v>
      </c>
      <c r="C7339" s="1">
        <f>IFERROR(__xludf.DUMMYFUNCTION("""COMPUTED_VALUE"""),2092.7)</f>
        <v>2092.7</v>
      </c>
      <c r="D7339" s="1">
        <f>IFERROR(__xludf.DUMMYFUNCTION("""COMPUTED_VALUE"""),2084.3)</f>
        <v>2084.3</v>
      </c>
      <c r="E7339" s="1">
        <f>IFERROR(__xludf.DUMMYFUNCTION("""COMPUTED_VALUE"""),2088.77)</f>
        <v>2088.77</v>
      </c>
      <c r="F7339" s="1">
        <f>IFERROR(__xludf.DUMMYFUNCTION("""COMPUTED_VALUE"""),0.0)</f>
        <v>0</v>
      </c>
    </row>
    <row r="7340">
      <c r="A7340" s="2">
        <f>IFERROR(__xludf.DUMMYFUNCTION("""COMPUTED_VALUE"""),42002.66666666667)</f>
        <v>42002.66667</v>
      </c>
      <c r="B7340" s="1">
        <f>IFERROR(__xludf.DUMMYFUNCTION("""COMPUTED_VALUE"""),2087.63)</f>
        <v>2087.63</v>
      </c>
      <c r="C7340" s="1">
        <f>IFERROR(__xludf.DUMMYFUNCTION("""COMPUTED_VALUE"""),2093.55)</f>
        <v>2093.55</v>
      </c>
      <c r="D7340" s="1">
        <f>IFERROR(__xludf.DUMMYFUNCTION("""COMPUTED_VALUE"""),2085.75)</f>
        <v>2085.75</v>
      </c>
      <c r="E7340" s="1">
        <f>IFERROR(__xludf.DUMMYFUNCTION("""COMPUTED_VALUE"""),2090.57)</f>
        <v>2090.57</v>
      </c>
      <c r="F7340" s="1">
        <f>IFERROR(__xludf.DUMMYFUNCTION("""COMPUTED_VALUE"""),0.0)</f>
        <v>0</v>
      </c>
    </row>
    <row r="7341">
      <c r="A7341" s="2">
        <f>IFERROR(__xludf.DUMMYFUNCTION("""COMPUTED_VALUE"""),42003.66666666667)</f>
        <v>42003.66667</v>
      </c>
      <c r="B7341" s="1">
        <f>IFERROR(__xludf.DUMMYFUNCTION("""COMPUTED_VALUE"""),2088.49)</f>
        <v>2088.49</v>
      </c>
      <c r="C7341" s="1">
        <f>IFERROR(__xludf.DUMMYFUNCTION("""COMPUTED_VALUE"""),2088.49)</f>
        <v>2088.49</v>
      </c>
      <c r="D7341" s="1">
        <f>IFERROR(__xludf.DUMMYFUNCTION("""COMPUTED_VALUE"""),2079.53)</f>
        <v>2079.53</v>
      </c>
      <c r="E7341" s="1">
        <f>IFERROR(__xludf.DUMMYFUNCTION("""COMPUTED_VALUE"""),2080.35)</f>
        <v>2080.35</v>
      </c>
      <c r="F7341" s="1">
        <f>IFERROR(__xludf.DUMMYFUNCTION("""COMPUTED_VALUE"""),0.0)</f>
        <v>0</v>
      </c>
    </row>
    <row r="7342">
      <c r="A7342" s="2">
        <f>IFERROR(__xludf.DUMMYFUNCTION("""COMPUTED_VALUE"""),42004.66666666667)</f>
        <v>42004.66667</v>
      </c>
      <c r="B7342" s="1">
        <f>IFERROR(__xludf.DUMMYFUNCTION("""COMPUTED_VALUE"""),2082.11)</f>
        <v>2082.11</v>
      </c>
      <c r="C7342" s="1">
        <f>IFERROR(__xludf.DUMMYFUNCTION("""COMPUTED_VALUE"""),2085.58)</f>
        <v>2085.58</v>
      </c>
      <c r="D7342" s="1">
        <f>IFERROR(__xludf.DUMMYFUNCTION("""COMPUTED_VALUE"""),2057.94)</f>
        <v>2057.94</v>
      </c>
      <c r="E7342" s="1">
        <f>IFERROR(__xludf.DUMMYFUNCTION("""COMPUTED_VALUE"""),2058.9)</f>
        <v>2058.9</v>
      </c>
      <c r="F7342" s="1">
        <f>IFERROR(__xludf.DUMMYFUNCTION("""COMPUTED_VALUE"""),0.0)</f>
        <v>0</v>
      </c>
    </row>
    <row r="7343">
      <c r="A7343" s="2">
        <f>IFERROR(__xludf.DUMMYFUNCTION("""COMPUTED_VALUE"""),42006.66666666667)</f>
        <v>42006.66667</v>
      </c>
      <c r="B7343" s="1">
        <f>IFERROR(__xludf.DUMMYFUNCTION("""COMPUTED_VALUE"""),2058.9)</f>
        <v>2058.9</v>
      </c>
      <c r="C7343" s="1">
        <f>IFERROR(__xludf.DUMMYFUNCTION("""COMPUTED_VALUE"""),2072.36)</f>
        <v>2072.36</v>
      </c>
      <c r="D7343" s="1">
        <f>IFERROR(__xludf.DUMMYFUNCTION("""COMPUTED_VALUE"""),2046.04)</f>
        <v>2046.04</v>
      </c>
      <c r="E7343" s="1">
        <f>IFERROR(__xludf.DUMMYFUNCTION("""COMPUTED_VALUE"""),2058.2)</f>
        <v>2058.2</v>
      </c>
      <c r="F7343" s="1">
        <f>IFERROR(__xludf.DUMMYFUNCTION("""COMPUTED_VALUE"""),0.0)</f>
        <v>0</v>
      </c>
    </row>
    <row r="7344">
      <c r="A7344" s="2">
        <f>IFERROR(__xludf.DUMMYFUNCTION("""COMPUTED_VALUE"""),42009.66666666667)</f>
        <v>42009.66667</v>
      </c>
      <c r="B7344" s="1">
        <f>IFERROR(__xludf.DUMMYFUNCTION("""COMPUTED_VALUE"""),2054.44)</f>
        <v>2054.44</v>
      </c>
      <c r="C7344" s="1">
        <f>IFERROR(__xludf.DUMMYFUNCTION("""COMPUTED_VALUE"""),2054.44)</f>
        <v>2054.44</v>
      </c>
      <c r="D7344" s="1">
        <f>IFERROR(__xludf.DUMMYFUNCTION("""COMPUTED_VALUE"""),2017.34)</f>
        <v>2017.34</v>
      </c>
      <c r="E7344" s="1">
        <f>IFERROR(__xludf.DUMMYFUNCTION("""COMPUTED_VALUE"""),2020.58)</f>
        <v>2020.58</v>
      </c>
      <c r="F7344" s="1">
        <f>IFERROR(__xludf.DUMMYFUNCTION("""COMPUTED_VALUE"""),0.0)</f>
        <v>0</v>
      </c>
    </row>
    <row r="7345">
      <c r="A7345" s="2">
        <f>IFERROR(__xludf.DUMMYFUNCTION("""COMPUTED_VALUE"""),42010.66666666667)</f>
        <v>42010.66667</v>
      </c>
      <c r="B7345" s="1">
        <f>IFERROR(__xludf.DUMMYFUNCTION("""COMPUTED_VALUE"""),2022.15)</f>
        <v>2022.15</v>
      </c>
      <c r="C7345" s="1">
        <f>IFERROR(__xludf.DUMMYFUNCTION("""COMPUTED_VALUE"""),2030.25)</f>
        <v>2030.25</v>
      </c>
      <c r="D7345" s="1">
        <f>IFERROR(__xludf.DUMMYFUNCTION("""COMPUTED_VALUE"""),1992.44)</f>
        <v>1992.44</v>
      </c>
      <c r="E7345" s="1">
        <f>IFERROR(__xludf.DUMMYFUNCTION("""COMPUTED_VALUE"""),2002.61)</f>
        <v>2002.61</v>
      </c>
      <c r="F7345" s="1">
        <f>IFERROR(__xludf.DUMMYFUNCTION("""COMPUTED_VALUE"""),0.0)</f>
        <v>0</v>
      </c>
    </row>
    <row r="7346">
      <c r="A7346" s="2">
        <f>IFERROR(__xludf.DUMMYFUNCTION("""COMPUTED_VALUE"""),42011.66666666667)</f>
        <v>42011.66667</v>
      </c>
      <c r="B7346" s="1">
        <f>IFERROR(__xludf.DUMMYFUNCTION("""COMPUTED_VALUE"""),2005.55)</f>
        <v>2005.55</v>
      </c>
      <c r="C7346" s="1">
        <f>IFERROR(__xludf.DUMMYFUNCTION("""COMPUTED_VALUE"""),2029.61)</f>
        <v>2029.61</v>
      </c>
      <c r="D7346" s="1">
        <f>IFERROR(__xludf.DUMMYFUNCTION("""COMPUTED_VALUE"""),2005.55)</f>
        <v>2005.55</v>
      </c>
      <c r="E7346" s="1">
        <f>IFERROR(__xludf.DUMMYFUNCTION("""COMPUTED_VALUE"""),2025.9)</f>
        <v>2025.9</v>
      </c>
      <c r="F7346" s="1">
        <f>IFERROR(__xludf.DUMMYFUNCTION("""COMPUTED_VALUE"""),0.0)</f>
        <v>0</v>
      </c>
    </row>
    <row r="7347">
      <c r="A7347" s="2">
        <f>IFERROR(__xludf.DUMMYFUNCTION("""COMPUTED_VALUE"""),42012.66666666667)</f>
        <v>42012.66667</v>
      </c>
      <c r="B7347" s="1">
        <f>IFERROR(__xludf.DUMMYFUNCTION("""COMPUTED_VALUE"""),2030.61)</f>
        <v>2030.61</v>
      </c>
      <c r="C7347" s="1">
        <f>IFERROR(__xludf.DUMMYFUNCTION("""COMPUTED_VALUE"""),2064.08)</f>
        <v>2064.08</v>
      </c>
      <c r="D7347" s="1">
        <f>IFERROR(__xludf.DUMMYFUNCTION("""COMPUTED_VALUE"""),2030.61)</f>
        <v>2030.61</v>
      </c>
      <c r="E7347" s="1">
        <f>IFERROR(__xludf.DUMMYFUNCTION("""COMPUTED_VALUE"""),2062.14)</f>
        <v>2062.14</v>
      </c>
      <c r="F7347" s="1">
        <f>IFERROR(__xludf.DUMMYFUNCTION("""COMPUTED_VALUE"""),0.0)</f>
        <v>0</v>
      </c>
    </row>
    <row r="7348">
      <c r="A7348" s="2">
        <f>IFERROR(__xludf.DUMMYFUNCTION("""COMPUTED_VALUE"""),42013.66666666667)</f>
        <v>42013.66667</v>
      </c>
      <c r="B7348" s="1">
        <f>IFERROR(__xludf.DUMMYFUNCTION("""COMPUTED_VALUE"""),2063.45)</f>
        <v>2063.45</v>
      </c>
      <c r="C7348" s="1">
        <f>IFERROR(__xludf.DUMMYFUNCTION("""COMPUTED_VALUE"""),2064.43)</f>
        <v>2064.43</v>
      </c>
      <c r="D7348" s="1">
        <f>IFERROR(__xludf.DUMMYFUNCTION("""COMPUTED_VALUE"""),2038.33)</f>
        <v>2038.33</v>
      </c>
      <c r="E7348" s="1">
        <f>IFERROR(__xludf.DUMMYFUNCTION("""COMPUTED_VALUE"""),2044.81)</f>
        <v>2044.81</v>
      </c>
      <c r="F7348" s="1">
        <f>IFERROR(__xludf.DUMMYFUNCTION("""COMPUTED_VALUE"""),0.0)</f>
        <v>0</v>
      </c>
    </row>
    <row r="7349">
      <c r="A7349" s="2">
        <f>IFERROR(__xludf.DUMMYFUNCTION("""COMPUTED_VALUE"""),42016.66666666667)</f>
        <v>42016.66667</v>
      </c>
      <c r="B7349" s="1">
        <f>IFERROR(__xludf.DUMMYFUNCTION("""COMPUTED_VALUE"""),2046.13)</f>
        <v>2046.13</v>
      </c>
      <c r="C7349" s="1">
        <f>IFERROR(__xludf.DUMMYFUNCTION("""COMPUTED_VALUE"""),2049.3)</f>
        <v>2049.3</v>
      </c>
      <c r="D7349" s="1">
        <f>IFERROR(__xludf.DUMMYFUNCTION("""COMPUTED_VALUE"""),2022.58)</f>
        <v>2022.58</v>
      </c>
      <c r="E7349" s="1">
        <f>IFERROR(__xludf.DUMMYFUNCTION("""COMPUTED_VALUE"""),2028.26)</f>
        <v>2028.26</v>
      </c>
      <c r="F7349" s="1">
        <f>IFERROR(__xludf.DUMMYFUNCTION("""COMPUTED_VALUE"""),0.0)</f>
        <v>0</v>
      </c>
    </row>
    <row r="7350">
      <c r="A7350" s="2">
        <f>IFERROR(__xludf.DUMMYFUNCTION("""COMPUTED_VALUE"""),42017.66666666667)</f>
        <v>42017.66667</v>
      </c>
      <c r="B7350" s="1">
        <f>IFERROR(__xludf.DUMMYFUNCTION("""COMPUTED_VALUE"""),2031.58)</f>
        <v>2031.58</v>
      </c>
      <c r="C7350" s="1">
        <f>IFERROR(__xludf.DUMMYFUNCTION("""COMPUTED_VALUE"""),2056.93)</f>
        <v>2056.93</v>
      </c>
      <c r="D7350" s="1">
        <f>IFERROR(__xludf.DUMMYFUNCTION("""COMPUTED_VALUE"""),2008.25)</f>
        <v>2008.25</v>
      </c>
      <c r="E7350" s="1">
        <f>IFERROR(__xludf.DUMMYFUNCTION("""COMPUTED_VALUE"""),2023.03)</f>
        <v>2023.03</v>
      </c>
      <c r="F7350" s="1">
        <f>IFERROR(__xludf.DUMMYFUNCTION("""COMPUTED_VALUE"""),0.0)</f>
        <v>0</v>
      </c>
    </row>
    <row r="7351">
      <c r="A7351" s="2">
        <f>IFERROR(__xludf.DUMMYFUNCTION("""COMPUTED_VALUE"""),42018.66666666667)</f>
        <v>42018.66667</v>
      </c>
      <c r="B7351" s="1">
        <f>IFERROR(__xludf.DUMMYFUNCTION("""COMPUTED_VALUE"""),2018.4)</f>
        <v>2018.4</v>
      </c>
      <c r="C7351" s="1">
        <f>IFERROR(__xludf.DUMMYFUNCTION("""COMPUTED_VALUE"""),2018.4)</f>
        <v>2018.4</v>
      </c>
      <c r="D7351" s="1">
        <f>IFERROR(__xludf.DUMMYFUNCTION("""COMPUTED_VALUE"""),1988.44)</f>
        <v>1988.44</v>
      </c>
      <c r="E7351" s="1">
        <f>IFERROR(__xludf.DUMMYFUNCTION("""COMPUTED_VALUE"""),2011.27)</f>
        <v>2011.27</v>
      </c>
      <c r="F7351" s="1">
        <f>IFERROR(__xludf.DUMMYFUNCTION("""COMPUTED_VALUE"""),0.0)</f>
        <v>0</v>
      </c>
    </row>
    <row r="7352">
      <c r="A7352" s="2">
        <f>IFERROR(__xludf.DUMMYFUNCTION("""COMPUTED_VALUE"""),42019.66666666667)</f>
        <v>42019.66667</v>
      </c>
      <c r="B7352" s="1">
        <f>IFERROR(__xludf.DUMMYFUNCTION("""COMPUTED_VALUE"""),2013.75)</f>
        <v>2013.75</v>
      </c>
      <c r="C7352" s="1">
        <f>IFERROR(__xludf.DUMMYFUNCTION("""COMPUTED_VALUE"""),2021.35)</f>
        <v>2021.35</v>
      </c>
      <c r="D7352" s="1">
        <f>IFERROR(__xludf.DUMMYFUNCTION("""COMPUTED_VALUE"""),1991.47)</f>
        <v>1991.47</v>
      </c>
      <c r="E7352" s="1">
        <f>IFERROR(__xludf.DUMMYFUNCTION("""COMPUTED_VALUE"""),1992.67)</f>
        <v>1992.67</v>
      </c>
      <c r="F7352" s="1">
        <f>IFERROR(__xludf.DUMMYFUNCTION("""COMPUTED_VALUE"""),0.0)</f>
        <v>0</v>
      </c>
    </row>
    <row r="7353">
      <c r="A7353" s="2">
        <f>IFERROR(__xludf.DUMMYFUNCTION("""COMPUTED_VALUE"""),42020.66666666667)</f>
        <v>42020.66667</v>
      </c>
      <c r="B7353" s="1">
        <f>IFERROR(__xludf.DUMMYFUNCTION("""COMPUTED_VALUE"""),1992.25)</f>
        <v>1992.25</v>
      </c>
      <c r="C7353" s="1">
        <f>IFERROR(__xludf.DUMMYFUNCTION("""COMPUTED_VALUE"""),2020.46)</f>
        <v>2020.46</v>
      </c>
      <c r="D7353" s="1">
        <f>IFERROR(__xludf.DUMMYFUNCTION("""COMPUTED_VALUE"""),1988.12)</f>
        <v>1988.12</v>
      </c>
      <c r="E7353" s="1">
        <f>IFERROR(__xludf.DUMMYFUNCTION("""COMPUTED_VALUE"""),2019.42)</f>
        <v>2019.42</v>
      </c>
      <c r="F7353" s="1">
        <f>IFERROR(__xludf.DUMMYFUNCTION("""COMPUTED_VALUE"""),0.0)</f>
        <v>0</v>
      </c>
    </row>
    <row r="7354">
      <c r="A7354" s="2">
        <f>IFERROR(__xludf.DUMMYFUNCTION("""COMPUTED_VALUE"""),42024.66666666667)</f>
        <v>42024.66667</v>
      </c>
      <c r="B7354" s="1">
        <f>IFERROR(__xludf.DUMMYFUNCTION("""COMPUTED_VALUE"""),2020.76)</f>
        <v>2020.76</v>
      </c>
      <c r="C7354" s="1">
        <f>IFERROR(__xludf.DUMMYFUNCTION("""COMPUTED_VALUE"""),2028.94)</f>
        <v>2028.94</v>
      </c>
      <c r="D7354" s="1">
        <f>IFERROR(__xludf.DUMMYFUNCTION("""COMPUTED_VALUE"""),2004.49)</f>
        <v>2004.49</v>
      </c>
      <c r="E7354" s="1">
        <f>IFERROR(__xludf.DUMMYFUNCTION("""COMPUTED_VALUE"""),2022.55)</f>
        <v>2022.55</v>
      </c>
      <c r="F7354" s="1">
        <f>IFERROR(__xludf.DUMMYFUNCTION("""COMPUTED_VALUE"""),0.0)</f>
        <v>0</v>
      </c>
    </row>
    <row r="7355">
      <c r="A7355" s="2">
        <f>IFERROR(__xludf.DUMMYFUNCTION("""COMPUTED_VALUE"""),42025.66666666667)</f>
        <v>42025.66667</v>
      </c>
      <c r="B7355" s="1">
        <f>IFERROR(__xludf.DUMMYFUNCTION("""COMPUTED_VALUE"""),2020.19)</f>
        <v>2020.19</v>
      </c>
      <c r="C7355" s="1">
        <f>IFERROR(__xludf.DUMMYFUNCTION("""COMPUTED_VALUE"""),2038.29)</f>
        <v>2038.29</v>
      </c>
      <c r="D7355" s="1">
        <f>IFERROR(__xludf.DUMMYFUNCTION("""COMPUTED_VALUE"""),2012.04)</f>
        <v>2012.04</v>
      </c>
      <c r="E7355" s="1">
        <f>IFERROR(__xludf.DUMMYFUNCTION("""COMPUTED_VALUE"""),2032.12)</f>
        <v>2032.12</v>
      </c>
      <c r="F7355" s="1">
        <f>IFERROR(__xludf.DUMMYFUNCTION("""COMPUTED_VALUE"""),0.0)</f>
        <v>0</v>
      </c>
    </row>
    <row r="7356">
      <c r="A7356" s="2">
        <f>IFERROR(__xludf.DUMMYFUNCTION("""COMPUTED_VALUE"""),42026.66666666667)</f>
        <v>42026.66667</v>
      </c>
      <c r="B7356" s="1">
        <f>IFERROR(__xludf.DUMMYFUNCTION("""COMPUTED_VALUE"""),2034.3)</f>
        <v>2034.3</v>
      </c>
      <c r="C7356" s="1">
        <f>IFERROR(__xludf.DUMMYFUNCTION("""COMPUTED_VALUE"""),2064.62)</f>
        <v>2064.62</v>
      </c>
      <c r="D7356" s="1">
        <f>IFERROR(__xludf.DUMMYFUNCTION("""COMPUTED_VALUE"""),2026.38)</f>
        <v>2026.38</v>
      </c>
      <c r="E7356" s="1">
        <f>IFERROR(__xludf.DUMMYFUNCTION("""COMPUTED_VALUE"""),2063.15)</f>
        <v>2063.15</v>
      </c>
      <c r="F7356" s="1">
        <f>IFERROR(__xludf.DUMMYFUNCTION("""COMPUTED_VALUE"""),0.0)</f>
        <v>0</v>
      </c>
    </row>
    <row r="7357">
      <c r="A7357" s="2">
        <f>IFERROR(__xludf.DUMMYFUNCTION("""COMPUTED_VALUE"""),42027.66666666667)</f>
        <v>42027.66667</v>
      </c>
      <c r="B7357" s="1">
        <f>IFERROR(__xludf.DUMMYFUNCTION("""COMPUTED_VALUE"""),2062.98)</f>
        <v>2062.98</v>
      </c>
      <c r="C7357" s="1">
        <f>IFERROR(__xludf.DUMMYFUNCTION("""COMPUTED_VALUE"""),2062.98)</f>
        <v>2062.98</v>
      </c>
      <c r="D7357" s="1">
        <f>IFERROR(__xludf.DUMMYFUNCTION("""COMPUTED_VALUE"""),2050.54)</f>
        <v>2050.54</v>
      </c>
      <c r="E7357" s="1">
        <f>IFERROR(__xludf.DUMMYFUNCTION("""COMPUTED_VALUE"""),2051.82)</f>
        <v>2051.82</v>
      </c>
      <c r="F7357" s="1">
        <f>IFERROR(__xludf.DUMMYFUNCTION("""COMPUTED_VALUE"""),0.0)</f>
        <v>0</v>
      </c>
    </row>
    <row r="7358">
      <c r="A7358" s="2">
        <f>IFERROR(__xludf.DUMMYFUNCTION("""COMPUTED_VALUE"""),42030.66666666667)</f>
        <v>42030.66667</v>
      </c>
      <c r="B7358" s="1">
        <f>IFERROR(__xludf.DUMMYFUNCTION("""COMPUTED_VALUE"""),2050.42)</f>
        <v>2050.42</v>
      </c>
      <c r="C7358" s="1">
        <f>IFERROR(__xludf.DUMMYFUNCTION("""COMPUTED_VALUE"""),2057.62)</f>
        <v>2057.62</v>
      </c>
      <c r="D7358" s="1">
        <f>IFERROR(__xludf.DUMMYFUNCTION("""COMPUTED_VALUE"""),2040.97)</f>
        <v>2040.97</v>
      </c>
      <c r="E7358" s="1">
        <f>IFERROR(__xludf.DUMMYFUNCTION("""COMPUTED_VALUE"""),2057.09)</f>
        <v>2057.09</v>
      </c>
      <c r="F7358" s="1">
        <f>IFERROR(__xludf.DUMMYFUNCTION("""COMPUTED_VALUE"""),0.0)</f>
        <v>0</v>
      </c>
    </row>
    <row r="7359">
      <c r="A7359" s="2">
        <f>IFERROR(__xludf.DUMMYFUNCTION("""COMPUTED_VALUE"""),42031.66666666667)</f>
        <v>42031.66667</v>
      </c>
      <c r="B7359" s="1">
        <f>IFERROR(__xludf.DUMMYFUNCTION("""COMPUTED_VALUE"""),2047.86)</f>
        <v>2047.86</v>
      </c>
      <c r="C7359" s="1">
        <f>IFERROR(__xludf.DUMMYFUNCTION("""COMPUTED_VALUE"""),2047.86)</f>
        <v>2047.86</v>
      </c>
      <c r="D7359" s="1">
        <f>IFERROR(__xludf.DUMMYFUNCTION("""COMPUTED_VALUE"""),2019.91)</f>
        <v>2019.91</v>
      </c>
      <c r="E7359" s="1">
        <f>IFERROR(__xludf.DUMMYFUNCTION("""COMPUTED_VALUE"""),2029.55)</f>
        <v>2029.55</v>
      </c>
      <c r="F7359" s="1">
        <f>IFERROR(__xludf.DUMMYFUNCTION("""COMPUTED_VALUE"""),0.0)</f>
        <v>0</v>
      </c>
    </row>
    <row r="7360">
      <c r="A7360" s="2">
        <f>IFERROR(__xludf.DUMMYFUNCTION("""COMPUTED_VALUE"""),42032.66666666667)</f>
        <v>42032.66667</v>
      </c>
      <c r="B7360" s="1">
        <f>IFERROR(__xludf.DUMMYFUNCTION("""COMPUTED_VALUE"""),2032.34)</f>
        <v>2032.34</v>
      </c>
      <c r="C7360" s="1">
        <f>IFERROR(__xludf.DUMMYFUNCTION("""COMPUTED_VALUE"""),2042.49)</f>
        <v>2042.49</v>
      </c>
      <c r="D7360" s="1">
        <f>IFERROR(__xludf.DUMMYFUNCTION("""COMPUTED_VALUE"""),2001.49)</f>
        <v>2001.49</v>
      </c>
      <c r="E7360" s="1">
        <f>IFERROR(__xludf.DUMMYFUNCTION("""COMPUTED_VALUE"""),2002.16)</f>
        <v>2002.16</v>
      </c>
      <c r="F7360" s="1">
        <f>IFERROR(__xludf.DUMMYFUNCTION("""COMPUTED_VALUE"""),0.0)</f>
        <v>0</v>
      </c>
    </row>
    <row r="7361">
      <c r="A7361" s="2">
        <f>IFERROR(__xludf.DUMMYFUNCTION("""COMPUTED_VALUE"""),42033.66666666667)</f>
        <v>42033.66667</v>
      </c>
      <c r="B7361" s="1">
        <f>IFERROR(__xludf.DUMMYFUNCTION("""COMPUTED_VALUE"""),2002.45)</f>
        <v>2002.45</v>
      </c>
      <c r="C7361" s="1">
        <f>IFERROR(__xludf.DUMMYFUNCTION("""COMPUTED_VALUE"""),2024.64)</f>
        <v>2024.64</v>
      </c>
      <c r="D7361" s="1">
        <f>IFERROR(__xludf.DUMMYFUNCTION("""COMPUTED_VALUE"""),1989.18)</f>
        <v>1989.18</v>
      </c>
      <c r="E7361" s="1">
        <f>IFERROR(__xludf.DUMMYFUNCTION("""COMPUTED_VALUE"""),2021.25)</f>
        <v>2021.25</v>
      </c>
      <c r="F7361" s="1">
        <f>IFERROR(__xludf.DUMMYFUNCTION("""COMPUTED_VALUE"""),0.0)</f>
        <v>0</v>
      </c>
    </row>
    <row r="7362">
      <c r="A7362" s="2">
        <f>IFERROR(__xludf.DUMMYFUNCTION("""COMPUTED_VALUE"""),42034.66666666667)</f>
        <v>42034.66667</v>
      </c>
      <c r="B7362" s="1">
        <f>IFERROR(__xludf.DUMMYFUNCTION("""COMPUTED_VALUE"""),2019.35)</f>
        <v>2019.35</v>
      </c>
      <c r="C7362" s="1">
        <f>IFERROR(__xludf.DUMMYFUNCTION("""COMPUTED_VALUE"""),2023.32)</f>
        <v>2023.32</v>
      </c>
      <c r="D7362" s="1">
        <f>IFERROR(__xludf.DUMMYFUNCTION("""COMPUTED_VALUE"""),1993.38)</f>
        <v>1993.38</v>
      </c>
      <c r="E7362" s="1">
        <f>IFERROR(__xludf.DUMMYFUNCTION("""COMPUTED_VALUE"""),1994.99)</f>
        <v>1994.99</v>
      </c>
      <c r="F7362" s="1">
        <f>IFERROR(__xludf.DUMMYFUNCTION("""COMPUTED_VALUE"""),0.0)</f>
        <v>0</v>
      </c>
    </row>
    <row r="7363">
      <c r="A7363" s="2">
        <f>IFERROR(__xludf.DUMMYFUNCTION("""COMPUTED_VALUE"""),42037.66666666667)</f>
        <v>42037.66667</v>
      </c>
      <c r="B7363" s="1">
        <f>IFERROR(__xludf.DUMMYFUNCTION("""COMPUTED_VALUE"""),1996.67)</f>
        <v>1996.67</v>
      </c>
      <c r="C7363" s="1">
        <f>IFERROR(__xludf.DUMMYFUNCTION("""COMPUTED_VALUE"""),2021.66)</f>
        <v>2021.66</v>
      </c>
      <c r="D7363" s="1">
        <f>IFERROR(__xludf.DUMMYFUNCTION("""COMPUTED_VALUE"""),1980.9)</f>
        <v>1980.9</v>
      </c>
      <c r="E7363" s="1">
        <f>IFERROR(__xludf.DUMMYFUNCTION("""COMPUTED_VALUE"""),2020.85)</f>
        <v>2020.85</v>
      </c>
      <c r="F7363" s="1">
        <f>IFERROR(__xludf.DUMMYFUNCTION("""COMPUTED_VALUE"""),0.0)</f>
        <v>0</v>
      </c>
    </row>
    <row r="7364">
      <c r="A7364" s="2">
        <f>IFERROR(__xludf.DUMMYFUNCTION("""COMPUTED_VALUE"""),42038.66666666667)</f>
        <v>42038.66667</v>
      </c>
      <c r="B7364" s="1">
        <f>IFERROR(__xludf.DUMMYFUNCTION("""COMPUTED_VALUE"""),2022.71)</f>
        <v>2022.71</v>
      </c>
      <c r="C7364" s="1">
        <f>IFERROR(__xludf.DUMMYFUNCTION("""COMPUTED_VALUE"""),2050.3)</f>
        <v>2050.3</v>
      </c>
      <c r="D7364" s="1">
        <f>IFERROR(__xludf.DUMMYFUNCTION("""COMPUTED_VALUE"""),2022.71)</f>
        <v>2022.71</v>
      </c>
      <c r="E7364" s="1">
        <f>IFERROR(__xludf.DUMMYFUNCTION("""COMPUTED_VALUE"""),2050.03)</f>
        <v>2050.03</v>
      </c>
      <c r="F7364" s="1">
        <f>IFERROR(__xludf.DUMMYFUNCTION("""COMPUTED_VALUE"""),0.0)</f>
        <v>0</v>
      </c>
    </row>
    <row r="7365">
      <c r="A7365" s="2">
        <f>IFERROR(__xludf.DUMMYFUNCTION("""COMPUTED_VALUE"""),42039.66666666667)</f>
        <v>42039.66667</v>
      </c>
      <c r="B7365" s="1">
        <f>IFERROR(__xludf.DUMMYFUNCTION("""COMPUTED_VALUE"""),2048.86)</f>
        <v>2048.86</v>
      </c>
      <c r="C7365" s="1">
        <f>IFERROR(__xludf.DUMMYFUNCTION("""COMPUTED_VALUE"""),2054.74)</f>
        <v>2054.74</v>
      </c>
      <c r="D7365" s="1">
        <f>IFERROR(__xludf.DUMMYFUNCTION("""COMPUTED_VALUE"""),2036.72)</f>
        <v>2036.72</v>
      </c>
      <c r="E7365" s="1">
        <f>IFERROR(__xludf.DUMMYFUNCTION("""COMPUTED_VALUE"""),2041.51)</f>
        <v>2041.51</v>
      </c>
      <c r="F7365" s="1">
        <f>IFERROR(__xludf.DUMMYFUNCTION("""COMPUTED_VALUE"""),0.0)</f>
        <v>0</v>
      </c>
    </row>
    <row r="7366">
      <c r="A7366" s="2">
        <f>IFERROR(__xludf.DUMMYFUNCTION("""COMPUTED_VALUE"""),42040.66666666667)</f>
        <v>42040.66667</v>
      </c>
      <c r="B7366" s="1">
        <f>IFERROR(__xludf.DUMMYFUNCTION("""COMPUTED_VALUE"""),2043.45)</f>
        <v>2043.45</v>
      </c>
      <c r="C7366" s="1">
        <f>IFERROR(__xludf.DUMMYFUNCTION("""COMPUTED_VALUE"""),2063.55)</f>
        <v>2063.55</v>
      </c>
      <c r="D7366" s="1">
        <f>IFERROR(__xludf.DUMMYFUNCTION("""COMPUTED_VALUE"""),2043.45)</f>
        <v>2043.45</v>
      </c>
      <c r="E7366" s="1">
        <f>IFERROR(__xludf.DUMMYFUNCTION("""COMPUTED_VALUE"""),2062.52)</f>
        <v>2062.52</v>
      </c>
      <c r="F7366" s="1">
        <f>IFERROR(__xludf.DUMMYFUNCTION("""COMPUTED_VALUE"""),0.0)</f>
        <v>0</v>
      </c>
    </row>
    <row r="7367">
      <c r="A7367" s="2">
        <f>IFERROR(__xludf.DUMMYFUNCTION("""COMPUTED_VALUE"""),42041.66666666667)</f>
        <v>42041.66667</v>
      </c>
      <c r="B7367" s="1">
        <f>IFERROR(__xludf.DUMMYFUNCTION("""COMPUTED_VALUE"""),2062.28)</f>
        <v>2062.28</v>
      </c>
      <c r="C7367" s="1">
        <f>IFERROR(__xludf.DUMMYFUNCTION("""COMPUTED_VALUE"""),2072.4)</f>
        <v>2072.4</v>
      </c>
      <c r="D7367" s="1">
        <f>IFERROR(__xludf.DUMMYFUNCTION("""COMPUTED_VALUE"""),2049.97)</f>
        <v>2049.97</v>
      </c>
      <c r="E7367" s="1">
        <f>IFERROR(__xludf.DUMMYFUNCTION("""COMPUTED_VALUE"""),2055.47)</f>
        <v>2055.47</v>
      </c>
      <c r="F7367" s="1">
        <f>IFERROR(__xludf.DUMMYFUNCTION("""COMPUTED_VALUE"""),0.0)</f>
        <v>0</v>
      </c>
    </row>
    <row r="7368">
      <c r="A7368" s="2">
        <f>IFERROR(__xludf.DUMMYFUNCTION("""COMPUTED_VALUE"""),42044.66666666667)</f>
        <v>42044.66667</v>
      </c>
      <c r="B7368" s="1">
        <f>IFERROR(__xludf.DUMMYFUNCTION("""COMPUTED_VALUE"""),2053.47)</f>
        <v>2053.47</v>
      </c>
      <c r="C7368" s="1">
        <f>IFERROR(__xludf.DUMMYFUNCTION("""COMPUTED_VALUE"""),2056.16)</f>
        <v>2056.16</v>
      </c>
      <c r="D7368" s="1">
        <f>IFERROR(__xludf.DUMMYFUNCTION("""COMPUTED_VALUE"""),2041.88)</f>
        <v>2041.88</v>
      </c>
      <c r="E7368" s="1">
        <f>IFERROR(__xludf.DUMMYFUNCTION("""COMPUTED_VALUE"""),2046.74)</f>
        <v>2046.74</v>
      </c>
      <c r="F7368" s="1">
        <f>IFERROR(__xludf.DUMMYFUNCTION("""COMPUTED_VALUE"""),0.0)</f>
        <v>0</v>
      </c>
    </row>
    <row r="7369">
      <c r="A7369" s="2">
        <f>IFERROR(__xludf.DUMMYFUNCTION("""COMPUTED_VALUE"""),42045.66666666667)</f>
        <v>42045.66667</v>
      </c>
      <c r="B7369" s="1">
        <f>IFERROR(__xludf.DUMMYFUNCTION("""COMPUTED_VALUE"""),2049.38)</f>
        <v>2049.38</v>
      </c>
      <c r="C7369" s="1">
        <f>IFERROR(__xludf.DUMMYFUNCTION("""COMPUTED_VALUE"""),2070.86)</f>
        <v>2070.86</v>
      </c>
      <c r="D7369" s="1">
        <f>IFERROR(__xludf.DUMMYFUNCTION("""COMPUTED_VALUE"""),2048.62)</f>
        <v>2048.62</v>
      </c>
      <c r="E7369" s="1">
        <f>IFERROR(__xludf.DUMMYFUNCTION("""COMPUTED_VALUE"""),2068.59)</f>
        <v>2068.59</v>
      </c>
      <c r="F7369" s="1">
        <f>IFERROR(__xludf.DUMMYFUNCTION("""COMPUTED_VALUE"""),0.0)</f>
        <v>0</v>
      </c>
    </row>
    <row r="7370">
      <c r="A7370" s="2">
        <f>IFERROR(__xludf.DUMMYFUNCTION("""COMPUTED_VALUE"""),42046.66666666667)</f>
        <v>42046.66667</v>
      </c>
      <c r="B7370" s="1">
        <f>IFERROR(__xludf.DUMMYFUNCTION("""COMPUTED_VALUE"""),2068.55)</f>
        <v>2068.55</v>
      </c>
      <c r="C7370" s="1">
        <f>IFERROR(__xludf.DUMMYFUNCTION("""COMPUTED_VALUE"""),2073.48)</f>
        <v>2073.48</v>
      </c>
      <c r="D7370" s="1">
        <f>IFERROR(__xludf.DUMMYFUNCTION("""COMPUTED_VALUE"""),2057.99)</f>
        <v>2057.99</v>
      </c>
      <c r="E7370" s="1">
        <f>IFERROR(__xludf.DUMMYFUNCTION("""COMPUTED_VALUE"""),2068.53)</f>
        <v>2068.53</v>
      </c>
      <c r="F7370" s="1">
        <f>IFERROR(__xludf.DUMMYFUNCTION("""COMPUTED_VALUE"""),0.0)</f>
        <v>0</v>
      </c>
    </row>
    <row r="7371">
      <c r="A7371" s="2">
        <f>IFERROR(__xludf.DUMMYFUNCTION("""COMPUTED_VALUE"""),42047.66666666667)</f>
        <v>42047.66667</v>
      </c>
      <c r="B7371" s="1">
        <f>IFERROR(__xludf.DUMMYFUNCTION("""COMPUTED_VALUE"""),2069.98)</f>
        <v>2069.98</v>
      </c>
      <c r="C7371" s="1">
        <f>IFERROR(__xludf.DUMMYFUNCTION("""COMPUTED_VALUE"""),2088.53)</f>
        <v>2088.53</v>
      </c>
      <c r="D7371" s="1">
        <f>IFERROR(__xludf.DUMMYFUNCTION("""COMPUTED_VALUE"""),2069.98)</f>
        <v>2069.98</v>
      </c>
      <c r="E7371" s="1">
        <f>IFERROR(__xludf.DUMMYFUNCTION("""COMPUTED_VALUE"""),2088.48)</f>
        <v>2088.48</v>
      </c>
      <c r="F7371" s="1">
        <f>IFERROR(__xludf.DUMMYFUNCTION("""COMPUTED_VALUE"""),0.0)</f>
        <v>0</v>
      </c>
    </row>
    <row r="7372">
      <c r="A7372" s="2">
        <f>IFERROR(__xludf.DUMMYFUNCTION("""COMPUTED_VALUE"""),42048.66666666667)</f>
        <v>42048.66667</v>
      </c>
      <c r="B7372" s="1">
        <f>IFERROR(__xludf.DUMMYFUNCTION("""COMPUTED_VALUE"""),2088.78)</f>
        <v>2088.78</v>
      </c>
      <c r="C7372" s="1">
        <f>IFERROR(__xludf.DUMMYFUNCTION("""COMPUTED_VALUE"""),2097.03)</f>
        <v>2097.03</v>
      </c>
      <c r="D7372" s="1">
        <f>IFERROR(__xludf.DUMMYFUNCTION("""COMPUTED_VALUE"""),2086.7)</f>
        <v>2086.7</v>
      </c>
      <c r="E7372" s="1">
        <f>IFERROR(__xludf.DUMMYFUNCTION("""COMPUTED_VALUE"""),2096.99)</f>
        <v>2096.99</v>
      </c>
      <c r="F7372" s="1">
        <f>IFERROR(__xludf.DUMMYFUNCTION("""COMPUTED_VALUE"""),0.0)</f>
        <v>0</v>
      </c>
    </row>
    <row r="7373">
      <c r="A7373" s="2">
        <f>IFERROR(__xludf.DUMMYFUNCTION("""COMPUTED_VALUE"""),42052.66666666667)</f>
        <v>42052.66667</v>
      </c>
      <c r="B7373" s="1">
        <f>IFERROR(__xludf.DUMMYFUNCTION("""COMPUTED_VALUE"""),2096.47)</f>
        <v>2096.47</v>
      </c>
      <c r="C7373" s="1">
        <f>IFERROR(__xludf.DUMMYFUNCTION("""COMPUTED_VALUE"""),2101.3)</f>
        <v>2101.3</v>
      </c>
      <c r="D7373" s="1">
        <f>IFERROR(__xludf.DUMMYFUNCTION("""COMPUTED_VALUE"""),2089.8)</f>
        <v>2089.8</v>
      </c>
      <c r="E7373" s="1">
        <f>IFERROR(__xludf.DUMMYFUNCTION("""COMPUTED_VALUE"""),2100.34)</f>
        <v>2100.34</v>
      </c>
      <c r="F7373" s="1">
        <f>IFERROR(__xludf.DUMMYFUNCTION("""COMPUTED_VALUE"""),0.0)</f>
        <v>0</v>
      </c>
    </row>
    <row r="7374">
      <c r="A7374" s="2">
        <f>IFERROR(__xludf.DUMMYFUNCTION("""COMPUTED_VALUE"""),42053.66666666667)</f>
        <v>42053.66667</v>
      </c>
      <c r="B7374" s="1">
        <f>IFERROR(__xludf.DUMMYFUNCTION("""COMPUTED_VALUE"""),2099.16)</f>
        <v>2099.16</v>
      </c>
      <c r="C7374" s="1">
        <f>IFERROR(__xludf.DUMMYFUNCTION("""COMPUTED_VALUE"""),2100.23)</f>
        <v>2100.23</v>
      </c>
      <c r="D7374" s="1">
        <f>IFERROR(__xludf.DUMMYFUNCTION("""COMPUTED_VALUE"""),2092.15)</f>
        <v>2092.15</v>
      </c>
      <c r="E7374" s="1">
        <f>IFERROR(__xludf.DUMMYFUNCTION("""COMPUTED_VALUE"""),2099.68)</f>
        <v>2099.68</v>
      </c>
      <c r="F7374" s="1">
        <f>IFERROR(__xludf.DUMMYFUNCTION("""COMPUTED_VALUE"""),0.0)</f>
        <v>0</v>
      </c>
    </row>
    <row r="7375">
      <c r="A7375" s="2">
        <f>IFERROR(__xludf.DUMMYFUNCTION("""COMPUTED_VALUE"""),42054.66666666667)</f>
        <v>42054.66667</v>
      </c>
      <c r="B7375" s="1">
        <f>IFERROR(__xludf.DUMMYFUNCTION("""COMPUTED_VALUE"""),2099.25)</f>
        <v>2099.25</v>
      </c>
      <c r="C7375" s="1">
        <f>IFERROR(__xludf.DUMMYFUNCTION("""COMPUTED_VALUE"""),2102.13)</f>
        <v>2102.13</v>
      </c>
      <c r="D7375" s="1">
        <f>IFERROR(__xludf.DUMMYFUNCTION("""COMPUTED_VALUE"""),2090.79)</f>
        <v>2090.79</v>
      </c>
      <c r="E7375" s="1">
        <f>IFERROR(__xludf.DUMMYFUNCTION("""COMPUTED_VALUE"""),2097.45)</f>
        <v>2097.45</v>
      </c>
      <c r="F7375" s="1">
        <f>IFERROR(__xludf.DUMMYFUNCTION("""COMPUTED_VALUE"""),0.0)</f>
        <v>0</v>
      </c>
    </row>
    <row r="7376">
      <c r="A7376" s="2">
        <f>IFERROR(__xludf.DUMMYFUNCTION("""COMPUTED_VALUE"""),42055.66666666667)</f>
        <v>42055.66667</v>
      </c>
      <c r="B7376" s="1">
        <f>IFERROR(__xludf.DUMMYFUNCTION("""COMPUTED_VALUE"""),2097.65)</f>
        <v>2097.65</v>
      </c>
      <c r="C7376" s="1">
        <f>IFERROR(__xludf.DUMMYFUNCTION("""COMPUTED_VALUE"""),2110.61)</f>
        <v>2110.61</v>
      </c>
      <c r="D7376" s="1">
        <f>IFERROR(__xludf.DUMMYFUNCTION("""COMPUTED_VALUE"""),2085.44)</f>
        <v>2085.44</v>
      </c>
      <c r="E7376" s="1">
        <f>IFERROR(__xludf.DUMMYFUNCTION("""COMPUTED_VALUE"""),2110.3)</f>
        <v>2110.3</v>
      </c>
      <c r="F7376" s="1">
        <f>IFERROR(__xludf.DUMMYFUNCTION("""COMPUTED_VALUE"""),0.0)</f>
        <v>0</v>
      </c>
    </row>
    <row r="7377">
      <c r="A7377" s="2">
        <f>IFERROR(__xludf.DUMMYFUNCTION("""COMPUTED_VALUE"""),42058.66666666667)</f>
        <v>42058.66667</v>
      </c>
      <c r="B7377" s="1">
        <f>IFERROR(__xludf.DUMMYFUNCTION("""COMPUTED_VALUE"""),2109.83)</f>
        <v>2109.83</v>
      </c>
      <c r="C7377" s="1">
        <f>IFERROR(__xludf.DUMMYFUNCTION("""COMPUTED_VALUE"""),2110.05)</f>
        <v>2110.05</v>
      </c>
      <c r="D7377" s="1">
        <f>IFERROR(__xludf.DUMMYFUNCTION("""COMPUTED_VALUE"""),2103.0)</f>
        <v>2103</v>
      </c>
      <c r="E7377" s="1">
        <f>IFERROR(__xludf.DUMMYFUNCTION("""COMPUTED_VALUE"""),2109.66)</f>
        <v>2109.66</v>
      </c>
      <c r="F7377" s="1">
        <f>IFERROR(__xludf.DUMMYFUNCTION("""COMPUTED_VALUE"""),0.0)</f>
        <v>0</v>
      </c>
    </row>
    <row r="7378">
      <c r="A7378" s="2">
        <f>IFERROR(__xludf.DUMMYFUNCTION("""COMPUTED_VALUE"""),42059.66666666667)</f>
        <v>42059.66667</v>
      </c>
      <c r="B7378" s="1">
        <f>IFERROR(__xludf.DUMMYFUNCTION("""COMPUTED_VALUE"""),2109.1)</f>
        <v>2109.1</v>
      </c>
      <c r="C7378" s="1">
        <f>IFERROR(__xludf.DUMMYFUNCTION("""COMPUTED_VALUE"""),2117.94)</f>
        <v>2117.94</v>
      </c>
      <c r="D7378" s="1">
        <f>IFERROR(__xludf.DUMMYFUNCTION("""COMPUTED_VALUE"""),2105.87)</f>
        <v>2105.87</v>
      </c>
      <c r="E7378" s="1">
        <f>IFERROR(__xludf.DUMMYFUNCTION("""COMPUTED_VALUE"""),2115.48)</f>
        <v>2115.48</v>
      </c>
      <c r="F7378" s="1">
        <f>IFERROR(__xludf.DUMMYFUNCTION("""COMPUTED_VALUE"""),0.0)</f>
        <v>0</v>
      </c>
    </row>
    <row r="7379">
      <c r="A7379" s="2">
        <f>IFERROR(__xludf.DUMMYFUNCTION("""COMPUTED_VALUE"""),42060.66666666667)</f>
        <v>42060.66667</v>
      </c>
      <c r="B7379" s="1">
        <f>IFERROR(__xludf.DUMMYFUNCTION("""COMPUTED_VALUE"""),2115.3)</f>
        <v>2115.3</v>
      </c>
      <c r="C7379" s="1">
        <f>IFERROR(__xludf.DUMMYFUNCTION("""COMPUTED_VALUE"""),2119.59)</f>
        <v>2119.59</v>
      </c>
      <c r="D7379" s="1">
        <f>IFERROR(__xludf.DUMMYFUNCTION("""COMPUTED_VALUE"""),2109.89)</f>
        <v>2109.89</v>
      </c>
      <c r="E7379" s="1">
        <f>IFERROR(__xludf.DUMMYFUNCTION("""COMPUTED_VALUE"""),2113.86)</f>
        <v>2113.86</v>
      </c>
      <c r="F7379" s="1">
        <f>IFERROR(__xludf.DUMMYFUNCTION("""COMPUTED_VALUE"""),0.0)</f>
        <v>0</v>
      </c>
    </row>
    <row r="7380">
      <c r="A7380" s="2">
        <f>IFERROR(__xludf.DUMMYFUNCTION("""COMPUTED_VALUE"""),42061.66666666667)</f>
        <v>42061.66667</v>
      </c>
      <c r="B7380" s="1">
        <f>IFERROR(__xludf.DUMMYFUNCTION("""COMPUTED_VALUE"""),2113.91)</f>
        <v>2113.91</v>
      </c>
      <c r="C7380" s="1">
        <f>IFERROR(__xludf.DUMMYFUNCTION("""COMPUTED_VALUE"""),2113.91)</f>
        <v>2113.91</v>
      </c>
      <c r="D7380" s="1">
        <f>IFERROR(__xludf.DUMMYFUNCTION("""COMPUTED_VALUE"""),2103.76)</f>
        <v>2103.76</v>
      </c>
      <c r="E7380" s="1">
        <f>IFERROR(__xludf.DUMMYFUNCTION("""COMPUTED_VALUE"""),2110.74)</f>
        <v>2110.74</v>
      </c>
      <c r="F7380" s="1">
        <f>IFERROR(__xludf.DUMMYFUNCTION("""COMPUTED_VALUE"""),0.0)</f>
        <v>0</v>
      </c>
    </row>
    <row r="7381">
      <c r="A7381" s="2">
        <f>IFERROR(__xludf.DUMMYFUNCTION("""COMPUTED_VALUE"""),42062.66666666667)</f>
        <v>42062.66667</v>
      </c>
      <c r="B7381" s="1">
        <f>IFERROR(__xludf.DUMMYFUNCTION("""COMPUTED_VALUE"""),2110.88)</f>
        <v>2110.88</v>
      </c>
      <c r="C7381" s="1">
        <f>IFERROR(__xludf.DUMMYFUNCTION("""COMPUTED_VALUE"""),2112.74)</f>
        <v>2112.74</v>
      </c>
      <c r="D7381" s="1">
        <f>IFERROR(__xludf.DUMMYFUNCTION("""COMPUTED_VALUE"""),2103.75)</f>
        <v>2103.75</v>
      </c>
      <c r="E7381" s="1">
        <f>IFERROR(__xludf.DUMMYFUNCTION("""COMPUTED_VALUE"""),2104.5)</f>
        <v>2104.5</v>
      </c>
      <c r="F7381" s="1">
        <f>IFERROR(__xludf.DUMMYFUNCTION("""COMPUTED_VALUE"""),0.0)</f>
        <v>0</v>
      </c>
    </row>
    <row r="7382">
      <c r="A7382" s="2">
        <f>IFERROR(__xludf.DUMMYFUNCTION("""COMPUTED_VALUE"""),42065.66666666667)</f>
        <v>42065.66667</v>
      </c>
      <c r="B7382" s="1">
        <f>IFERROR(__xludf.DUMMYFUNCTION("""COMPUTED_VALUE"""),2105.23)</f>
        <v>2105.23</v>
      </c>
      <c r="C7382" s="1">
        <f>IFERROR(__xludf.DUMMYFUNCTION("""COMPUTED_VALUE"""),2117.52)</f>
        <v>2117.52</v>
      </c>
      <c r="D7382" s="1">
        <f>IFERROR(__xludf.DUMMYFUNCTION("""COMPUTED_VALUE"""),2104.5)</f>
        <v>2104.5</v>
      </c>
      <c r="E7382" s="1">
        <f>IFERROR(__xludf.DUMMYFUNCTION("""COMPUTED_VALUE"""),2117.39)</f>
        <v>2117.39</v>
      </c>
      <c r="F7382" s="1">
        <f>IFERROR(__xludf.DUMMYFUNCTION("""COMPUTED_VALUE"""),0.0)</f>
        <v>0</v>
      </c>
    </row>
    <row r="7383">
      <c r="A7383" s="2">
        <f>IFERROR(__xludf.DUMMYFUNCTION("""COMPUTED_VALUE"""),42066.66666666667)</f>
        <v>42066.66667</v>
      </c>
      <c r="B7383" s="1">
        <f>IFERROR(__xludf.DUMMYFUNCTION("""COMPUTED_VALUE"""),2115.76)</f>
        <v>2115.76</v>
      </c>
      <c r="C7383" s="1">
        <f>IFERROR(__xludf.DUMMYFUNCTION("""COMPUTED_VALUE"""),2115.76)</f>
        <v>2115.76</v>
      </c>
      <c r="D7383" s="1">
        <f>IFERROR(__xludf.DUMMYFUNCTION("""COMPUTED_VALUE"""),2098.26)</f>
        <v>2098.26</v>
      </c>
      <c r="E7383" s="1">
        <f>IFERROR(__xludf.DUMMYFUNCTION("""COMPUTED_VALUE"""),2107.78)</f>
        <v>2107.78</v>
      </c>
      <c r="F7383" s="1">
        <f>IFERROR(__xludf.DUMMYFUNCTION("""COMPUTED_VALUE"""),0.0)</f>
        <v>0</v>
      </c>
    </row>
    <row r="7384">
      <c r="A7384" s="2">
        <f>IFERROR(__xludf.DUMMYFUNCTION("""COMPUTED_VALUE"""),42067.66666666667)</f>
        <v>42067.66667</v>
      </c>
      <c r="B7384" s="1">
        <f>IFERROR(__xludf.DUMMYFUNCTION("""COMPUTED_VALUE"""),2107.72)</f>
        <v>2107.72</v>
      </c>
      <c r="C7384" s="1">
        <f>IFERROR(__xludf.DUMMYFUNCTION("""COMPUTED_VALUE"""),2107.72)</f>
        <v>2107.72</v>
      </c>
      <c r="D7384" s="1">
        <f>IFERROR(__xludf.DUMMYFUNCTION("""COMPUTED_VALUE"""),2087.62)</f>
        <v>2087.62</v>
      </c>
      <c r="E7384" s="1">
        <f>IFERROR(__xludf.DUMMYFUNCTION("""COMPUTED_VALUE"""),2098.53)</f>
        <v>2098.53</v>
      </c>
      <c r="F7384" s="1">
        <f>IFERROR(__xludf.DUMMYFUNCTION("""COMPUTED_VALUE"""),0.0)</f>
        <v>0</v>
      </c>
    </row>
    <row r="7385">
      <c r="A7385" s="2">
        <f>IFERROR(__xludf.DUMMYFUNCTION("""COMPUTED_VALUE"""),42068.66666666667)</f>
        <v>42068.66667</v>
      </c>
      <c r="B7385" s="1">
        <f>IFERROR(__xludf.DUMMYFUNCTION("""COMPUTED_VALUE"""),2098.54)</f>
        <v>2098.54</v>
      </c>
      <c r="C7385" s="1">
        <f>IFERROR(__xludf.DUMMYFUNCTION("""COMPUTED_VALUE"""),2104.25)</f>
        <v>2104.25</v>
      </c>
      <c r="D7385" s="1">
        <f>IFERROR(__xludf.DUMMYFUNCTION("""COMPUTED_VALUE"""),2095.22)</f>
        <v>2095.22</v>
      </c>
      <c r="E7385" s="1">
        <f>IFERROR(__xludf.DUMMYFUNCTION("""COMPUTED_VALUE"""),2101.04)</f>
        <v>2101.04</v>
      </c>
      <c r="F7385" s="1">
        <f>IFERROR(__xludf.DUMMYFUNCTION("""COMPUTED_VALUE"""),0.0)</f>
        <v>0</v>
      </c>
    </row>
    <row r="7386">
      <c r="A7386" s="2">
        <f>IFERROR(__xludf.DUMMYFUNCTION("""COMPUTED_VALUE"""),42069.66666666667)</f>
        <v>42069.66667</v>
      </c>
      <c r="B7386" s="1">
        <f>IFERROR(__xludf.DUMMYFUNCTION("""COMPUTED_VALUE"""),2100.91)</f>
        <v>2100.91</v>
      </c>
      <c r="C7386" s="1">
        <f>IFERROR(__xludf.DUMMYFUNCTION("""COMPUTED_VALUE"""),2100.91)</f>
        <v>2100.91</v>
      </c>
      <c r="D7386" s="1">
        <f>IFERROR(__xludf.DUMMYFUNCTION("""COMPUTED_VALUE"""),2067.27)</f>
        <v>2067.27</v>
      </c>
      <c r="E7386" s="1">
        <f>IFERROR(__xludf.DUMMYFUNCTION("""COMPUTED_VALUE"""),2071.26)</f>
        <v>2071.26</v>
      </c>
      <c r="F7386" s="1">
        <f>IFERROR(__xludf.DUMMYFUNCTION("""COMPUTED_VALUE"""),0.0)</f>
        <v>0</v>
      </c>
    </row>
    <row r="7387">
      <c r="A7387" s="2">
        <f>IFERROR(__xludf.DUMMYFUNCTION("""COMPUTED_VALUE"""),42072.66666666667)</f>
        <v>42072.66667</v>
      </c>
      <c r="B7387" s="1">
        <f>IFERROR(__xludf.DUMMYFUNCTION("""COMPUTED_VALUE"""),2072.25)</f>
        <v>2072.25</v>
      </c>
      <c r="C7387" s="1">
        <f>IFERROR(__xludf.DUMMYFUNCTION("""COMPUTED_VALUE"""),2083.49)</f>
        <v>2083.49</v>
      </c>
      <c r="D7387" s="1">
        <f>IFERROR(__xludf.DUMMYFUNCTION("""COMPUTED_VALUE"""),2072.21)</f>
        <v>2072.21</v>
      </c>
      <c r="E7387" s="1">
        <f>IFERROR(__xludf.DUMMYFUNCTION("""COMPUTED_VALUE"""),2079.43)</f>
        <v>2079.43</v>
      </c>
      <c r="F7387" s="1">
        <f>IFERROR(__xludf.DUMMYFUNCTION("""COMPUTED_VALUE"""),0.0)</f>
        <v>0</v>
      </c>
    </row>
    <row r="7388">
      <c r="A7388" s="2">
        <f>IFERROR(__xludf.DUMMYFUNCTION("""COMPUTED_VALUE"""),42073.66666666667)</f>
        <v>42073.66667</v>
      </c>
      <c r="B7388" s="1">
        <f>IFERROR(__xludf.DUMMYFUNCTION("""COMPUTED_VALUE"""),2076.14)</f>
        <v>2076.14</v>
      </c>
      <c r="C7388" s="1">
        <f>IFERROR(__xludf.DUMMYFUNCTION("""COMPUTED_VALUE"""),2076.14)</f>
        <v>2076.14</v>
      </c>
      <c r="D7388" s="1">
        <f>IFERROR(__xludf.DUMMYFUNCTION("""COMPUTED_VALUE"""),2044.16)</f>
        <v>2044.16</v>
      </c>
      <c r="E7388" s="1">
        <f>IFERROR(__xludf.DUMMYFUNCTION("""COMPUTED_VALUE"""),2044.16)</f>
        <v>2044.16</v>
      </c>
      <c r="F7388" s="1">
        <f>IFERROR(__xludf.DUMMYFUNCTION("""COMPUTED_VALUE"""),0.0)</f>
        <v>0</v>
      </c>
    </row>
    <row r="7389">
      <c r="A7389" s="2">
        <f>IFERROR(__xludf.DUMMYFUNCTION("""COMPUTED_VALUE"""),42074.66666666667)</f>
        <v>42074.66667</v>
      </c>
      <c r="B7389" s="1">
        <f>IFERROR(__xludf.DUMMYFUNCTION("""COMPUTED_VALUE"""),2044.69)</f>
        <v>2044.69</v>
      </c>
      <c r="C7389" s="1">
        <f>IFERROR(__xludf.DUMMYFUNCTION("""COMPUTED_VALUE"""),2050.08)</f>
        <v>2050.08</v>
      </c>
      <c r="D7389" s="1">
        <f>IFERROR(__xludf.DUMMYFUNCTION("""COMPUTED_VALUE"""),2039.69)</f>
        <v>2039.69</v>
      </c>
      <c r="E7389" s="1">
        <f>IFERROR(__xludf.DUMMYFUNCTION("""COMPUTED_VALUE"""),2040.24)</f>
        <v>2040.24</v>
      </c>
      <c r="F7389" s="1">
        <f>IFERROR(__xludf.DUMMYFUNCTION("""COMPUTED_VALUE"""),0.0)</f>
        <v>0</v>
      </c>
    </row>
    <row r="7390">
      <c r="A7390" s="2">
        <f>IFERROR(__xludf.DUMMYFUNCTION("""COMPUTED_VALUE"""),42075.66666666667)</f>
        <v>42075.66667</v>
      </c>
      <c r="B7390" s="1">
        <f>IFERROR(__xludf.DUMMYFUNCTION("""COMPUTED_VALUE"""),2041.1)</f>
        <v>2041.1</v>
      </c>
      <c r="C7390" s="1">
        <f>IFERROR(__xludf.DUMMYFUNCTION("""COMPUTED_VALUE"""),2066.41)</f>
        <v>2066.41</v>
      </c>
      <c r="D7390" s="1">
        <f>IFERROR(__xludf.DUMMYFUNCTION("""COMPUTED_VALUE"""),2041.1)</f>
        <v>2041.1</v>
      </c>
      <c r="E7390" s="1">
        <f>IFERROR(__xludf.DUMMYFUNCTION("""COMPUTED_VALUE"""),2065.95)</f>
        <v>2065.95</v>
      </c>
      <c r="F7390" s="1">
        <f>IFERROR(__xludf.DUMMYFUNCTION("""COMPUTED_VALUE"""),0.0)</f>
        <v>0</v>
      </c>
    </row>
    <row r="7391">
      <c r="A7391" s="2">
        <f>IFERROR(__xludf.DUMMYFUNCTION("""COMPUTED_VALUE"""),42076.66666666667)</f>
        <v>42076.66667</v>
      </c>
      <c r="B7391" s="1">
        <f>IFERROR(__xludf.DUMMYFUNCTION("""COMPUTED_VALUE"""),2064.56)</f>
        <v>2064.56</v>
      </c>
      <c r="C7391" s="1">
        <f>IFERROR(__xludf.DUMMYFUNCTION("""COMPUTED_VALUE"""),2064.56)</f>
        <v>2064.56</v>
      </c>
      <c r="D7391" s="1">
        <f>IFERROR(__xludf.DUMMYFUNCTION("""COMPUTED_VALUE"""),2041.17)</f>
        <v>2041.17</v>
      </c>
      <c r="E7391" s="1">
        <f>IFERROR(__xludf.DUMMYFUNCTION("""COMPUTED_VALUE"""),2053.4)</f>
        <v>2053.4</v>
      </c>
      <c r="F7391" s="1">
        <f>IFERROR(__xludf.DUMMYFUNCTION("""COMPUTED_VALUE"""),0.0)</f>
        <v>0</v>
      </c>
    </row>
    <row r="7392">
      <c r="A7392" s="2">
        <f>IFERROR(__xludf.DUMMYFUNCTION("""COMPUTED_VALUE"""),42079.66666666667)</f>
        <v>42079.66667</v>
      </c>
      <c r="B7392" s="1">
        <f>IFERROR(__xludf.DUMMYFUNCTION("""COMPUTED_VALUE"""),2055.35)</f>
        <v>2055.35</v>
      </c>
      <c r="C7392" s="1">
        <f>IFERROR(__xludf.DUMMYFUNCTION("""COMPUTED_VALUE"""),2081.41)</f>
        <v>2081.41</v>
      </c>
      <c r="D7392" s="1">
        <f>IFERROR(__xludf.DUMMYFUNCTION("""COMPUTED_VALUE"""),2055.35)</f>
        <v>2055.35</v>
      </c>
      <c r="E7392" s="1">
        <f>IFERROR(__xludf.DUMMYFUNCTION("""COMPUTED_VALUE"""),2081.19)</f>
        <v>2081.19</v>
      </c>
      <c r="F7392" s="1">
        <f>IFERROR(__xludf.DUMMYFUNCTION("""COMPUTED_VALUE"""),0.0)</f>
        <v>0</v>
      </c>
    </row>
    <row r="7393">
      <c r="A7393" s="2">
        <f>IFERROR(__xludf.DUMMYFUNCTION("""COMPUTED_VALUE"""),42080.66666666667)</f>
        <v>42080.66667</v>
      </c>
      <c r="B7393" s="1">
        <f>IFERROR(__xludf.DUMMYFUNCTION("""COMPUTED_VALUE"""),2080.59)</f>
        <v>2080.59</v>
      </c>
      <c r="C7393" s="1">
        <f>IFERROR(__xludf.DUMMYFUNCTION("""COMPUTED_VALUE"""),2080.59)</f>
        <v>2080.59</v>
      </c>
      <c r="D7393" s="1">
        <f>IFERROR(__xludf.DUMMYFUNCTION("""COMPUTED_VALUE"""),2065.08)</f>
        <v>2065.08</v>
      </c>
      <c r="E7393" s="1">
        <f>IFERROR(__xludf.DUMMYFUNCTION("""COMPUTED_VALUE"""),2074.28)</f>
        <v>2074.28</v>
      </c>
      <c r="F7393" s="1">
        <f>IFERROR(__xludf.DUMMYFUNCTION("""COMPUTED_VALUE"""),0.0)</f>
        <v>0</v>
      </c>
    </row>
    <row r="7394">
      <c r="A7394" s="2">
        <f>IFERROR(__xludf.DUMMYFUNCTION("""COMPUTED_VALUE"""),42081.66666666667)</f>
        <v>42081.66667</v>
      </c>
      <c r="B7394" s="1">
        <f>IFERROR(__xludf.DUMMYFUNCTION("""COMPUTED_VALUE"""),2072.84)</f>
        <v>2072.84</v>
      </c>
      <c r="C7394" s="1">
        <f>IFERROR(__xludf.DUMMYFUNCTION("""COMPUTED_VALUE"""),2106.85)</f>
        <v>2106.85</v>
      </c>
      <c r="D7394" s="1">
        <f>IFERROR(__xludf.DUMMYFUNCTION("""COMPUTED_VALUE"""),2061.23)</f>
        <v>2061.23</v>
      </c>
      <c r="E7394" s="1">
        <f>IFERROR(__xludf.DUMMYFUNCTION("""COMPUTED_VALUE"""),2099.5)</f>
        <v>2099.5</v>
      </c>
      <c r="F7394" s="1">
        <f>IFERROR(__xludf.DUMMYFUNCTION("""COMPUTED_VALUE"""),0.0)</f>
        <v>0</v>
      </c>
    </row>
    <row r="7395">
      <c r="A7395" s="2">
        <f>IFERROR(__xludf.DUMMYFUNCTION("""COMPUTED_VALUE"""),42082.66666666667)</f>
        <v>42082.66667</v>
      </c>
      <c r="B7395" s="1">
        <f>IFERROR(__xludf.DUMMYFUNCTION("""COMPUTED_VALUE"""),2098.69)</f>
        <v>2098.69</v>
      </c>
      <c r="C7395" s="1">
        <f>IFERROR(__xludf.DUMMYFUNCTION("""COMPUTED_VALUE"""),2098.69)</f>
        <v>2098.69</v>
      </c>
      <c r="D7395" s="1">
        <f>IFERROR(__xludf.DUMMYFUNCTION("""COMPUTED_VALUE"""),2085.56)</f>
        <v>2085.56</v>
      </c>
      <c r="E7395" s="1">
        <f>IFERROR(__xludf.DUMMYFUNCTION("""COMPUTED_VALUE"""),2089.27)</f>
        <v>2089.27</v>
      </c>
      <c r="F7395" s="1">
        <f>IFERROR(__xludf.DUMMYFUNCTION("""COMPUTED_VALUE"""),0.0)</f>
        <v>0</v>
      </c>
    </row>
    <row r="7396">
      <c r="A7396" s="2">
        <f>IFERROR(__xludf.DUMMYFUNCTION("""COMPUTED_VALUE"""),42083.66666666667)</f>
        <v>42083.66667</v>
      </c>
      <c r="B7396" s="1">
        <f>IFERROR(__xludf.DUMMYFUNCTION("""COMPUTED_VALUE"""),2090.32)</f>
        <v>2090.32</v>
      </c>
      <c r="C7396" s="1">
        <f>IFERROR(__xludf.DUMMYFUNCTION("""COMPUTED_VALUE"""),2113.92)</f>
        <v>2113.92</v>
      </c>
      <c r="D7396" s="1">
        <f>IFERROR(__xludf.DUMMYFUNCTION("""COMPUTED_VALUE"""),2090.32)</f>
        <v>2090.32</v>
      </c>
      <c r="E7396" s="1">
        <f>IFERROR(__xludf.DUMMYFUNCTION("""COMPUTED_VALUE"""),2108.1)</f>
        <v>2108.1</v>
      </c>
      <c r="F7396" s="1">
        <f>IFERROR(__xludf.DUMMYFUNCTION("""COMPUTED_VALUE"""),0.0)</f>
        <v>0</v>
      </c>
    </row>
    <row r="7397">
      <c r="A7397" s="2">
        <f>IFERROR(__xludf.DUMMYFUNCTION("""COMPUTED_VALUE"""),42086.66666666667)</f>
        <v>42086.66667</v>
      </c>
      <c r="B7397" s="1">
        <f>IFERROR(__xludf.DUMMYFUNCTION("""COMPUTED_VALUE"""),2107.99)</f>
        <v>2107.99</v>
      </c>
      <c r="C7397" s="1">
        <f>IFERROR(__xludf.DUMMYFUNCTION("""COMPUTED_VALUE"""),2114.86)</f>
        <v>2114.86</v>
      </c>
      <c r="D7397" s="1">
        <f>IFERROR(__xludf.DUMMYFUNCTION("""COMPUTED_VALUE"""),2104.42)</f>
        <v>2104.42</v>
      </c>
      <c r="E7397" s="1">
        <f>IFERROR(__xludf.DUMMYFUNCTION("""COMPUTED_VALUE"""),2104.42)</f>
        <v>2104.42</v>
      </c>
      <c r="F7397" s="1">
        <f>IFERROR(__xludf.DUMMYFUNCTION("""COMPUTED_VALUE"""),0.0)</f>
        <v>0</v>
      </c>
    </row>
    <row r="7398">
      <c r="A7398" s="2">
        <f>IFERROR(__xludf.DUMMYFUNCTION("""COMPUTED_VALUE"""),42087.66666666667)</f>
        <v>42087.66667</v>
      </c>
      <c r="B7398" s="1">
        <f>IFERROR(__xludf.DUMMYFUNCTION("""COMPUTED_VALUE"""),2103.94)</f>
        <v>2103.94</v>
      </c>
      <c r="C7398" s="1">
        <f>IFERROR(__xludf.DUMMYFUNCTION("""COMPUTED_VALUE"""),2107.63)</f>
        <v>2107.63</v>
      </c>
      <c r="D7398" s="1">
        <f>IFERROR(__xludf.DUMMYFUNCTION("""COMPUTED_VALUE"""),2091.5)</f>
        <v>2091.5</v>
      </c>
      <c r="E7398" s="1">
        <f>IFERROR(__xludf.DUMMYFUNCTION("""COMPUTED_VALUE"""),2091.5)</f>
        <v>2091.5</v>
      </c>
      <c r="F7398" s="1">
        <f>IFERROR(__xludf.DUMMYFUNCTION("""COMPUTED_VALUE"""),0.0)</f>
        <v>0</v>
      </c>
    </row>
    <row r="7399">
      <c r="A7399" s="2">
        <f>IFERROR(__xludf.DUMMYFUNCTION("""COMPUTED_VALUE"""),42088.66666666667)</f>
        <v>42088.66667</v>
      </c>
      <c r="B7399" s="1">
        <f>IFERROR(__xludf.DUMMYFUNCTION("""COMPUTED_VALUE"""),2093.1)</f>
        <v>2093.1</v>
      </c>
      <c r="C7399" s="1">
        <f>IFERROR(__xludf.DUMMYFUNCTION("""COMPUTED_VALUE"""),2097.43)</f>
        <v>2097.43</v>
      </c>
      <c r="D7399" s="1">
        <f>IFERROR(__xludf.DUMMYFUNCTION("""COMPUTED_VALUE"""),2061.05)</f>
        <v>2061.05</v>
      </c>
      <c r="E7399" s="1">
        <f>IFERROR(__xludf.DUMMYFUNCTION("""COMPUTED_VALUE"""),2061.05)</f>
        <v>2061.05</v>
      </c>
      <c r="F7399" s="1">
        <f>IFERROR(__xludf.DUMMYFUNCTION("""COMPUTED_VALUE"""),0.0)</f>
        <v>0</v>
      </c>
    </row>
    <row r="7400">
      <c r="A7400" s="2">
        <f>IFERROR(__xludf.DUMMYFUNCTION("""COMPUTED_VALUE"""),42089.66666666667)</f>
        <v>42089.66667</v>
      </c>
      <c r="B7400" s="1">
        <f>IFERROR(__xludf.DUMMYFUNCTION("""COMPUTED_VALUE"""),2059.94)</f>
        <v>2059.94</v>
      </c>
      <c r="C7400" s="1">
        <f>IFERROR(__xludf.DUMMYFUNCTION("""COMPUTED_VALUE"""),2067.15)</f>
        <v>2067.15</v>
      </c>
      <c r="D7400" s="1">
        <f>IFERROR(__xludf.DUMMYFUNCTION("""COMPUTED_VALUE"""),2045.5)</f>
        <v>2045.5</v>
      </c>
      <c r="E7400" s="1">
        <f>IFERROR(__xludf.DUMMYFUNCTION("""COMPUTED_VALUE"""),2056.15)</f>
        <v>2056.15</v>
      </c>
      <c r="F7400" s="1">
        <f>IFERROR(__xludf.DUMMYFUNCTION("""COMPUTED_VALUE"""),0.0)</f>
        <v>0</v>
      </c>
    </row>
    <row r="7401">
      <c r="A7401" s="2">
        <f>IFERROR(__xludf.DUMMYFUNCTION("""COMPUTED_VALUE"""),42090.66666666667)</f>
        <v>42090.66667</v>
      </c>
      <c r="B7401" s="1">
        <f>IFERROR(__xludf.DUMMYFUNCTION("""COMPUTED_VALUE"""),2055.78)</f>
        <v>2055.78</v>
      </c>
      <c r="C7401" s="1">
        <f>IFERROR(__xludf.DUMMYFUNCTION("""COMPUTED_VALUE"""),2062.83)</f>
        <v>2062.83</v>
      </c>
      <c r="D7401" s="1">
        <f>IFERROR(__xludf.DUMMYFUNCTION("""COMPUTED_VALUE"""),2052.96)</f>
        <v>2052.96</v>
      </c>
      <c r="E7401" s="1">
        <f>IFERROR(__xludf.DUMMYFUNCTION("""COMPUTED_VALUE"""),2061.02)</f>
        <v>2061.02</v>
      </c>
      <c r="F7401" s="1">
        <f>IFERROR(__xludf.DUMMYFUNCTION("""COMPUTED_VALUE"""),0.0)</f>
        <v>0</v>
      </c>
    </row>
    <row r="7402">
      <c r="A7402" s="2">
        <f>IFERROR(__xludf.DUMMYFUNCTION("""COMPUTED_VALUE"""),42093.66666666667)</f>
        <v>42093.66667</v>
      </c>
      <c r="B7402" s="1">
        <f>IFERROR(__xludf.DUMMYFUNCTION("""COMPUTED_VALUE"""),2064.11)</f>
        <v>2064.11</v>
      </c>
      <c r="C7402" s="1">
        <f>IFERROR(__xludf.DUMMYFUNCTION("""COMPUTED_VALUE"""),2088.97)</f>
        <v>2088.97</v>
      </c>
      <c r="D7402" s="1">
        <f>IFERROR(__xludf.DUMMYFUNCTION("""COMPUTED_VALUE"""),2064.11)</f>
        <v>2064.11</v>
      </c>
      <c r="E7402" s="1">
        <f>IFERROR(__xludf.DUMMYFUNCTION("""COMPUTED_VALUE"""),2086.24)</f>
        <v>2086.24</v>
      </c>
      <c r="F7402" s="1">
        <f>IFERROR(__xludf.DUMMYFUNCTION("""COMPUTED_VALUE"""),0.0)</f>
        <v>0</v>
      </c>
    </row>
    <row r="7403">
      <c r="A7403" s="2">
        <f>IFERROR(__xludf.DUMMYFUNCTION("""COMPUTED_VALUE"""),42094.66666666667)</f>
        <v>42094.66667</v>
      </c>
      <c r="B7403" s="1">
        <f>IFERROR(__xludf.DUMMYFUNCTION("""COMPUTED_VALUE"""),2084.05)</f>
        <v>2084.05</v>
      </c>
      <c r="C7403" s="1">
        <f>IFERROR(__xludf.DUMMYFUNCTION("""COMPUTED_VALUE"""),2084.05)</f>
        <v>2084.05</v>
      </c>
      <c r="D7403" s="1">
        <f>IFERROR(__xludf.DUMMYFUNCTION("""COMPUTED_VALUE"""),2067.04)</f>
        <v>2067.04</v>
      </c>
      <c r="E7403" s="1">
        <f>IFERROR(__xludf.DUMMYFUNCTION("""COMPUTED_VALUE"""),2067.89)</f>
        <v>2067.89</v>
      </c>
      <c r="F7403" s="1">
        <f>IFERROR(__xludf.DUMMYFUNCTION("""COMPUTED_VALUE"""),0.0)</f>
        <v>0</v>
      </c>
    </row>
    <row r="7404">
      <c r="A7404" s="2">
        <f>IFERROR(__xludf.DUMMYFUNCTION("""COMPUTED_VALUE"""),42095.66666666667)</f>
        <v>42095.66667</v>
      </c>
      <c r="B7404" s="1">
        <f>IFERROR(__xludf.DUMMYFUNCTION("""COMPUTED_VALUE"""),2067.63)</f>
        <v>2067.63</v>
      </c>
      <c r="C7404" s="1">
        <f>IFERROR(__xludf.DUMMYFUNCTION("""COMPUTED_VALUE"""),2067.63)</f>
        <v>2067.63</v>
      </c>
      <c r="D7404" s="1">
        <f>IFERROR(__xludf.DUMMYFUNCTION("""COMPUTED_VALUE"""),2048.38)</f>
        <v>2048.38</v>
      </c>
      <c r="E7404" s="1">
        <f>IFERROR(__xludf.DUMMYFUNCTION("""COMPUTED_VALUE"""),2059.69)</f>
        <v>2059.69</v>
      </c>
      <c r="F7404" s="1">
        <f>IFERROR(__xludf.DUMMYFUNCTION("""COMPUTED_VALUE"""),0.0)</f>
        <v>0</v>
      </c>
    </row>
    <row r="7405">
      <c r="A7405" s="2">
        <f>IFERROR(__xludf.DUMMYFUNCTION("""COMPUTED_VALUE"""),42096.66666666667)</f>
        <v>42096.66667</v>
      </c>
      <c r="B7405" s="1">
        <f>IFERROR(__xludf.DUMMYFUNCTION("""COMPUTED_VALUE"""),2060.03)</f>
        <v>2060.03</v>
      </c>
      <c r="C7405" s="1">
        <f>IFERROR(__xludf.DUMMYFUNCTION("""COMPUTED_VALUE"""),2072.17)</f>
        <v>2072.17</v>
      </c>
      <c r="D7405" s="1">
        <f>IFERROR(__xludf.DUMMYFUNCTION("""COMPUTED_VALUE"""),2057.32)</f>
        <v>2057.32</v>
      </c>
      <c r="E7405" s="1">
        <f>IFERROR(__xludf.DUMMYFUNCTION("""COMPUTED_VALUE"""),2066.96)</f>
        <v>2066.96</v>
      </c>
      <c r="F7405" s="1">
        <f>IFERROR(__xludf.DUMMYFUNCTION("""COMPUTED_VALUE"""),0.0)</f>
        <v>0</v>
      </c>
    </row>
    <row r="7406">
      <c r="A7406" s="2">
        <f>IFERROR(__xludf.DUMMYFUNCTION("""COMPUTED_VALUE"""),42100.66666666667)</f>
        <v>42100.66667</v>
      </c>
      <c r="B7406" s="1">
        <f>IFERROR(__xludf.DUMMYFUNCTION("""COMPUTED_VALUE"""),2064.87)</f>
        <v>2064.87</v>
      </c>
      <c r="C7406" s="1">
        <f>IFERROR(__xludf.DUMMYFUNCTION("""COMPUTED_VALUE"""),2086.99)</f>
        <v>2086.99</v>
      </c>
      <c r="D7406" s="1">
        <f>IFERROR(__xludf.DUMMYFUNCTION("""COMPUTED_VALUE"""),2056.52)</f>
        <v>2056.52</v>
      </c>
      <c r="E7406" s="1">
        <f>IFERROR(__xludf.DUMMYFUNCTION("""COMPUTED_VALUE"""),2080.62)</f>
        <v>2080.62</v>
      </c>
      <c r="F7406" s="1">
        <f>IFERROR(__xludf.DUMMYFUNCTION("""COMPUTED_VALUE"""),0.0)</f>
        <v>0</v>
      </c>
    </row>
    <row r="7407">
      <c r="A7407" s="2">
        <f>IFERROR(__xludf.DUMMYFUNCTION("""COMPUTED_VALUE"""),42101.66666666667)</f>
        <v>42101.66667</v>
      </c>
      <c r="B7407" s="1">
        <f>IFERROR(__xludf.DUMMYFUNCTION("""COMPUTED_VALUE"""),2080.79)</f>
        <v>2080.79</v>
      </c>
      <c r="C7407" s="1">
        <f>IFERROR(__xludf.DUMMYFUNCTION("""COMPUTED_VALUE"""),2089.81)</f>
        <v>2089.81</v>
      </c>
      <c r="D7407" s="1">
        <f>IFERROR(__xludf.DUMMYFUNCTION("""COMPUTED_VALUE"""),2076.1)</f>
        <v>2076.1</v>
      </c>
      <c r="E7407" s="1">
        <f>IFERROR(__xludf.DUMMYFUNCTION("""COMPUTED_VALUE"""),2076.33)</f>
        <v>2076.33</v>
      </c>
      <c r="F7407" s="1">
        <f>IFERROR(__xludf.DUMMYFUNCTION("""COMPUTED_VALUE"""),0.0)</f>
        <v>0</v>
      </c>
    </row>
    <row r="7408">
      <c r="A7408" s="2">
        <f>IFERROR(__xludf.DUMMYFUNCTION("""COMPUTED_VALUE"""),42102.66666666667)</f>
        <v>42102.66667</v>
      </c>
      <c r="B7408" s="1">
        <f>IFERROR(__xludf.DUMMYFUNCTION("""COMPUTED_VALUE"""),2076.94)</f>
        <v>2076.94</v>
      </c>
      <c r="C7408" s="1">
        <f>IFERROR(__xludf.DUMMYFUNCTION("""COMPUTED_VALUE"""),2086.69)</f>
        <v>2086.69</v>
      </c>
      <c r="D7408" s="1">
        <f>IFERROR(__xludf.DUMMYFUNCTION("""COMPUTED_VALUE"""),2073.3)</f>
        <v>2073.3</v>
      </c>
      <c r="E7408" s="1">
        <f>IFERROR(__xludf.DUMMYFUNCTION("""COMPUTED_VALUE"""),2081.9)</f>
        <v>2081.9</v>
      </c>
      <c r="F7408" s="1">
        <f>IFERROR(__xludf.DUMMYFUNCTION("""COMPUTED_VALUE"""),0.0)</f>
        <v>0</v>
      </c>
    </row>
    <row r="7409">
      <c r="A7409" s="2">
        <f>IFERROR(__xludf.DUMMYFUNCTION("""COMPUTED_VALUE"""),42103.66666666667)</f>
        <v>42103.66667</v>
      </c>
      <c r="B7409" s="1">
        <f>IFERROR(__xludf.DUMMYFUNCTION("""COMPUTED_VALUE"""),2081.29)</f>
        <v>2081.29</v>
      </c>
      <c r="C7409" s="1">
        <f>IFERROR(__xludf.DUMMYFUNCTION("""COMPUTED_VALUE"""),2093.31)</f>
        <v>2093.31</v>
      </c>
      <c r="D7409" s="1">
        <f>IFERROR(__xludf.DUMMYFUNCTION("""COMPUTED_VALUE"""),2074.29)</f>
        <v>2074.29</v>
      </c>
      <c r="E7409" s="1">
        <f>IFERROR(__xludf.DUMMYFUNCTION("""COMPUTED_VALUE"""),2091.18)</f>
        <v>2091.18</v>
      </c>
      <c r="F7409" s="1">
        <f>IFERROR(__xludf.DUMMYFUNCTION("""COMPUTED_VALUE"""),0.0)</f>
        <v>0</v>
      </c>
    </row>
    <row r="7410">
      <c r="A7410" s="2">
        <f>IFERROR(__xludf.DUMMYFUNCTION("""COMPUTED_VALUE"""),42104.66666666667)</f>
        <v>42104.66667</v>
      </c>
      <c r="B7410" s="1">
        <f>IFERROR(__xludf.DUMMYFUNCTION("""COMPUTED_VALUE"""),2091.51)</f>
        <v>2091.51</v>
      </c>
      <c r="C7410" s="1">
        <f>IFERROR(__xludf.DUMMYFUNCTION("""COMPUTED_VALUE"""),2102.61)</f>
        <v>2102.61</v>
      </c>
      <c r="D7410" s="1">
        <f>IFERROR(__xludf.DUMMYFUNCTION("""COMPUTED_VALUE"""),2091.51)</f>
        <v>2091.51</v>
      </c>
      <c r="E7410" s="1">
        <f>IFERROR(__xludf.DUMMYFUNCTION("""COMPUTED_VALUE"""),2102.06)</f>
        <v>2102.06</v>
      </c>
      <c r="F7410" s="1">
        <f>IFERROR(__xludf.DUMMYFUNCTION("""COMPUTED_VALUE"""),0.0)</f>
        <v>0</v>
      </c>
    </row>
    <row r="7411">
      <c r="A7411" s="2">
        <f>IFERROR(__xludf.DUMMYFUNCTION("""COMPUTED_VALUE"""),42107.66666666667)</f>
        <v>42107.66667</v>
      </c>
      <c r="B7411" s="1">
        <f>IFERROR(__xludf.DUMMYFUNCTION("""COMPUTED_VALUE"""),2102.03)</f>
        <v>2102.03</v>
      </c>
      <c r="C7411" s="1">
        <f>IFERROR(__xludf.DUMMYFUNCTION("""COMPUTED_VALUE"""),2107.65)</f>
        <v>2107.65</v>
      </c>
      <c r="D7411" s="1">
        <f>IFERROR(__xludf.DUMMYFUNCTION("""COMPUTED_VALUE"""),2092.33)</f>
        <v>2092.33</v>
      </c>
      <c r="E7411" s="1">
        <f>IFERROR(__xludf.DUMMYFUNCTION("""COMPUTED_VALUE"""),2092.43)</f>
        <v>2092.43</v>
      </c>
      <c r="F7411" s="1">
        <f>IFERROR(__xludf.DUMMYFUNCTION("""COMPUTED_VALUE"""),0.0)</f>
        <v>0</v>
      </c>
    </row>
    <row r="7412">
      <c r="A7412" s="2">
        <f>IFERROR(__xludf.DUMMYFUNCTION("""COMPUTED_VALUE"""),42108.66666666667)</f>
        <v>42108.66667</v>
      </c>
      <c r="B7412" s="1">
        <f>IFERROR(__xludf.DUMMYFUNCTION("""COMPUTED_VALUE"""),2092.28)</f>
        <v>2092.28</v>
      </c>
      <c r="C7412" s="1">
        <f>IFERROR(__xludf.DUMMYFUNCTION("""COMPUTED_VALUE"""),2098.62)</f>
        <v>2098.62</v>
      </c>
      <c r="D7412" s="1">
        <f>IFERROR(__xludf.DUMMYFUNCTION("""COMPUTED_VALUE"""),2083.24)</f>
        <v>2083.24</v>
      </c>
      <c r="E7412" s="1">
        <f>IFERROR(__xludf.DUMMYFUNCTION("""COMPUTED_VALUE"""),2095.84)</f>
        <v>2095.84</v>
      </c>
      <c r="F7412" s="1">
        <f>IFERROR(__xludf.DUMMYFUNCTION("""COMPUTED_VALUE"""),0.0)</f>
        <v>0</v>
      </c>
    </row>
    <row r="7413">
      <c r="A7413" s="2">
        <f>IFERROR(__xludf.DUMMYFUNCTION("""COMPUTED_VALUE"""),42109.66666666667)</f>
        <v>42109.66667</v>
      </c>
      <c r="B7413" s="1">
        <f>IFERROR(__xludf.DUMMYFUNCTION("""COMPUTED_VALUE"""),2097.82)</f>
        <v>2097.82</v>
      </c>
      <c r="C7413" s="1">
        <f>IFERROR(__xludf.DUMMYFUNCTION("""COMPUTED_VALUE"""),2111.91)</f>
        <v>2111.91</v>
      </c>
      <c r="D7413" s="1">
        <f>IFERROR(__xludf.DUMMYFUNCTION("""COMPUTED_VALUE"""),2097.82)</f>
        <v>2097.82</v>
      </c>
      <c r="E7413" s="1">
        <f>IFERROR(__xludf.DUMMYFUNCTION("""COMPUTED_VALUE"""),2106.63)</f>
        <v>2106.63</v>
      </c>
      <c r="F7413" s="1">
        <f>IFERROR(__xludf.DUMMYFUNCTION("""COMPUTED_VALUE"""),0.0)</f>
        <v>0</v>
      </c>
    </row>
    <row r="7414">
      <c r="A7414" s="2">
        <f>IFERROR(__xludf.DUMMYFUNCTION("""COMPUTED_VALUE"""),42110.66666666667)</f>
        <v>42110.66667</v>
      </c>
      <c r="B7414" s="1">
        <f>IFERROR(__xludf.DUMMYFUNCTION("""COMPUTED_VALUE"""),2105.96)</f>
        <v>2105.96</v>
      </c>
      <c r="C7414" s="1">
        <f>IFERROR(__xludf.DUMMYFUNCTION("""COMPUTED_VALUE"""),2111.3)</f>
        <v>2111.3</v>
      </c>
      <c r="D7414" s="1">
        <f>IFERROR(__xludf.DUMMYFUNCTION("""COMPUTED_VALUE"""),2100.02)</f>
        <v>2100.02</v>
      </c>
      <c r="E7414" s="1">
        <f>IFERROR(__xludf.DUMMYFUNCTION("""COMPUTED_VALUE"""),2104.99)</f>
        <v>2104.99</v>
      </c>
      <c r="F7414" s="1">
        <f>IFERROR(__xludf.DUMMYFUNCTION("""COMPUTED_VALUE"""),0.0)</f>
        <v>0</v>
      </c>
    </row>
    <row r="7415">
      <c r="A7415" s="2">
        <f>IFERROR(__xludf.DUMMYFUNCTION("""COMPUTED_VALUE"""),42111.66666666667)</f>
        <v>42111.66667</v>
      </c>
      <c r="B7415" s="1">
        <f>IFERROR(__xludf.DUMMYFUNCTION("""COMPUTED_VALUE"""),2102.58)</f>
        <v>2102.58</v>
      </c>
      <c r="C7415" s="1">
        <f>IFERROR(__xludf.DUMMYFUNCTION("""COMPUTED_VALUE"""),2102.58)</f>
        <v>2102.58</v>
      </c>
      <c r="D7415" s="1">
        <f>IFERROR(__xludf.DUMMYFUNCTION("""COMPUTED_VALUE"""),2072.37)</f>
        <v>2072.37</v>
      </c>
      <c r="E7415" s="1">
        <f>IFERROR(__xludf.DUMMYFUNCTION("""COMPUTED_VALUE"""),2081.18)</f>
        <v>2081.18</v>
      </c>
      <c r="F7415" s="1">
        <f>IFERROR(__xludf.DUMMYFUNCTION("""COMPUTED_VALUE"""),0.0)</f>
        <v>0</v>
      </c>
    </row>
    <row r="7416">
      <c r="A7416" s="2">
        <f>IFERROR(__xludf.DUMMYFUNCTION("""COMPUTED_VALUE"""),42114.66666666667)</f>
        <v>42114.66667</v>
      </c>
      <c r="B7416" s="1">
        <f>IFERROR(__xludf.DUMMYFUNCTION("""COMPUTED_VALUE"""),2084.11)</f>
        <v>2084.11</v>
      </c>
      <c r="C7416" s="1">
        <f>IFERROR(__xludf.DUMMYFUNCTION("""COMPUTED_VALUE"""),2103.94)</f>
        <v>2103.94</v>
      </c>
      <c r="D7416" s="1">
        <f>IFERROR(__xludf.DUMMYFUNCTION("""COMPUTED_VALUE"""),2084.11)</f>
        <v>2084.11</v>
      </c>
      <c r="E7416" s="1">
        <f>IFERROR(__xludf.DUMMYFUNCTION("""COMPUTED_VALUE"""),2100.4)</f>
        <v>2100.4</v>
      </c>
      <c r="F7416" s="1">
        <f>IFERROR(__xludf.DUMMYFUNCTION("""COMPUTED_VALUE"""),0.0)</f>
        <v>0</v>
      </c>
    </row>
    <row r="7417">
      <c r="A7417" s="2">
        <f>IFERROR(__xludf.DUMMYFUNCTION("""COMPUTED_VALUE"""),42115.66666666667)</f>
        <v>42115.66667</v>
      </c>
      <c r="B7417" s="1">
        <f>IFERROR(__xludf.DUMMYFUNCTION("""COMPUTED_VALUE"""),2102.82)</f>
        <v>2102.82</v>
      </c>
      <c r="C7417" s="1">
        <f>IFERROR(__xludf.DUMMYFUNCTION("""COMPUTED_VALUE"""),2109.64)</f>
        <v>2109.64</v>
      </c>
      <c r="D7417" s="1">
        <f>IFERROR(__xludf.DUMMYFUNCTION("""COMPUTED_VALUE"""),2094.38)</f>
        <v>2094.38</v>
      </c>
      <c r="E7417" s="1">
        <f>IFERROR(__xludf.DUMMYFUNCTION("""COMPUTED_VALUE"""),2097.29)</f>
        <v>2097.29</v>
      </c>
      <c r="F7417" s="1">
        <f>IFERROR(__xludf.DUMMYFUNCTION("""COMPUTED_VALUE"""),0.0)</f>
        <v>0</v>
      </c>
    </row>
    <row r="7418">
      <c r="A7418" s="2">
        <f>IFERROR(__xludf.DUMMYFUNCTION("""COMPUTED_VALUE"""),42116.66666666667)</f>
        <v>42116.66667</v>
      </c>
      <c r="B7418" s="1">
        <f>IFERROR(__xludf.DUMMYFUNCTION("""COMPUTED_VALUE"""),2098.27)</f>
        <v>2098.27</v>
      </c>
      <c r="C7418" s="1">
        <f>IFERROR(__xludf.DUMMYFUNCTION("""COMPUTED_VALUE"""),2109.98)</f>
        <v>2109.98</v>
      </c>
      <c r="D7418" s="1">
        <f>IFERROR(__xludf.DUMMYFUNCTION("""COMPUTED_VALUE"""),2091.05)</f>
        <v>2091.05</v>
      </c>
      <c r="E7418" s="1">
        <f>IFERROR(__xludf.DUMMYFUNCTION("""COMPUTED_VALUE"""),2107.96)</f>
        <v>2107.96</v>
      </c>
      <c r="F7418" s="1">
        <f>IFERROR(__xludf.DUMMYFUNCTION("""COMPUTED_VALUE"""),0.0)</f>
        <v>0</v>
      </c>
    </row>
    <row r="7419">
      <c r="A7419" s="2">
        <f>IFERROR(__xludf.DUMMYFUNCTION("""COMPUTED_VALUE"""),42117.66666666667)</f>
        <v>42117.66667</v>
      </c>
      <c r="B7419" s="1">
        <f>IFERROR(__xludf.DUMMYFUNCTION("""COMPUTED_VALUE"""),2107.21)</f>
        <v>2107.21</v>
      </c>
      <c r="C7419" s="1">
        <f>IFERROR(__xludf.DUMMYFUNCTION("""COMPUTED_VALUE"""),2120.49)</f>
        <v>2120.49</v>
      </c>
      <c r="D7419" s="1">
        <f>IFERROR(__xludf.DUMMYFUNCTION("""COMPUTED_VALUE"""),2103.19)</f>
        <v>2103.19</v>
      </c>
      <c r="E7419" s="1">
        <f>IFERROR(__xludf.DUMMYFUNCTION("""COMPUTED_VALUE"""),2112.93)</f>
        <v>2112.93</v>
      </c>
      <c r="F7419" s="1">
        <f>IFERROR(__xludf.DUMMYFUNCTION("""COMPUTED_VALUE"""),0.0)</f>
        <v>0</v>
      </c>
    </row>
    <row r="7420">
      <c r="A7420" s="2">
        <f>IFERROR(__xludf.DUMMYFUNCTION("""COMPUTED_VALUE"""),42118.66666666667)</f>
        <v>42118.66667</v>
      </c>
      <c r="B7420" s="1">
        <f>IFERROR(__xludf.DUMMYFUNCTION("""COMPUTED_VALUE"""),2112.8)</f>
        <v>2112.8</v>
      </c>
      <c r="C7420" s="1">
        <f>IFERROR(__xludf.DUMMYFUNCTION("""COMPUTED_VALUE"""),2120.92)</f>
        <v>2120.92</v>
      </c>
      <c r="D7420" s="1">
        <f>IFERROR(__xludf.DUMMYFUNCTION("""COMPUTED_VALUE"""),2112.8)</f>
        <v>2112.8</v>
      </c>
      <c r="E7420" s="1">
        <f>IFERROR(__xludf.DUMMYFUNCTION("""COMPUTED_VALUE"""),2117.69)</f>
        <v>2117.69</v>
      </c>
      <c r="F7420" s="1">
        <f>IFERROR(__xludf.DUMMYFUNCTION("""COMPUTED_VALUE"""),0.0)</f>
        <v>0</v>
      </c>
    </row>
    <row r="7421">
      <c r="A7421" s="2">
        <f>IFERROR(__xludf.DUMMYFUNCTION("""COMPUTED_VALUE"""),42121.66666666667)</f>
        <v>42121.66667</v>
      </c>
      <c r="B7421" s="1">
        <f>IFERROR(__xludf.DUMMYFUNCTION("""COMPUTED_VALUE"""),2119.29)</f>
        <v>2119.29</v>
      </c>
      <c r="C7421" s="1">
        <f>IFERROR(__xludf.DUMMYFUNCTION("""COMPUTED_VALUE"""),2125.92)</f>
        <v>2125.92</v>
      </c>
      <c r="D7421" s="1">
        <f>IFERROR(__xludf.DUMMYFUNCTION("""COMPUTED_VALUE"""),2107.04)</f>
        <v>2107.04</v>
      </c>
      <c r="E7421" s="1">
        <f>IFERROR(__xludf.DUMMYFUNCTION("""COMPUTED_VALUE"""),2108.92)</f>
        <v>2108.92</v>
      </c>
      <c r="F7421" s="1">
        <f>IFERROR(__xludf.DUMMYFUNCTION("""COMPUTED_VALUE"""),0.0)</f>
        <v>0</v>
      </c>
    </row>
    <row r="7422">
      <c r="A7422" s="2">
        <f>IFERROR(__xludf.DUMMYFUNCTION("""COMPUTED_VALUE"""),42122.66666666667)</f>
        <v>42122.66667</v>
      </c>
      <c r="B7422" s="1">
        <f>IFERROR(__xludf.DUMMYFUNCTION("""COMPUTED_VALUE"""),2108.35)</f>
        <v>2108.35</v>
      </c>
      <c r="C7422" s="1">
        <f>IFERROR(__xludf.DUMMYFUNCTION("""COMPUTED_VALUE"""),2116.09)</f>
        <v>2116.09</v>
      </c>
      <c r="D7422" s="1">
        <f>IFERROR(__xludf.DUMMYFUNCTION("""COMPUTED_VALUE"""),2094.89)</f>
        <v>2094.89</v>
      </c>
      <c r="E7422" s="1">
        <f>IFERROR(__xludf.DUMMYFUNCTION("""COMPUTED_VALUE"""),2114.76)</f>
        <v>2114.76</v>
      </c>
      <c r="F7422" s="1">
        <f>IFERROR(__xludf.DUMMYFUNCTION("""COMPUTED_VALUE"""),0.0)</f>
        <v>0</v>
      </c>
    </row>
    <row r="7423">
      <c r="A7423" s="2">
        <f>IFERROR(__xludf.DUMMYFUNCTION("""COMPUTED_VALUE"""),42123.66666666667)</f>
        <v>42123.66667</v>
      </c>
      <c r="B7423" s="1">
        <f>IFERROR(__xludf.DUMMYFUNCTION("""COMPUTED_VALUE"""),2112.49)</f>
        <v>2112.49</v>
      </c>
      <c r="C7423" s="1">
        <f>IFERROR(__xludf.DUMMYFUNCTION("""COMPUTED_VALUE"""),2113.65)</f>
        <v>2113.65</v>
      </c>
      <c r="D7423" s="1">
        <f>IFERROR(__xludf.DUMMYFUNCTION("""COMPUTED_VALUE"""),2097.41)</f>
        <v>2097.41</v>
      </c>
      <c r="E7423" s="1">
        <f>IFERROR(__xludf.DUMMYFUNCTION("""COMPUTED_VALUE"""),2106.85)</f>
        <v>2106.85</v>
      </c>
      <c r="F7423" s="1">
        <f>IFERROR(__xludf.DUMMYFUNCTION("""COMPUTED_VALUE"""),0.0)</f>
        <v>0</v>
      </c>
    </row>
    <row r="7424">
      <c r="A7424" s="2">
        <f>IFERROR(__xludf.DUMMYFUNCTION("""COMPUTED_VALUE"""),42124.66666666667)</f>
        <v>42124.66667</v>
      </c>
      <c r="B7424" s="1">
        <f>IFERROR(__xludf.DUMMYFUNCTION("""COMPUTED_VALUE"""),2105.52)</f>
        <v>2105.52</v>
      </c>
      <c r="C7424" s="1">
        <f>IFERROR(__xludf.DUMMYFUNCTION("""COMPUTED_VALUE"""),2105.52)</f>
        <v>2105.52</v>
      </c>
      <c r="D7424" s="1">
        <f>IFERROR(__xludf.DUMMYFUNCTION("""COMPUTED_VALUE"""),2077.59)</f>
        <v>2077.59</v>
      </c>
      <c r="E7424" s="1">
        <f>IFERROR(__xludf.DUMMYFUNCTION("""COMPUTED_VALUE"""),2085.51)</f>
        <v>2085.51</v>
      </c>
      <c r="F7424" s="1">
        <f>IFERROR(__xludf.DUMMYFUNCTION("""COMPUTED_VALUE"""),0.0)</f>
        <v>0</v>
      </c>
    </row>
    <row r="7425">
      <c r="A7425" s="2">
        <f>IFERROR(__xludf.DUMMYFUNCTION("""COMPUTED_VALUE"""),42125.66666666667)</f>
        <v>42125.66667</v>
      </c>
      <c r="B7425" s="1">
        <f>IFERROR(__xludf.DUMMYFUNCTION("""COMPUTED_VALUE"""),2087.38)</f>
        <v>2087.38</v>
      </c>
      <c r="C7425" s="1">
        <f>IFERROR(__xludf.DUMMYFUNCTION("""COMPUTED_VALUE"""),2108.41)</f>
        <v>2108.41</v>
      </c>
      <c r="D7425" s="1">
        <f>IFERROR(__xludf.DUMMYFUNCTION("""COMPUTED_VALUE"""),2087.38)</f>
        <v>2087.38</v>
      </c>
      <c r="E7425" s="1">
        <f>IFERROR(__xludf.DUMMYFUNCTION("""COMPUTED_VALUE"""),2108.29)</f>
        <v>2108.29</v>
      </c>
      <c r="F7425" s="1">
        <f>IFERROR(__xludf.DUMMYFUNCTION("""COMPUTED_VALUE"""),0.0)</f>
        <v>0</v>
      </c>
    </row>
    <row r="7426">
      <c r="A7426" s="2">
        <f>IFERROR(__xludf.DUMMYFUNCTION("""COMPUTED_VALUE"""),42128.66666666667)</f>
        <v>42128.66667</v>
      </c>
      <c r="B7426" s="1">
        <f>IFERROR(__xludf.DUMMYFUNCTION("""COMPUTED_VALUE"""),2110.23)</f>
        <v>2110.23</v>
      </c>
      <c r="C7426" s="1">
        <f>IFERROR(__xludf.DUMMYFUNCTION("""COMPUTED_VALUE"""),2120.95)</f>
        <v>2120.95</v>
      </c>
      <c r="D7426" s="1">
        <f>IFERROR(__xludf.DUMMYFUNCTION("""COMPUTED_VALUE"""),2110.23)</f>
        <v>2110.23</v>
      </c>
      <c r="E7426" s="1">
        <f>IFERROR(__xludf.DUMMYFUNCTION("""COMPUTED_VALUE"""),2114.49)</f>
        <v>2114.49</v>
      </c>
      <c r="F7426" s="1">
        <f>IFERROR(__xludf.DUMMYFUNCTION("""COMPUTED_VALUE"""),0.0)</f>
        <v>0</v>
      </c>
    </row>
    <row r="7427">
      <c r="A7427" s="2">
        <f>IFERROR(__xludf.DUMMYFUNCTION("""COMPUTED_VALUE"""),42129.66666666667)</f>
        <v>42129.66667</v>
      </c>
      <c r="B7427" s="1">
        <f>IFERROR(__xludf.DUMMYFUNCTION("""COMPUTED_VALUE"""),2112.63)</f>
        <v>2112.63</v>
      </c>
      <c r="C7427" s="1">
        <f>IFERROR(__xludf.DUMMYFUNCTION("""COMPUTED_VALUE"""),2115.24)</f>
        <v>2115.24</v>
      </c>
      <c r="D7427" s="1">
        <f>IFERROR(__xludf.DUMMYFUNCTION("""COMPUTED_VALUE"""),2088.46)</f>
        <v>2088.46</v>
      </c>
      <c r="E7427" s="1">
        <f>IFERROR(__xludf.DUMMYFUNCTION("""COMPUTED_VALUE"""),2089.46)</f>
        <v>2089.46</v>
      </c>
      <c r="F7427" s="1">
        <f>IFERROR(__xludf.DUMMYFUNCTION("""COMPUTED_VALUE"""),0.0)</f>
        <v>0</v>
      </c>
    </row>
    <row r="7428">
      <c r="A7428" s="2">
        <f>IFERROR(__xludf.DUMMYFUNCTION("""COMPUTED_VALUE"""),42130.66666666667)</f>
        <v>42130.66667</v>
      </c>
      <c r="B7428" s="1">
        <f>IFERROR(__xludf.DUMMYFUNCTION("""COMPUTED_VALUE"""),2091.26)</f>
        <v>2091.26</v>
      </c>
      <c r="C7428" s="1">
        <f>IFERROR(__xludf.DUMMYFUNCTION("""COMPUTED_VALUE"""),2098.42)</f>
        <v>2098.42</v>
      </c>
      <c r="D7428" s="1">
        <f>IFERROR(__xludf.DUMMYFUNCTION("""COMPUTED_VALUE"""),2067.93)</f>
        <v>2067.93</v>
      </c>
      <c r="E7428" s="1">
        <f>IFERROR(__xludf.DUMMYFUNCTION("""COMPUTED_VALUE"""),2080.15)</f>
        <v>2080.15</v>
      </c>
      <c r="F7428" s="1">
        <f>IFERROR(__xludf.DUMMYFUNCTION("""COMPUTED_VALUE"""),0.0)</f>
        <v>0</v>
      </c>
    </row>
    <row r="7429">
      <c r="A7429" s="2">
        <f>IFERROR(__xludf.DUMMYFUNCTION("""COMPUTED_VALUE"""),42131.66666666667)</f>
        <v>42131.66667</v>
      </c>
      <c r="B7429" s="1">
        <f>IFERROR(__xludf.DUMMYFUNCTION("""COMPUTED_VALUE"""),2079.96)</f>
        <v>2079.96</v>
      </c>
      <c r="C7429" s="1">
        <f>IFERROR(__xludf.DUMMYFUNCTION("""COMPUTED_VALUE"""),2092.9)</f>
        <v>2092.9</v>
      </c>
      <c r="D7429" s="1">
        <f>IFERROR(__xludf.DUMMYFUNCTION("""COMPUTED_VALUE"""),2074.99)</f>
        <v>2074.99</v>
      </c>
      <c r="E7429" s="1">
        <f>IFERROR(__xludf.DUMMYFUNCTION("""COMPUTED_VALUE"""),2088.0)</f>
        <v>2088</v>
      </c>
      <c r="F7429" s="1">
        <f>IFERROR(__xludf.DUMMYFUNCTION("""COMPUTED_VALUE"""),0.0)</f>
        <v>0</v>
      </c>
    </row>
    <row r="7430">
      <c r="A7430" s="2">
        <f>IFERROR(__xludf.DUMMYFUNCTION("""COMPUTED_VALUE"""),42132.66666666667)</f>
        <v>42132.66667</v>
      </c>
      <c r="B7430" s="1">
        <f>IFERROR(__xludf.DUMMYFUNCTION("""COMPUTED_VALUE"""),2092.13)</f>
        <v>2092.13</v>
      </c>
      <c r="C7430" s="1">
        <f>IFERROR(__xludf.DUMMYFUNCTION("""COMPUTED_VALUE"""),2117.66)</f>
        <v>2117.66</v>
      </c>
      <c r="D7430" s="1">
        <f>IFERROR(__xludf.DUMMYFUNCTION("""COMPUTED_VALUE"""),2092.13)</f>
        <v>2092.13</v>
      </c>
      <c r="E7430" s="1">
        <f>IFERROR(__xludf.DUMMYFUNCTION("""COMPUTED_VALUE"""),2116.1)</f>
        <v>2116.1</v>
      </c>
      <c r="F7430" s="1">
        <f>IFERROR(__xludf.DUMMYFUNCTION("""COMPUTED_VALUE"""),0.0)</f>
        <v>0</v>
      </c>
    </row>
    <row r="7431">
      <c r="A7431" s="2">
        <f>IFERROR(__xludf.DUMMYFUNCTION("""COMPUTED_VALUE"""),42135.66666666667)</f>
        <v>42135.66667</v>
      </c>
      <c r="B7431" s="1">
        <f>IFERROR(__xludf.DUMMYFUNCTION("""COMPUTED_VALUE"""),2115.56)</f>
        <v>2115.56</v>
      </c>
      <c r="C7431" s="1">
        <f>IFERROR(__xludf.DUMMYFUNCTION("""COMPUTED_VALUE"""),2117.69)</f>
        <v>2117.69</v>
      </c>
      <c r="D7431" s="1">
        <f>IFERROR(__xludf.DUMMYFUNCTION("""COMPUTED_VALUE"""),2104.58)</f>
        <v>2104.58</v>
      </c>
      <c r="E7431" s="1">
        <f>IFERROR(__xludf.DUMMYFUNCTION("""COMPUTED_VALUE"""),2105.33)</f>
        <v>2105.33</v>
      </c>
      <c r="F7431" s="1">
        <f>IFERROR(__xludf.DUMMYFUNCTION("""COMPUTED_VALUE"""),0.0)</f>
        <v>0</v>
      </c>
    </row>
    <row r="7432">
      <c r="A7432" s="2">
        <f>IFERROR(__xludf.DUMMYFUNCTION("""COMPUTED_VALUE"""),42136.66666666667)</f>
        <v>42136.66667</v>
      </c>
      <c r="B7432" s="1">
        <f>IFERROR(__xludf.DUMMYFUNCTION("""COMPUTED_VALUE"""),2102.87)</f>
        <v>2102.87</v>
      </c>
      <c r="C7432" s="1">
        <f>IFERROR(__xludf.DUMMYFUNCTION("""COMPUTED_VALUE"""),2105.06)</f>
        <v>2105.06</v>
      </c>
      <c r="D7432" s="1">
        <f>IFERROR(__xludf.DUMMYFUNCTION("""COMPUTED_VALUE"""),2085.57)</f>
        <v>2085.57</v>
      </c>
      <c r="E7432" s="1">
        <f>IFERROR(__xludf.DUMMYFUNCTION("""COMPUTED_VALUE"""),2099.12)</f>
        <v>2099.12</v>
      </c>
      <c r="F7432" s="1">
        <f>IFERROR(__xludf.DUMMYFUNCTION("""COMPUTED_VALUE"""),0.0)</f>
        <v>0</v>
      </c>
    </row>
    <row r="7433">
      <c r="A7433" s="2">
        <f>IFERROR(__xludf.DUMMYFUNCTION("""COMPUTED_VALUE"""),42137.66666666667)</f>
        <v>42137.66667</v>
      </c>
      <c r="B7433" s="1">
        <f>IFERROR(__xludf.DUMMYFUNCTION("""COMPUTED_VALUE"""),2099.62)</f>
        <v>2099.62</v>
      </c>
      <c r="C7433" s="1">
        <f>IFERROR(__xludf.DUMMYFUNCTION("""COMPUTED_VALUE"""),2110.19)</f>
        <v>2110.19</v>
      </c>
      <c r="D7433" s="1">
        <f>IFERROR(__xludf.DUMMYFUNCTION("""COMPUTED_VALUE"""),2096.04)</f>
        <v>2096.04</v>
      </c>
      <c r="E7433" s="1">
        <f>IFERROR(__xludf.DUMMYFUNCTION("""COMPUTED_VALUE"""),2098.48)</f>
        <v>2098.48</v>
      </c>
      <c r="F7433" s="1">
        <f>IFERROR(__xludf.DUMMYFUNCTION("""COMPUTED_VALUE"""),0.0)</f>
        <v>0</v>
      </c>
    </row>
    <row r="7434">
      <c r="A7434" s="2">
        <f>IFERROR(__xludf.DUMMYFUNCTION("""COMPUTED_VALUE"""),42138.66666666667)</f>
        <v>42138.66667</v>
      </c>
      <c r="B7434" s="1">
        <f>IFERROR(__xludf.DUMMYFUNCTION("""COMPUTED_VALUE"""),2100.43)</f>
        <v>2100.43</v>
      </c>
      <c r="C7434" s="1">
        <f>IFERROR(__xludf.DUMMYFUNCTION("""COMPUTED_VALUE"""),2121.45)</f>
        <v>2121.45</v>
      </c>
      <c r="D7434" s="1">
        <f>IFERROR(__xludf.DUMMYFUNCTION("""COMPUTED_VALUE"""),2100.43)</f>
        <v>2100.43</v>
      </c>
      <c r="E7434" s="1">
        <f>IFERROR(__xludf.DUMMYFUNCTION("""COMPUTED_VALUE"""),2121.1)</f>
        <v>2121.1</v>
      </c>
      <c r="F7434" s="1">
        <f>IFERROR(__xludf.DUMMYFUNCTION("""COMPUTED_VALUE"""),0.0)</f>
        <v>0</v>
      </c>
    </row>
    <row r="7435">
      <c r="A7435" s="2">
        <f>IFERROR(__xludf.DUMMYFUNCTION("""COMPUTED_VALUE"""),42139.66666666667)</f>
        <v>42139.66667</v>
      </c>
      <c r="B7435" s="1">
        <f>IFERROR(__xludf.DUMMYFUNCTION("""COMPUTED_VALUE"""),2122.07)</f>
        <v>2122.07</v>
      </c>
      <c r="C7435" s="1">
        <f>IFERROR(__xludf.DUMMYFUNCTION("""COMPUTED_VALUE"""),2123.89)</f>
        <v>2123.89</v>
      </c>
      <c r="D7435" s="1">
        <f>IFERROR(__xludf.DUMMYFUNCTION("""COMPUTED_VALUE"""),2116.79)</f>
        <v>2116.79</v>
      </c>
      <c r="E7435" s="1">
        <f>IFERROR(__xludf.DUMMYFUNCTION("""COMPUTED_VALUE"""),2122.73)</f>
        <v>2122.73</v>
      </c>
      <c r="F7435" s="1">
        <f>IFERROR(__xludf.DUMMYFUNCTION("""COMPUTED_VALUE"""),0.0)</f>
        <v>0</v>
      </c>
    </row>
    <row r="7436">
      <c r="A7436" s="2">
        <f>IFERROR(__xludf.DUMMYFUNCTION("""COMPUTED_VALUE"""),42142.66666666667)</f>
        <v>42142.66667</v>
      </c>
      <c r="B7436" s="1">
        <f>IFERROR(__xludf.DUMMYFUNCTION("""COMPUTED_VALUE"""),2121.3)</f>
        <v>2121.3</v>
      </c>
      <c r="C7436" s="1">
        <f>IFERROR(__xludf.DUMMYFUNCTION("""COMPUTED_VALUE"""),2131.78)</f>
        <v>2131.78</v>
      </c>
      <c r="D7436" s="1">
        <f>IFERROR(__xludf.DUMMYFUNCTION("""COMPUTED_VALUE"""),2120.01)</f>
        <v>2120.01</v>
      </c>
      <c r="E7436" s="1">
        <f>IFERROR(__xludf.DUMMYFUNCTION("""COMPUTED_VALUE"""),2129.2)</f>
        <v>2129.2</v>
      </c>
      <c r="F7436" s="1">
        <f>IFERROR(__xludf.DUMMYFUNCTION("""COMPUTED_VALUE"""),0.0)</f>
        <v>0</v>
      </c>
    </row>
    <row r="7437">
      <c r="A7437" s="2">
        <f>IFERROR(__xludf.DUMMYFUNCTION("""COMPUTED_VALUE"""),42143.66666666667)</f>
        <v>42143.66667</v>
      </c>
      <c r="B7437" s="1">
        <f>IFERROR(__xludf.DUMMYFUNCTION("""COMPUTED_VALUE"""),2129.45)</f>
        <v>2129.45</v>
      </c>
      <c r="C7437" s="1">
        <f>IFERROR(__xludf.DUMMYFUNCTION("""COMPUTED_VALUE"""),2133.02)</f>
        <v>2133.02</v>
      </c>
      <c r="D7437" s="1">
        <f>IFERROR(__xludf.DUMMYFUNCTION("""COMPUTED_VALUE"""),2124.5)</f>
        <v>2124.5</v>
      </c>
      <c r="E7437" s="1">
        <f>IFERROR(__xludf.DUMMYFUNCTION("""COMPUTED_VALUE"""),2127.83)</f>
        <v>2127.83</v>
      </c>
      <c r="F7437" s="1">
        <f>IFERROR(__xludf.DUMMYFUNCTION("""COMPUTED_VALUE"""),0.0)</f>
        <v>0</v>
      </c>
    </row>
    <row r="7438">
      <c r="A7438" s="2">
        <f>IFERROR(__xludf.DUMMYFUNCTION("""COMPUTED_VALUE"""),42144.66666666667)</f>
        <v>42144.66667</v>
      </c>
      <c r="B7438" s="1">
        <f>IFERROR(__xludf.DUMMYFUNCTION("""COMPUTED_VALUE"""),2127.79)</f>
        <v>2127.79</v>
      </c>
      <c r="C7438" s="1">
        <f>IFERROR(__xludf.DUMMYFUNCTION("""COMPUTED_VALUE"""),2134.72)</f>
        <v>2134.72</v>
      </c>
      <c r="D7438" s="1">
        <f>IFERROR(__xludf.DUMMYFUNCTION("""COMPUTED_VALUE"""),2122.59)</f>
        <v>2122.59</v>
      </c>
      <c r="E7438" s="1">
        <f>IFERROR(__xludf.DUMMYFUNCTION("""COMPUTED_VALUE"""),2125.85)</f>
        <v>2125.85</v>
      </c>
      <c r="F7438" s="1">
        <f>IFERROR(__xludf.DUMMYFUNCTION("""COMPUTED_VALUE"""),0.0)</f>
        <v>0</v>
      </c>
    </row>
    <row r="7439">
      <c r="A7439" s="2">
        <f>IFERROR(__xludf.DUMMYFUNCTION("""COMPUTED_VALUE"""),42145.66666666667)</f>
        <v>42145.66667</v>
      </c>
      <c r="B7439" s="1">
        <f>IFERROR(__xludf.DUMMYFUNCTION("""COMPUTED_VALUE"""),2125.55)</f>
        <v>2125.55</v>
      </c>
      <c r="C7439" s="1">
        <f>IFERROR(__xludf.DUMMYFUNCTION("""COMPUTED_VALUE"""),2134.28)</f>
        <v>2134.28</v>
      </c>
      <c r="D7439" s="1">
        <f>IFERROR(__xludf.DUMMYFUNCTION("""COMPUTED_VALUE"""),2122.95)</f>
        <v>2122.95</v>
      </c>
      <c r="E7439" s="1">
        <f>IFERROR(__xludf.DUMMYFUNCTION("""COMPUTED_VALUE"""),2130.82)</f>
        <v>2130.82</v>
      </c>
      <c r="F7439" s="1">
        <f>IFERROR(__xludf.DUMMYFUNCTION("""COMPUTED_VALUE"""),0.0)</f>
        <v>0</v>
      </c>
    </row>
    <row r="7440">
      <c r="A7440" s="2">
        <f>IFERROR(__xludf.DUMMYFUNCTION("""COMPUTED_VALUE"""),42146.66666666667)</f>
        <v>42146.66667</v>
      </c>
      <c r="B7440" s="1">
        <f>IFERROR(__xludf.DUMMYFUNCTION("""COMPUTED_VALUE"""),2130.36)</f>
        <v>2130.36</v>
      </c>
      <c r="C7440" s="1">
        <f>IFERROR(__xludf.DUMMYFUNCTION("""COMPUTED_VALUE"""),2132.15)</f>
        <v>2132.15</v>
      </c>
      <c r="D7440" s="1">
        <f>IFERROR(__xludf.DUMMYFUNCTION("""COMPUTED_VALUE"""),2126.06)</f>
        <v>2126.06</v>
      </c>
      <c r="E7440" s="1">
        <f>IFERROR(__xludf.DUMMYFUNCTION("""COMPUTED_VALUE"""),2126.06)</f>
        <v>2126.06</v>
      </c>
      <c r="F7440" s="1">
        <f>IFERROR(__xludf.DUMMYFUNCTION("""COMPUTED_VALUE"""),0.0)</f>
        <v>0</v>
      </c>
    </row>
    <row r="7441">
      <c r="A7441" s="2">
        <f>IFERROR(__xludf.DUMMYFUNCTION("""COMPUTED_VALUE"""),42150.66666666667)</f>
        <v>42150.66667</v>
      </c>
      <c r="B7441" s="1">
        <f>IFERROR(__xludf.DUMMYFUNCTION("""COMPUTED_VALUE"""),2125.34)</f>
        <v>2125.34</v>
      </c>
      <c r="C7441" s="1">
        <f>IFERROR(__xludf.DUMMYFUNCTION("""COMPUTED_VALUE"""),2125.34)</f>
        <v>2125.34</v>
      </c>
      <c r="D7441" s="1">
        <f>IFERROR(__xludf.DUMMYFUNCTION("""COMPUTED_VALUE"""),2099.18)</f>
        <v>2099.18</v>
      </c>
      <c r="E7441" s="1">
        <f>IFERROR(__xludf.DUMMYFUNCTION("""COMPUTED_VALUE"""),2104.2)</f>
        <v>2104.2</v>
      </c>
      <c r="F7441" s="1">
        <f>IFERROR(__xludf.DUMMYFUNCTION("""COMPUTED_VALUE"""),0.0)</f>
        <v>0</v>
      </c>
    </row>
    <row r="7442">
      <c r="A7442" s="2">
        <f>IFERROR(__xludf.DUMMYFUNCTION("""COMPUTED_VALUE"""),42151.66666666667)</f>
        <v>42151.66667</v>
      </c>
      <c r="B7442" s="1">
        <f>IFERROR(__xludf.DUMMYFUNCTION("""COMPUTED_VALUE"""),2105.13)</f>
        <v>2105.13</v>
      </c>
      <c r="C7442" s="1">
        <f>IFERROR(__xludf.DUMMYFUNCTION("""COMPUTED_VALUE"""),2126.22)</f>
        <v>2126.22</v>
      </c>
      <c r="D7442" s="1">
        <f>IFERROR(__xludf.DUMMYFUNCTION("""COMPUTED_VALUE"""),2105.13)</f>
        <v>2105.13</v>
      </c>
      <c r="E7442" s="1">
        <f>IFERROR(__xludf.DUMMYFUNCTION("""COMPUTED_VALUE"""),2123.48)</f>
        <v>2123.48</v>
      </c>
      <c r="F7442" s="1">
        <f>IFERROR(__xludf.DUMMYFUNCTION("""COMPUTED_VALUE"""),0.0)</f>
        <v>0</v>
      </c>
    </row>
    <row r="7443">
      <c r="A7443" s="2">
        <f>IFERROR(__xludf.DUMMYFUNCTION("""COMPUTED_VALUE"""),42152.66666666667)</f>
        <v>42152.66667</v>
      </c>
      <c r="B7443" s="1">
        <f>IFERROR(__xludf.DUMMYFUNCTION("""COMPUTED_VALUE"""),2122.27)</f>
        <v>2122.27</v>
      </c>
      <c r="C7443" s="1">
        <f>IFERROR(__xludf.DUMMYFUNCTION("""COMPUTED_VALUE"""),2122.27)</f>
        <v>2122.27</v>
      </c>
      <c r="D7443" s="1">
        <f>IFERROR(__xludf.DUMMYFUNCTION("""COMPUTED_VALUE"""),2112.86)</f>
        <v>2112.86</v>
      </c>
      <c r="E7443" s="1">
        <f>IFERROR(__xludf.DUMMYFUNCTION("""COMPUTED_VALUE"""),2120.79)</f>
        <v>2120.79</v>
      </c>
      <c r="F7443" s="1">
        <f>IFERROR(__xludf.DUMMYFUNCTION("""COMPUTED_VALUE"""),0.0)</f>
        <v>0</v>
      </c>
    </row>
    <row r="7444">
      <c r="A7444" s="2">
        <f>IFERROR(__xludf.DUMMYFUNCTION("""COMPUTED_VALUE"""),42153.66666666667)</f>
        <v>42153.66667</v>
      </c>
      <c r="B7444" s="1">
        <f>IFERROR(__xludf.DUMMYFUNCTION("""COMPUTED_VALUE"""),2120.66)</f>
        <v>2120.66</v>
      </c>
      <c r="C7444" s="1">
        <f>IFERROR(__xludf.DUMMYFUNCTION("""COMPUTED_VALUE"""),2120.66)</f>
        <v>2120.66</v>
      </c>
      <c r="D7444" s="1">
        <f>IFERROR(__xludf.DUMMYFUNCTION("""COMPUTED_VALUE"""),2104.89)</f>
        <v>2104.89</v>
      </c>
      <c r="E7444" s="1">
        <f>IFERROR(__xludf.DUMMYFUNCTION("""COMPUTED_VALUE"""),2107.39)</f>
        <v>2107.39</v>
      </c>
      <c r="F7444" s="1">
        <f>IFERROR(__xludf.DUMMYFUNCTION("""COMPUTED_VALUE"""),0.0)</f>
        <v>0</v>
      </c>
    </row>
    <row r="7445">
      <c r="A7445" s="2">
        <f>IFERROR(__xludf.DUMMYFUNCTION("""COMPUTED_VALUE"""),42156.66666666667)</f>
        <v>42156.66667</v>
      </c>
      <c r="B7445" s="1">
        <f>IFERROR(__xludf.DUMMYFUNCTION("""COMPUTED_VALUE"""),2108.64)</f>
        <v>2108.64</v>
      </c>
      <c r="C7445" s="1">
        <f>IFERROR(__xludf.DUMMYFUNCTION("""COMPUTED_VALUE"""),2119.15)</f>
        <v>2119.15</v>
      </c>
      <c r="D7445" s="1">
        <f>IFERROR(__xludf.DUMMYFUNCTION("""COMPUTED_VALUE"""),2102.54)</f>
        <v>2102.54</v>
      </c>
      <c r="E7445" s="1">
        <f>IFERROR(__xludf.DUMMYFUNCTION("""COMPUTED_VALUE"""),2111.73)</f>
        <v>2111.73</v>
      </c>
      <c r="F7445" s="1">
        <f>IFERROR(__xludf.DUMMYFUNCTION("""COMPUTED_VALUE"""),0.0)</f>
        <v>0</v>
      </c>
    </row>
    <row r="7446">
      <c r="A7446" s="2">
        <f>IFERROR(__xludf.DUMMYFUNCTION("""COMPUTED_VALUE"""),42157.66666666667)</f>
        <v>42157.66667</v>
      </c>
      <c r="B7446" s="1">
        <f>IFERROR(__xludf.DUMMYFUNCTION("""COMPUTED_VALUE"""),2110.41)</f>
        <v>2110.41</v>
      </c>
      <c r="C7446" s="1">
        <f>IFERROR(__xludf.DUMMYFUNCTION("""COMPUTED_VALUE"""),2117.59)</f>
        <v>2117.59</v>
      </c>
      <c r="D7446" s="1">
        <f>IFERROR(__xludf.DUMMYFUNCTION("""COMPUTED_VALUE"""),2099.14)</f>
        <v>2099.14</v>
      </c>
      <c r="E7446" s="1">
        <f>IFERROR(__xludf.DUMMYFUNCTION("""COMPUTED_VALUE"""),2109.6)</f>
        <v>2109.6</v>
      </c>
      <c r="F7446" s="1">
        <f>IFERROR(__xludf.DUMMYFUNCTION("""COMPUTED_VALUE"""),0.0)</f>
        <v>0</v>
      </c>
    </row>
    <row r="7447">
      <c r="A7447" s="2">
        <f>IFERROR(__xludf.DUMMYFUNCTION("""COMPUTED_VALUE"""),42158.66666666667)</f>
        <v>42158.66667</v>
      </c>
      <c r="B7447" s="1">
        <f>IFERROR(__xludf.DUMMYFUNCTION("""COMPUTED_VALUE"""),2110.64)</f>
        <v>2110.64</v>
      </c>
      <c r="C7447" s="1">
        <f>IFERROR(__xludf.DUMMYFUNCTION("""COMPUTED_VALUE"""),2121.92)</f>
        <v>2121.92</v>
      </c>
      <c r="D7447" s="1">
        <f>IFERROR(__xludf.DUMMYFUNCTION("""COMPUTED_VALUE"""),2109.61)</f>
        <v>2109.61</v>
      </c>
      <c r="E7447" s="1">
        <f>IFERROR(__xludf.DUMMYFUNCTION("""COMPUTED_VALUE"""),2114.07)</f>
        <v>2114.07</v>
      </c>
      <c r="F7447" s="1">
        <f>IFERROR(__xludf.DUMMYFUNCTION("""COMPUTED_VALUE"""),0.0)</f>
        <v>0</v>
      </c>
    </row>
    <row r="7448">
      <c r="A7448" s="2">
        <f>IFERROR(__xludf.DUMMYFUNCTION("""COMPUTED_VALUE"""),42159.66666666667)</f>
        <v>42159.66667</v>
      </c>
      <c r="B7448" s="1">
        <f>IFERROR(__xludf.DUMMYFUNCTION("""COMPUTED_VALUE"""),2112.35)</f>
        <v>2112.35</v>
      </c>
      <c r="C7448" s="1">
        <f>IFERROR(__xludf.DUMMYFUNCTION("""COMPUTED_VALUE"""),2112.89)</f>
        <v>2112.89</v>
      </c>
      <c r="D7448" s="1">
        <f>IFERROR(__xludf.DUMMYFUNCTION("""COMPUTED_VALUE"""),2093.23)</f>
        <v>2093.23</v>
      </c>
      <c r="E7448" s="1">
        <f>IFERROR(__xludf.DUMMYFUNCTION("""COMPUTED_VALUE"""),2095.84)</f>
        <v>2095.84</v>
      </c>
      <c r="F7448" s="1">
        <f>IFERROR(__xludf.DUMMYFUNCTION("""COMPUTED_VALUE"""),0.0)</f>
        <v>0</v>
      </c>
    </row>
    <row r="7449">
      <c r="A7449" s="2">
        <f>IFERROR(__xludf.DUMMYFUNCTION("""COMPUTED_VALUE"""),42160.66666666667)</f>
        <v>42160.66667</v>
      </c>
      <c r="B7449" s="1">
        <f>IFERROR(__xludf.DUMMYFUNCTION("""COMPUTED_VALUE"""),2095.09)</f>
        <v>2095.09</v>
      </c>
      <c r="C7449" s="1">
        <f>IFERROR(__xludf.DUMMYFUNCTION("""COMPUTED_VALUE"""),2100.99)</f>
        <v>2100.99</v>
      </c>
      <c r="D7449" s="1">
        <f>IFERROR(__xludf.DUMMYFUNCTION("""COMPUTED_VALUE"""),2085.67)</f>
        <v>2085.67</v>
      </c>
      <c r="E7449" s="1">
        <f>IFERROR(__xludf.DUMMYFUNCTION("""COMPUTED_VALUE"""),2092.83)</f>
        <v>2092.83</v>
      </c>
      <c r="F7449" s="1">
        <f>IFERROR(__xludf.DUMMYFUNCTION("""COMPUTED_VALUE"""),0.0)</f>
        <v>0</v>
      </c>
    </row>
    <row r="7450">
      <c r="A7450" s="2">
        <f>IFERROR(__xludf.DUMMYFUNCTION("""COMPUTED_VALUE"""),42163.66666666667)</f>
        <v>42163.66667</v>
      </c>
      <c r="B7450" s="1">
        <f>IFERROR(__xludf.DUMMYFUNCTION("""COMPUTED_VALUE"""),2092.34)</f>
        <v>2092.34</v>
      </c>
      <c r="C7450" s="1">
        <f>IFERROR(__xludf.DUMMYFUNCTION("""COMPUTED_VALUE"""),2093.01)</f>
        <v>2093.01</v>
      </c>
      <c r="D7450" s="1">
        <f>IFERROR(__xludf.DUMMYFUNCTION("""COMPUTED_VALUE"""),2079.11)</f>
        <v>2079.11</v>
      </c>
      <c r="E7450" s="1">
        <f>IFERROR(__xludf.DUMMYFUNCTION("""COMPUTED_VALUE"""),2079.28)</f>
        <v>2079.28</v>
      </c>
      <c r="F7450" s="1">
        <f>IFERROR(__xludf.DUMMYFUNCTION("""COMPUTED_VALUE"""),0.0)</f>
        <v>0</v>
      </c>
    </row>
    <row r="7451">
      <c r="A7451" s="2">
        <f>IFERROR(__xludf.DUMMYFUNCTION("""COMPUTED_VALUE"""),42164.66666666667)</f>
        <v>42164.66667</v>
      </c>
      <c r="B7451" s="1">
        <f>IFERROR(__xludf.DUMMYFUNCTION("""COMPUTED_VALUE"""),2079.07)</f>
        <v>2079.07</v>
      </c>
      <c r="C7451" s="1">
        <f>IFERROR(__xludf.DUMMYFUNCTION("""COMPUTED_VALUE"""),2085.62)</f>
        <v>2085.62</v>
      </c>
      <c r="D7451" s="1">
        <f>IFERROR(__xludf.DUMMYFUNCTION("""COMPUTED_VALUE"""),2072.14)</f>
        <v>2072.14</v>
      </c>
      <c r="E7451" s="1">
        <f>IFERROR(__xludf.DUMMYFUNCTION("""COMPUTED_VALUE"""),2080.15)</f>
        <v>2080.15</v>
      </c>
      <c r="F7451" s="1">
        <f>IFERROR(__xludf.DUMMYFUNCTION("""COMPUTED_VALUE"""),0.0)</f>
        <v>0</v>
      </c>
    </row>
    <row r="7452">
      <c r="A7452" s="2">
        <f>IFERROR(__xludf.DUMMYFUNCTION("""COMPUTED_VALUE"""),42165.66666666667)</f>
        <v>42165.66667</v>
      </c>
      <c r="B7452" s="1">
        <f>IFERROR(__xludf.DUMMYFUNCTION("""COMPUTED_VALUE"""),2081.12)</f>
        <v>2081.12</v>
      </c>
      <c r="C7452" s="1">
        <f>IFERROR(__xludf.DUMMYFUNCTION("""COMPUTED_VALUE"""),2108.5)</f>
        <v>2108.5</v>
      </c>
      <c r="D7452" s="1">
        <f>IFERROR(__xludf.DUMMYFUNCTION("""COMPUTED_VALUE"""),2081.12)</f>
        <v>2081.12</v>
      </c>
      <c r="E7452" s="1">
        <f>IFERROR(__xludf.DUMMYFUNCTION("""COMPUTED_VALUE"""),2105.2)</f>
        <v>2105.2</v>
      </c>
      <c r="F7452" s="1">
        <f>IFERROR(__xludf.DUMMYFUNCTION("""COMPUTED_VALUE"""),0.0)</f>
        <v>0</v>
      </c>
    </row>
    <row r="7453">
      <c r="A7453" s="2">
        <f>IFERROR(__xludf.DUMMYFUNCTION("""COMPUTED_VALUE"""),42166.66666666667)</f>
        <v>42166.66667</v>
      </c>
      <c r="B7453" s="1">
        <f>IFERROR(__xludf.DUMMYFUNCTION("""COMPUTED_VALUE"""),2106.24)</f>
        <v>2106.24</v>
      </c>
      <c r="C7453" s="1">
        <f>IFERROR(__xludf.DUMMYFUNCTION("""COMPUTED_VALUE"""),2115.02)</f>
        <v>2115.02</v>
      </c>
      <c r="D7453" s="1">
        <f>IFERROR(__xludf.DUMMYFUNCTION("""COMPUTED_VALUE"""),2106.24)</f>
        <v>2106.24</v>
      </c>
      <c r="E7453" s="1">
        <f>IFERROR(__xludf.DUMMYFUNCTION("""COMPUTED_VALUE"""),2108.86)</f>
        <v>2108.86</v>
      </c>
      <c r="F7453" s="1">
        <f>IFERROR(__xludf.DUMMYFUNCTION("""COMPUTED_VALUE"""),0.0)</f>
        <v>0</v>
      </c>
    </row>
    <row r="7454">
      <c r="A7454" s="2">
        <f>IFERROR(__xludf.DUMMYFUNCTION("""COMPUTED_VALUE"""),42167.66666666667)</f>
        <v>42167.66667</v>
      </c>
      <c r="B7454" s="1">
        <f>IFERROR(__xludf.DUMMYFUNCTION("""COMPUTED_VALUE"""),2107.43)</f>
        <v>2107.43</v>
      </c>
      <c r="C7454" s="1">
        <f>IFERROR(__xludf.DUMMYFUNCTION("""COMPUTED_VALUE"""),2107.43)</f>
        <v>2107.43</v>
      </c>
      <c r="D7454" s="1">
        <f>IFERROR(__xludf.DUMMYFUNCTION("""COMPUTED_VALUE"""),2091.33)</f>
        <v>2091.33</v>
      </c>
      <c r="E7454" s="1">
        <f>IFERROR(__xludf.DUMMYFUNCTION("""COMPUTED_VALUE"""),2094.11)</f>
        <v>2094.11</v>
      </c>
      <c r="F7454" s="1">
        <f>IFERROR(__xludf.DUMMYFUNCTION("""COMPUTED_VALUE"""),0.0)</f>
        <v>0</v>
      </c>
    </row>
    <row r="7455">
      <c r="A7455" s="2">
        <f>IFERROR(__xludf.DUMMYFUNCTION("""COMPUTED_VALUE"""),42170.66666666667)</f>
        <v>42170.66667</v>
      </c>
      <c r="B7455" s="1">
        <f>IFERROR(__xludf.DUMMYFUNCTION("""COMPUTED_VALUE"""),2091.34)</f>
        <v>2091.34</v>
      </c>
      <c r="C7455" s="1">
        <f>IFERROR(__xludf.DUMMYFUNCTION("""COMPUTED_VALUE"""),2091.34)</f>
        <v>2091.34</v>
      </c>
      <c r="D7455" s="1">
        <f>IFERROR(__xludf.DUMMYFUNCTION("""COMPUTED_VALUE"""),2072.49)</f>
        <v>2072.49</v>
      </c>
      <c r="E7455" s="1">
        <f>IFERROR(__xludf.DUMMYFUNCTION("""COMPUTED_VALUE"""),2084.43)</f>
        <v>2084.43</v>
      </c>
      <c r="F7455" s="1">
        <f>IFERROR(__xludf.DUMMYFUNCTION("""COMPUTED_VALUE"""),0.0)</f>
        <v>0</v>
      </c>
    </row>
    <row r="7456">
      <c r="A7456" s="2">
        <f>IFERROR(__xludf.DUMMYFUNCTION("""COMPUTED_VALUE"""),42171.66666666667)</f>
        <v>42171.66667</v>
      </c>
      <c r="B7456" s="1">
        <f>IFERROR(__xludf.DUMMYFUNCTION("""COMPUTED_VALUE"""),2084.26)</f>
        <v>2084.26</v>
      </c>
      <c r="C7456" s="1">
        <f>IFERROR(__xludf.DUMMYFUNCTION("""COMPUTED_VALUE"""),2097.4)</f>
        <v>2097.4</v>
      </c>
      <c r="D7456" s="1">
        <f>IFERROR(__xludf.DUMMYFUNCTION("""COMPUTED_VALUE"""),2082.1)</f>
        <v>2082.1</v>
      </c>
      <c r="E7456" s="1">
        <f>IFERROR(__xludf.DUMMYFUNCTION("""COMPUTED_VALUE"""),2096.29)</f>
        <v>2096.29</v>
      </c>
      <c r="F7456" s="1">
        <f>IFERROR(__xludf.DUMMYFUNCTION("""COMPUTED_VALUE"""),0.0)</f>
        <v>0</v>
      </c>
    </row>
    <row r="7457">
      <c r="A7457" s="2">
        <f>IFERROR(__xludf.DUMMYFUNCTION("""COMPUTED_VALUE"""),42172.66666666667)</f>
        <v>42172.66667</v>
      </c>
      <c r="B7457" s="1">
        <f>IFERROR(__xludf.DUMMYFUNCTION("""COMPUTED_VALUE"""),2097.4)</f>
        <v>2097.4</v>
      </c>
      <c r="C7457" s="1">
        <f>IFERROR(__xludf.DUMMYFUNCTION("""COMPUTED_VALUE"""),2106.79)</f>
        <v>2106.79</v>
      </c>
      <c r="D7457" s="1">
        <f>IFERROR(__xludf.DUMMYFUNCTION("""COMPUTED_VALUE"""),2088.86)</f>
        <v>2088.86</v>
      </c>
      <c r="E7457" s="1">
        <f>IFERROR(__xludf.DUMMYFUNCTION("""COMPUTED_VALUE"""),2100.44)</f>
        <v>2100.44</v>
      </c>
      <c r="F7457" s="1">
        <f>IFERROR(__xludf.DUMMYFUNCTION("""COMPUTED_VALUE"""),0.0)</f>
        <v>0</v>
      </c>
    </row>
    <row r="7458">
      <c r="A7458" s="2">
        <f>IFERROR(__xludf.DUMMYFUNCTION("""COMPUTED_VALUE"""),42173.66666666667)</f>
        <v>42173.66667</v>
      </c>
      <c r="B7458" s="1">
        <f>IFERROR(__xludf.DUMMYFUNCTION("""COMPUTED_VALUE"""),2101.58)</f>
        <v>2101.58</v>
      </c>
      <c r="C7458" s="1">
        <f>IFERROR(__xludf.DUMMYFUNCTION("""COMPUTED_VALUE"""),2126.65)</f>
        <v>2126.65</v>
      </c>
      <c r="D7458" s="1">
        <f>IFERROR(__xludf.DUMMYFUNCTION("""COMPUTED_VALUE"""),2101.58)</f>
        <v>2101.58</v>
      </c>
      <c r="E7458" s="1">
        <f>IFERROR(__xludf.DUMMYFUNCTION("""COMPUTED_VALUE"""),2121.24)</f>
        <v>2121.24</v>
      </c>
      <c r="F7458" s="1">
        <f>IFERROR(__xludf.DUMMYFUNCTION("""COMPUTED_VALUE"""),0.0)</f>
        <v>0</v>
      </c>
    </row>
    <row r="7459">
      <c r="A7459" s="2">
        <f>IFERROR(__xludf.DUMMYFUNCTION("""COMPUTED_VALUE"""),42174.66666666667)</f>
        <v>42174.66667</v>
      </c>
      <c r="B7459" s="1">
        <f>IFERROR(__xludf.DUMMYFUNCTION("""COMPUTED_VALUE"""),2121.06)</f>
        <v>2121.06</v>
      </c>
      <c r="C7459" s="1">
        <f>IFERROR(__xludf.DUMMYFUNCTION("""COMPUTED_VALUE"""),2121.64)</f>
        <v>2121.64</v>
      </c>
      <c r="D7459" s="1">
        <f>IFERROR(__xludf.DUMMYFUNCTION("""COMPUTED_VALUE"""),2109.45)</f>
        <v>2109.45</v>
      </c>
      <c r="E7459" s="1">
        <f>IFERROR(__xludf.DUMMYFUNCTION("""COMPUTED_VALUE"""),2109.99)</f>
        <v>2109.99</v>
      </c>
      <c r="F7459" s="1">
        <f>IFERROR(__xludf.DUMMYFUNCTION("""COMPUTED_VALUE"""),0.0)</f>
        <v>0</v>
      </c>
    </row>
    <row r="7460">
      <c r="A7460" s="2">
        <f>IFERROR(__xludf.DUMMYFUNCTION("""COMPUTED_VALUE"""),42177.66666666667)</f>
        <v>42177.66667</v>
      </c>
      <c r="B7460" s="1">
        <f>IFERROR(__xludf.DUMMYFUNCTION("""COMPUTED_VALUE"""),2112.5)</f>
        <v>2112.5</v>
      </c>
      <c r="C7460" s="1">
        <f>IFERROR(__xludf.DUMMYFUNCTION("""COMPUTED_VALUE"""),2129.87)</f>
        <v>2129.87</v>
      </c>
      <c r="D7460" s="1">
        <f>IFERROR(__xludf.DUMMYFUNCTION("""COMPUTED_VALUE"""),2112.5)</f>
        <v>2112.5</v>
      </c>
      <c r="E7460" s="1">
        <f>IFERROR(__xludf.DUMMYFUNCTION("""COMPUTED_VALUE"""),2122.85)</f>
        <v>2122.85</v>
      </c>
      <c r="F7460" s="1">
        <f>IFERROR(__xludf.DUMMYFUNCTION("""COMPUTED_VALUE"""),0.0)</f>
        <v>0</v>
      </c>
    </row>
    <row r="7461">
      <c r="A7461" s="2">
        <f>IFERROR(__xludf.DUMMYFUNCTION("""COMPUTED_VALUE"""),42178.66666666667)</f>
        <v>42178.66667</v>
      </c>
      <c r="B7461" s="1">
        <f>IFERROR(__xludf.DUMMYFUNCTION("""COMPUTED_VALUE"""),2123.16)</f>
        <v>2123.16</v>
      </c>
      <c r="C7461" s="1">
        <f>IFERROR(__xludf.DUMMYFUNCTION("""COMPUTED_VALUE"""),2128.03)</f>
        <v>2128.03</v>
      </c>
      <c r="D7461" s="1">
        <f>IFERROR(__xludf.DUMMYFUNCTION("""COMPUTED_VALUE"""),2119.89)</f>
        <v>2119.89</v>
      </c>
      <c r="E7461" s="1">
        <f>IFERROR(__xludf.DUMMYFUNCTION("""COMPUTED_VALUE"""),2124.2)</f>
        <v>2124.2</v>
      </c>
      <c r="F7461" s="1">
        <f>IFERROR(__xludf.DUMMYFUNCTION("""COMPUTED_VALUE"""),0.0)</f>
        <v>0</v>
      </c>
    </row>
    <row r="7462">
      <c r="A7462" s="2">
        <f>IFERROR(__xludf.DUMMYFUNCTION("""COMPUTED_VALUE"""),42179.66666666667)</f>
        <v>42179.66667</v>
      </c>
      <c r="B7462" s="1">
        <f>IFERROR(__xludf.DUMMYFUNCTION("""COMPUTED_VALUE"""),2123.65)</f>
        <v>2123.65</v>
      </c>
      <c r="C7462" s="1">
        <f>IFERROR(__xludf.DUMMYFUNCTION("""COMPUTED_VALUE"""),2125.1)</f>
        <v>2125.1</v>
      </c>
      <c r="D7462" s="1">
        <f>IFERROR(__xludf.DUMMYFUNCTION("""COMPUTED_VALUE"""),2108.58)</f>
        <v>2108.58</v>
      </c>
      <c r="E7462" s="1">
        <f>IFERROR(__xludf.DUMMYFUNCTION("""COMPUTED_VALUE"""),2108.58)</f>
        <v>2108.58</v>
      </c>
      <c r="F7462" s="1">
        <f>IFERROR(__xludf.DUMMYFUNCTION("""COMPUTED_VALUE"""),0.0)</f>
        <v>0</v>
      </c>
    </row>
    <row r="7463">
      <c r="A7463" s="2">
        <f>IFERROR(__xludf.DUMMYFUNCTION("""COMPUTED_VALUE"""),42180.66666666667)</f>
        <v>42180.66667</v>
      </c>
      <c r="B7463" s="1">
        <f>IFERROR(__xludf.DUMMYFUNCTION("""COMPUTED_VALUE"""),2109.96)</f>
        <v>2109.96</v>
      </c>
      <c r="C7463" s="1">
        <f>IFERROR(__xludf.DUMMYFUNCTION("""COMPUTED_VALUE"""),2116.04)</f>
        <v>2116.04</v>
      </c>
      <c r="D7463" s="1">
        <f>IFERROR(__xludf.DUMMYFUNCTION("""COMPUTED_VALUE"""),2101.78)</f>
        <v>2101.78</v>
      </c>
      <c r="E7463" s="1">
        <f>IFERROR(__xludf.DUMMYFUNCTION("""COMPUTED_VALUE"""),2102.31)</f>
        <v>2102.31</v>
      </c>
      <c r="F7463" s="1">
        <f>IFERROR(__xludf.DUMMYFUNCTION("""COMPUTED_VALUE"""),0.0)</f>
        <v>0</v>
      </c>
    </row>
    <row r="7464">
      <c r="A7464" s="2">
        <f>IFERROR(__xludf.DUMMYFUNCTION("""COMPUTED_VALUE"""),42181.66666666667)</f>
        <v>42181.66667</v>
      </c>
      <c r="B7464" s="1">
        <f>IFERROR(__xludf.DUMMYFUNCTION("""COMPUTED_VALUE"""),2102.62)</f>
        <v>2102.62</v>
      </c>
      <c r="C7464" s="1">
        <f>IFERROR(__xludf.DUMMYFUNCTION("""COMPUTED_VALUE"""),2108.92)</f>
        <v>2108.92</v>
      </c>
      <c r="D7464" s="1">
        <f>IFERROR(__xludf.DUMMYFUNCTION("""COMPUTED_VALUE"""),2095.38)</f>
        <v>2095.38</v>
      </c>
      <c r="E7464" s="1">
        <f>IFERROR(__xludf.DUMMYFUNCTION("""COMPUTED_VALUE"""),2101.49)</f>
        <v>2101.49</v>
      </c>
      <c r="F7464" s="1">
        <f>IFERROR(__xludf.DUMMYFUNCTION("""COMPUTED_VALUE"""),0.0)</f>
        <v>0</v>
      </c>
    </row>
    <row r="7465">
      <c r="A7465" s="2">
        <f>IFERROR(__xludf.DUMMYFUNCTION("""COMPUTED_VALUE"""),42184.66666666667)</f>
        <v>42184.66667</v>
      </c>
      <c r="B7465" s="1">
        <f>IFERROR(__xludf.DUMMYFUNCTION("""COMPUTED_VALUE"""),2098.63)</f>
        <v>2098.63</v>
      </c>
      <c r="C7465" s="1">
        <f>IFERROR(__xludf.DUMMYFUNCTION("""COMPUTED_VALUE"""),2098.63)</f>
        <v>2098.63</v>
      </c>
      <c r="D7465" s="1">
        <f>IFERROR(__xludf.DUMMYFUNCTION("""COMPUTED_VALUE"""),2056.64)</f>
        <v>2056.64</v>
      </c>
      <c r="E7465" s="1">
        <f>IFERROR(__xludf.DUMMYFUNCTION("""COMPUTED_VALUE"""),2057.64)</f>
        <v>2057.64</v>
      </c>
      <c r="F7465" s="1">
        <f>IFERROR(__xludf.DUMMYFUNCTION("""COMPUTED_VALUE"""),0.0)</f>
        <v>0</v>
      </c>
    </row>
    <row r="7466">
      <c r="A7466" s="2">
        <f>IFERROR(__xludf.DUMMYFUNCTION("""COMPUTED_VALUE"""),42185.66666666667)</f>
        <v>42185.66667</v>
      </c>
      <c r="B7466" s="1">
        <f>IFERROR(__xludf.DUMMYFUNCTION("""COMPUTED_VALUE"""),2061.19)</f>
        <v>2061.19</v>
      </c>
      <c r="C7466" s="1">
        <f>IFERROR(__xludf.DUMMYFUNCTION("""COMPUTED_VALUE"""),2074.28)</f>
        <v>2074.28</v>
      </c>
      <c r="D7466" s="1">
        <f>IFERROR(__xludf.DUMMYFUNCTION("""COMPUTED_VALUE"""),2056.32)</f>
        <v>2056.32</v>
      </c>
      <c r="E7466" s="1">
        <f>IFERROR(__xludf.DUMMYFUNCTION("""COMPUTED_VALUE"""),2063.11)</f>
        <v>2063.11</v>
      </c>
      <c r="F7466" s="1">
        <f>IFERROR(__xludf.DUMMYFUNCTION("""COMPUTED_VALUE"""),0.0)</f>
        <v>0</v>
      </c>
    </row>
    <row r="7467">
      <c r="A7467" s="2">
        <f>IFERROR(__xludf.DUMMYFUNCTION("""COMPUTED_VALUE"""),42186.66666666667)</f>
        <v>42186.66667</v>
      </c>
      <c r="B7467" s="1">
        <f>IFERROR(__xludf.DUMMYFUNCTION("""COMPUTED_VALUE"""),2067.0)</f>
        <v>2067</v>
      </c>
      <c r="C7467" s="1">
        <f>IFERROR(__xludf.DUMMYFUNCTION("""COMPUTED_VALUE"""),2082.78)</f>
        <v>2082.78</v>
      </c>
      <c r="D7467" s="1">
        <f>IFERROR(__xludf.DUMMYFUNCTION("""COMPUTED_VALUE"""),2067.0)</f>
        <v>2067</v>
      </c>
      <c r="E7467" s="1">
        <f>IFERROR(__xludf.DUMMYFUNCTION("""COMPUTED_VALUE"""),2077.42)</f>
        <v>2077.42</v>
      </c>
      <c r="F7467" s="1">
        <f>IFERROR(__xludf.DUMMYFUNCTION("""COMPUTED_VALUE"""),0.0)</f>
        <v>0</v>
      </c>
    </row>
    <row r="7468">
      <c r="A7468" s="2">
        <f>IFERROR(__xludf.DUMMYFUNCTION("""COMPUTED_VALUE"""),42187.66666666667)</f>
        <v>42187.66667</v>
      </c>
      <c r="B7468" s="1">
        <f>IFERROR(__xludf.DUMMYFUNCTION("""COMPUTED_VALUE"""),2078.03)</f>
        <v>2078.03</v>
      </c>
      <c r="C7468" s="1">
        <f>IFERROR(__xludf.DUMMYFUNCTION("""COMPUTED_VALUE"""),2085.06)</f>
        <v>2085.06</v>
      </c>
      <c r="D7468" s="1">
        <f>IFERROR(__xludf.DUMMYFUNCTION("""COMPUTED_VALUE"""),2071.02)</f>
        <v>2071.02</v>
      </c>
      <c r="E7468" s="1">
        <f>IFERROR(__xludf.DUMMYFUNCTION("""COMPUTED_VALUE"""),2076.78)</f>
        <v>2076.78</v>
      </c>
      <c r="F7468" s="1">
        <f>IFERROR(__xludf.DUMMYFUNCTION("""COMPUTED_VALUE"""),0.0)</f>
        <v>0</v>
      </c>
    </row>
    <row r="7469">
      <c r="A7469" s="2">
        <f>IFERROR(__xludf.DUMMYFUNCTION("""COMPUTED_VALUE"""),42191.66666666667)</f>
        <v>42191.66667</v>
      </c>
      <c r="B7469" s="1">
        <f>IFERROR(__xludf.DUMMYFUNCTION("""COMPUTED_VALUE"""),2073.95)</f>
        <v>2073.95</v>
      </c>
      <c r="C7469" s="1">
        <f>IFERROR(__xludf.DUMMYFUNCTION("""COMPUTED_VALUE"""),2078.61)</f>
        <v>2078.61</v>
      </c>
      <c r="D7469" s="1">
        <f>IFERROR(__xludf.DUMMYFUNCTION("""COMPUTED_VALUE"""),2058.4)</f>
        <v>2058.4</v>
      </c>
      <c r="E7469" s="1">
        <f>IFERROR(__xludf.DUMMYFUNCTION("""COMPUTED_VALUE"""),2068.76)</f>
        <v>2068.76</v>
      </c>
      <c r="F7469" s="1">
        <f>IFERROR(__xludf.DUMMYFUNCTION("""COMPUTED_VALUE"""),0.0)</f>
        <v>0</v>
      </c>
    </row>
    <row r="7470">
      <c r="A7470" s="2">
        <f>IFERROR(__xludf.DUMMYFUNCTION("""COMPUTED_VALUE"""),42192.66666666667)</f>
        <v>42192.66667</v>
      </c>
      <c r="B7470" s="1">
        <f>IFERROR(__xludf.DUMMYFUNCTION("""COMPUTED_VALUE"""),2069.52)</f>
        <v>2069.52</v>
      </c>
      <c r="C7470" s="1">
        <f>IFERROR(__xludf.DUMMYFUNCTION("""COMPUTED_VALUE"""),2083.74)</f>
        <v>2083.74</v>
      </c>
      <c r="D7470" s="1">
        <f>IFERROR(__xludf.DUMMYFUNCTION("""COMPUTED_VALUE"""),2044.02)</f>
        <v>2044.02</v>
      </c>
      <c r="E7470" s="1">
        <f>IFERROR(__xludf.DUMMYFUNCTION("""COMPUTED_VALUE"""),2081.34)</f>
        <v>2081.34</v>
      </c>
      <c r="F7470" s="1">
        <f>IFERROR(__xludf.DUMMYFUNCTION("""COMPUTED_VALUE"""),0.0)</f>
        <v>0</v>
      </c>
    </row>
    <row r="7471">
      <c r="A7471" s="2">
        <f>IFERROR(__xludf.DUMMYFUNCTION("""COMPUTED_VALUE"""),42193.66666666667)</f>
        <v>42193.66667</v>
      </c>
      <c r="B7471" s="1">
        <f>IFERROR(__xludf.DUMMYFUNCTION("""COMPUTED_VALUE"""),2077.66)</f>
        <v>2077.66</v>
      </c>
      <c r="C7471" s="1">
        <f>IFERROR(__xludf.DUMMYFUNCTION("""COMPUTED_VALUE"""),2077.66)</f>
        <v>2077.66</v>
      </c>
      <c r="D7471" s="1">
        <f>IFERROR(__xludf.DUMMYFUNCTION("""COMPUTED_VALUE"""),2044.66)</f>
        <v>2044.66</v>
      </c>
      <c r="E7471" s="1">
        <f>IFERROR(__xludf.DUMMYFUNCTION("""COMPUTED_VALUE"""),2046.68)</f>
        <v>2046.68</v>
      </c>
      <c r="F7471" s="1">
        <f>IFERROR(__xludf.DUMMYFUNCTION("""COMPUTED_VALUE"""),0.0)</f>
        <v>0</v>
      </c>
    </row>
    <row r="7472">
      <c r="A7472" s="2">
        <f>IFERROR(__xludf.DUMMYFUNCTION("""COMPUTED_VALUE"""),42194.66666666667)</f>
        <v>42194.66667</v>
      </c>
      <c r="B7472" s="1">
        <f>IFERROR(__xludf.DUMMYFUNCTION("""COMPUTED_VALUE"""),2049.73)</f>
        <v>2049.73</v>
      </c>
      <c r="C7472" s="1">
        <f>IFERROR(__xludf.DUMMYFUNCTION("""COMPUTED_VALUE"""),2074.28)</f>
        <v>2074.28</v>
      </c>
      <c r="D7472" s="1">
        <f>IFERROR(__xludf.DUMMYFUNCTION("""COMPUTED_VALUE"""),2049.73)</f>
        <v>2049.73</v>
      </c>
      <c r="E7472" s="1">
        <f>IFERROR(__xludf.DUMMYFUNCTION("""COMPUTED_VALUE"""),2051.31)</f>
        <v>2051.31</v>
      </c>
      <c r="F7472" s="1">
        <f>IFERROR(__xludf.DUMMYFUNCTION("""COMPUTED_VALUE"""),0.0)</f>
        <v>0</v>
      </c>
    </row>
    <row r="7473">
      <c r="A7473" s="2">
        <f>IFERROR(__xludf.DUMMYFUNCTION("""COMPUTED_VALUE"""),42195.66666666667)</f>
        <v>42195.66667</v>
      </c>
      <c r="B7473" s="1">
        <f>IFERROR(__xludf.DUMMYFUNCTION("""COMPUTED_VALUE"""),2052.74)</f>
        <v>2052.74</v>
      </c>
      <c r="C7473" s="1">
        <f>IFERROR(__xludf.DUMMYFUNCTION("""COMPUTED_VALUE"""),2081.31)</f>
        <v>2081.31</v>
      </c>
      <c r="D7473" s="1">
        <f>IFERROR(__xludf.DUMMYFUNCTION("""COMPUTED_VALUE"""),2052.74)</f>
        <v>2052.74</v>
      </c>
      <c r="E7473" s="1">
        <f>IFERROR(__xludf.DUMMYFUNCTION("""COMPUTED_VALUE"""),2076.62)</f>
        <v>2076.62</v>
      </c>
      <c r="F7473" s="1">
        <f>IFERROR(__xludf.DUMMYFUNCTION("""COMPUTED_VALUE"""),0.0)</f>
        <v>0</v>
      </c>
    </row>
    <row r="7474">
      <c r="A7474" s="2">
        <f>IFERROR(__xludf.DUMMYFUNCTION("""COMPUTED_VALUE"""),42198.66666666667)</f>
        <v>42198.66667</v>
      </c>
      <c r="B7474" s="1">
        <f>IFERROR(__xludf.DUMMYFUNCTION("""COMPUTED_VALUE"""),2080.03)</f>
        <v>2080.03</v>
      </c>
      <c r="C7474" s="1">
        <f>IFERROR(__xludf.DUMMYFUNCTION("""COMPUTED_VALUE"""),2100.67)</f>
        <v>2100.67</v>
      </c>
      <c r="D7474" s="1">
        <f>IFERROR(__xludf.DUMMYFUNCTION("""COMPUTED_VALUE"""),2080.03)</f>
        <v>2080.03</v>
      </c>
      <c r="E7474" s="1">
        <f>IFERROR(__xludf.DUMMYFUNCTION("""COMPUTED_VALUE"""),2099.6)</f>
        <v>2099.6</v>
      </c>
      <c r="F7474" s="1">
        <f>IFERROR(__xludf.DUMMYFUNCTION("""COMPUTED_VALUE"""),0.0)</f>
        <v>0</v>
      </c>
    </row>
    <row r="7475">
      <c r="A7475" s="2">
        <f>IFERROR(__xludf.DUMMYFUNCTION("""COMPUTED_VALUE"""),42199.66666666667)</f>
        <v>42199.66667</v>
      </c>
      <c r="B7475" s="1">
        <f>IFERROR(__xludf.DUMMYFUNCTION("""COMPUTED_VALUE"""),2099.72)</f>
        <v>2099.72</v>
      </c>
      <c r="C7475" s="1">
        <f>IFERROR(__xludf.DUMMYFUNCTION("""COMPUTED_VALUE"""),2111.98)</f>
        <v>2111.98</v>
      </c>
      <c r="D7475" s="1">
        <f>IFERROR(__xludf.DUMMYFUNCTION("""COMPUTED_VALUE"""),2098.18)</f>
        <v>2098.18</v>
      </c>
      <c r="E7475" s="1">
        <f>IFERROR(__xludf.DUMMYFUNCTION("""COMPUTED_VALUE"""),2108.95)</f>
        <v>2108.95</v>
      </c>
      <c r="F7475" s="1">
        <f>IFERROR(__xludf.DUMMYFUNCTION("""COMPUTED_VALUE"""),0.0)</f>
        <v>0</v>
      </c>
    </row>
    <row r="7476">
      <c r="A7476" s="2">
        <f>IFERROR(__xludf.DUMMYFUNCTION("""COMPUTED_VALUE"""),42200.66666666667)</f>
        <v>42200.66667</v>
      </c>
      <c r="B7476" s="1">
        <f>IFERROR(__xludf.DUMMYFUNCTION("""COMPUTED_VALUE"""),2109.01)</f>
        <v>2109.01</v>
      </c>
      <c r="C7476" s="1">
        <f>IFERROR(__xludf.DUMMYFUNCTION("""COMPUTED_VALUE"""),2114.14)</f>
        <v>2114.14</v>
      </c>
      <c r="D7476" s="1">
        <f>IFERROR(__xludf.DUMMYFUNCTION("""COMPUTED_VALUE"""),2102.49)</f>
        <v>2102.49</v>
      </c>
      <c r="E7476" s="1">
        <f>IFERROR(__xludf.DUMMYFUNCTION("""COMPUTED_VALUE"""),2107.4)</f>
        <v>2107.4</v>
      </c>
      <c r="F7476" s="1">
        <f>IFERROR(__xludf.DUMMYFUNCTION("""COMPUTED_VALUE"""),0.0)</f>
        <v>0</v>
      </c>
    </row>
    <row r="7477">
      <c r="A7477" s="2">
        <f>IFERROR(__xludf.DUMMYFUNCTION("""COMPUTED_VALUE"""),42201.66666666667)</f>
        <v>42201.66667</v>
      </c>
      <c r="B7477" s="1">
        <f>IFERROR(__xludf.DUMMYFUNCTION("""COMPUTED_VALUE"""),2110.55)</f>
        <v>2110.55</v>
      </c>
      <c r="C7477" s="1">
        <f>IFERROR(__xludf.DUMMYFUNCTION("""COMPUTED_VALUE"""),2124.42)</f>
        <v>2124.42</v>
      </c>
      <c r="D7477" s="1">
        <f>IFERROR(__xludf.DUMMYFUNCTION("""COMPUTED_VALUE"""),2110.55)</f>
        <v>2110.55</v>
      </c>
      <c r="E7477" s="1">
        <f>IFERROR(__xludf.DUMMYFUNCTION("""COMPUTED_VALUE"""),2124.29)</f>
        <v>2124.29</v>
      </c>
      <c r="F7477" s="1">
        <f>IFERROR(__xludf.DUMMYFUNCTION("""COMPUTED_VALUE"""),0.0)</f>
        <v>0</v>
      </c>
    </row>
    <row r="7478">
      <c r="A7478" s="2">
        <f>IFERROR(__xludf.DUMMYFUNCTION("""COMPUTED_VALUE"""),42202.66666666667)</f>
        <v>42202.66667</v>
      </c>
      <c r="B7478" s="1">
        <f>IFERROR(__xludf.DUMMYFUNCTION("""COMPUTED_VALUE"""),2126.8)</f>
        <v>2126.8</v>
      </c>
      <c r="C7478" s="1">
        <f>IFERROR(__xludf.DUMMYFUNCTION("""COMPUTED_VALUE"""),2128.91)</f>
        <v>2128.91</v>
      </c>
      <c r="D7478" s="1">
        <f>IFERROR(__xludf.DUMMYFUNCTION("""COMPUTED_VALUE"""),2119.88)</f>
        <v>2119.88</v>
      </c>
      <c r="E7478" s="1">
        <f>IFERROR(__xludf.DUMMYFUNCTION("""COMPUTED_VALUE"""),2126.64)</f>
        <v>2126.64</v>
      </c>
      <c r="F7478" s="1">
        <f>IFERROR(__xludf.DUMMYFUNCTION("""COMPUTED_VALUE"""),0.0)</f>
        <v>0</v>
      </c>
    </row>
    <row r="7479">
      <c r="A7479" s="2">
        <f>IFERROR(__xludf.DUMMYFUNCTION("""COMPUTED_VALUE"""),42205.66666666667)</f>
        <v>42205.66667</v>
      </c>
      <c r="B7479" s="1">
        <f>IFERROR(__xludf.DUMMYFUNCTION("""COMPUTED_VALUE"""),2126.85)</f>
        <v>2126.85</v>
      </c>
      <c r="C7479" s="1">
        <f>IFERROR(__xludf.DUMMYFUNCTION("""COMPUTED_VALUE"""),2132.82)</f>
        <v>2132.82</v>
      </c>
      <c r="D7479" s="1">
        <f>IFERROR(__xludf.DUMMYFUNCTION("""COMPUTED_VALUE"""),2123.65)</f>
        <v>2123.65</v>
      </c>
      <c r="E7479" s="1">
        <f>IFERROR(__xludf.DUMMYFUNCTION("""COMPUTED_VALUE"""),2128.28)</f>
        <v>2128.28</v>
      </c>
      <c r="F7479" s="1">
        <f>IFERROR(__xludf.DUMMYFUNCTION("""COMPUTED_VALUE"""),0.0)</f>
        <v>0</v>
      </c>
    </row>
    <row r="7480">
      <c r="A7480" s="2">
        <f>IFERROR(__xludf.DUMMYFUNCTION("""COMPUTED_VALUE"""),42206.66666666667)</f>
        <v>42206.66667</v>
      </c>
      <c r="B7480" s="1">
        <f>IFERROR(__xludf.DUMMYFUNCTION("""COMPUTED_VALUE"""),2127.55)</f>
        <v>2127.55</v>
      </c>
      <c r="C7480" s="1">
        <f>IFERROR(__xludf.DUMMYFUNCTION("""COMPUTED_VALUE"""),2128.49)</f>
        <v>2128.49</v>
      </c>
      <c r="D7480" s="1">
        <f>IFERROR(__xludf.DUMMYFUNCTION("""COMPUTED_VALUE"""),2115.4)</f>
        <v>2115.4</v>
      </c>
      <c r="E7480" s="1">
        <f>IFERROR(__xludf.DUMMYFUNCTION("""COMPUTED_VALUE"""),2119.21)</f>
        <v>2119.21</v>
      </c>
      <c r="F7480" s="1">
        <f>IFERROR(__xludf.DUMMYFUNCTION("""COMPUTED_VALUE"""),0.0)</f>
        <v>0</v>
      </c>
    </row>
    <row r="7481">
      <c r="A7481" s="2">
        <f>IFERROR(__xludf.DUMMYFUNCTION("""COMPUTED_VALUE"""),42207.66666666667)</f>
        <v>42207.66667</v>
      </c>
      <c r="B7481" s="1">
        <f>IFERROR(__xludf.DUMMYFUNCTION("""COMPUTED_VALUE"""),2118.21)</f>
        <v>2118.21</v>
      </c>
      <c r="C7481" s="1">
        <f>IFERROR(__xludf.DUMMYFUNCTION("""COMPUTED_VALUE"""),2118.51)</f>
        <v>2118.51</v>
      </c>
      <c r="D7481" s="1">
        <f>IFERROR(__xludf.DUMMYFUNCTION("""COMPUTED_VALUE"""),2110.0)</f>
        <v>2110</v>
      </c>
      <c r="E7481" s="1">
        <f>IFERROR(__xludf.DUMMYFUNCTION("""COMPUTED_VALUE"""),2114.15)</f>
        <v>2114.15</v>
      </c>
      <c r="F7481" s="1">
        <f>IFERROR(__xludf.DUMMYFUNCTION("""COMPUTED_VALUE"""),0.0)</f>
        <v>0</v>
      </c>
    </row>
    <row r="7482">
      <c r="A7482" s="2">
        <f>IFERROR(__xludf.DUMMYFUNCTION("""COMPUTED_VALUE"""),42208.66666666667)</f>
        <v>42208.66667</v>
      </c>
      <c r="B7482" s="1">
        <f>IFERROR(__xludf.DUMMYFUNCTION("""COMPUTED_VALUE"""),2114.16)</f>
        <v>2114.16</v>
      </c>
      <c r="C7482" s="1">
        <f>IFERROR(__xludf.DUMMYFUNCTION("""COMPUTED_VALUE"""),2116.87)</f>
        <v>2116.87</v>
      </c>
      <c r="D7482" s="1">
        <f>IFERROR(__xludf.DUMMYFUNCTION("""COMPUTED_VALUE"""),2098.63)</f>
        <v>2098.63</v>
      </c>
      <c r="E7482" s="1">
        <f>IFERROR(__xludf.DUMMYFUNCTION("""COMPUTED_VALUE"""),2102.15)</f>
        <v>2102.15</v>
      </c>
      <c r="F7482" s="1">
        <f>IFERROR(__xludf.DUMMYFUNCTION("""COMPUTED_VALUE"""),0.0)</f>
        <v>0</v>
      </c>
    </row>
    <row r="7483">
      <c r="A7483" s="2">
        <f>IFERROR(__xludf.DUMMYFUNCTION("""COMPUTED_VALUE"""),42209.66666666667)</f>
        <v>42209.66667</v>
      </c>
      <c r="B7483" s="1">
        <f>IFERROR(__xludf.DUMMYFUNCTION("""COMPUTED_VALUE"""),2102.24)</f>
        <v>2102.24</v>
      </c>
      <c r="C7483" s="1">
        <f>IFERROR(__xludf.DUMMYFUNCTION("""COMPUTED_VALUE"""),2106.01)</f>
        <v>2106.01</v>
      </c>
      <c r="D7483" s="1">
        <f>IFERROR(__xludf.DUMMYFUNCTION("""COMPUTED_VALUE"""),2077.09)</f>
        <v>2077.09</v>
      </c>
      <c r="E7483" s="1">
        <f>IFERROR(__xludf.DUMMYFUNCTION("""COMPUTED_VALUE"""),2079.65)</f>
        <v>2079.65</v>
      </c>
      <c r="F7483" s="1">
        <f>IFERROR(__xludf.DUMMYFUNCTION("""COMPUTED_VALUE"""),0.0)</f>
        <v>0</v>
      </c>
    </row>
    <row r="7484">
      <c r="A7484" s="2">
        <f>IFERROR(__xludf.DUMMYFUNCTION("""COMPUTED_VALUE"""),42212.66666666667)</f>
        <v>42212.66667</v>
      </c>
      <c r="B7484" s="1">
        <f>IFERROR(__xludf.DUMMYFUNCTION("""COMPUTED_VALUE"""),2078.19)</f>
        <v>2078.19</v>
      </c>
      <c r="C7484" s="1">
        <f>IFERROR(__xludf.DUMMYFUNCTION("""COMPUTED_VALUE"""),2078.19)</f>
        <v>2078.19</v>
      </c>
      <c r="D7484" s="1">
        <f>IFERROR(__xludf.DUMMYFUNCTION("""COMPUTED_VALUE"""),2063.52)</f>
        <v>2063.52</v>
      </c>
      <c r="E7484" s="1">
        <f>IFERROR(__xludf.DUMMYFUNCTION("""COMPUTED_VALUE"""),2067.64)</f>
        <v>2067.64</v>
      </c>
      <c r="F7484" s="1">
        <f>IFERROR(__xludf.DUMMYFUNCTION("""COMPUTED_VALUE"""),0.0)</f>
        <v>0</v>
      </c>
    </row>
    <row r="7485">
      <c r="A7485" s="2">
        <f>IFERROR(__xludf.DUMMYFUNCTION("""COMPUTED_VALUE"""),42213.66666666667)</f>
        <v>42213.66667</v>
      </c>
      <c r="B7485" s="1">
        <f>IFERROR(__xludf.DUMMYFUNCTION("""COMPUTED_VALUE"""),2070.75)</f>
        <v>2070.75</v>
      </c>
      <c r="C7485" s="1">
        <f>IFERROR(__xludf.DUMMYFUNCTION("""COMPUTED_VALUE"""),2095.6)</f>
        <v>2095.6</v>
      </c>
      <c r="D7485" s="1">
        <f>IFERROR(__xludf.DUMMYFUNCTION("""COMPUTED_VALUE"""),2069.09)</f>
        <v>2069.09</v>
      </c>
      <c r="E7485" s="1">
        <f>IFERROR(__xludf.DUMMYFUNCTION("""COMPUTED_VALUE"""),2093.25)</f>
        <v>2093.25</v>
      </c>
      <c r="F7485" s="1">
        <f>IFERROR(__xludf.DUMMYFUNCTION("""COMPUTED_VALUE"""),0.0)</f>
        <v>0</v>
      </c>
    </row>
    <row r="7486">
      <c r="A7486" s="2">
        <f>IFERROR(__xludf.DUMMYFUNCTION("""COMPUTED_VALUE"""),42214.66666666667)</f>
        <v>42214.66667</v>
      </c>
      <c r="B7486" s="1">
        <f>IFERROR(__xludf.DUMMYFUNCTION("""COMPUTED_VALUE"""),2094.7)</f>
        <v>2094.7</v>
      </c>
      <c r="C7486" s="1">
        <f>IFERROR(__xludf.DUMMYFUNCTION("""COMPUTED_VALUE"""),2110.6)</f>
        <v>2110.6</v>
      </c>
      <c r="D7486" s="1">
        <f>IFERROR(__xludf.DUMMYFUNCTION("""COMPUTED_VALUE"""),2094.08)</f>
        <v>2094.08</v>
      </c>
      <c r="E7486" s="1">
        <f>IFERROR(__xludf.DUMMYFUNCTION("""COMPUTED_VALUE"""),2108.57)</f>
        <v>2108.57</v>
      </c>
      <c r="F7486" s="1">
        <f>IFERROR(__xludf.DUMMYFUNCTION("""COMPUTED_VALUE"""),0.0)</f>
        <v>0</v>
      </c>
    </row>
    <row r="7487">
      <c r="A7487" s="2">
        <f>IFERROR(__xludf.DUMMYFUNCTION("""COMPUTED_VALUE"""),42215.66666666667)</f>
        <v>42215.66667</v>
      </c>
      <c r="B7487" s="1">
        <f>IFERROR(__xludf.DUMMYFUNCTION("""COMPUTED_VALUE"""),2106.78)</f>
        <v>2106.78</v>
      </c>
      <c r="C7487" s="1">
        <f>IFERROR(__xludf.DUMMYFUNCTION("""COMPUTED_VALUE"""),2110.48)</f>
        <v>2110.48</v>
      </c>
      <c r="D7487" s="1">
        <f>IFERROR(__xludf.DUMMYFUNCTION("""COMPUTED_VALUE"""),2094.97)</f>
        <v>2094.97</v>
      </c>
      <c r="E7487" s="1">
        <f>IFERROR(__xludf.DUMMYFUNCTION("""COMPUTED_VALUE"""),2108.63)</f>
        <v>2108.63</v>
      </c>
      <c r="F7487" s="1">
        <f>IFERROR(__xludf.DUMMYFUNCTION("""COMPUTED_VALUE"""),0.0)</f>
        <v>0</v>
      </c>
    </row>
    <row r="7488">
      <c r="A7488" s="2">
        <f>IFERROR(__xludf.DUMMYFUNCTION("""COMPUTED_VALUE"""),42216.66666666667)</f>
        <v>42216.66667</v>
      </c>
      <c r="B7488" s="1">
        <f>IFERROR(__xludf.DUMMYFUNCTION("""COMPUTED_VALUE"""),2111.6)</f>
        <v>2111.6</v>
      </c>
      <c r="C7488" s="1">
        <f>IFERROR(__xludf.DUMMYFUNCTION("""COMPUTED_VALUE"""),2114.24)</f>
        <v>2114.24</v>
      </c>
      <c r="D7488" s="1">
        <f>IFERROR(__xludf.DUMMYFUNCTION("""COMPUTED_VALUE"""),2102.07)</f>
        <v>2102.07</v>
      </c>
      <c r="E7488" s="1">
        <f>IFERROR(__xludf.DUMMYFUNCTION("""COMPUTED_VALUE"""),2103.84)</f>
        <v>2103.84</v>
      </c>
      <c r="F7488" s="1">
        <f>IFERROR(__xludf.DUMMYFUNCTION("""COMPUTED_VALUE"""),0.0)</f>
        <v>0</v>
      </c>
    </row>
    <row r="7489">
      <c r="A7489" s="2">
        <f>IFERROR(__xludf.DUMMYFUNCTION("""COMPUTED_VALUE"""),42219.66666666667)</f>
        <v>42219.66667</v>
      </c>
      <c r="B7489" s="1">
        <f>IFERROR(__xludf.DUMMYFUNCTION("""COMPUTED_VALUE"""),2104.49)</f>
        <v>2104.49</v>
      </c>
      <c r="C7489" s="1">
        <f>IFERROR(__xludf.DUMMYFUNCTION("""COMPUTED_VALUE"""),2105.7)</f>
        <v>2105.7</v>
      </c>
      <c r="D7489" s="1">
        <f>IFERROR(__xludf.DUMMYFUNCTION("""COMPUTED_VALUE"""),2087.31)</f>
        <v>2087.31</v>
      </c>
      <c r="E7489" s="1">
        <f>IFERROR(__xludf.DUMMYFUNCTION("""COMPUTED_VALUE"""),2098.04)</f>
        <v>2098.04</v>
      </c>
      <c r="F7489" s="1">
        <f>IFERROR(__xludf.DUMMYFUNCTION("""COMPUTED_VALUE"""),0.0)</f>
        <v>0</v>
      </c>
    </row>
    <row r="7490">
      <c r="A7490" s="2">
        <f>IFERROR(__xludf.DUMMYFUNCTION("""COMPUTED_VALUE"""),42220.66666666667)</f>
        <v>42220.66667</v>
      </c>
      <c r="B7490" s="1">
        <f>IFERROR(__xludf.DUMMYFUNCTION("""COMPUTED_VALUE"""),2097.68)</f>
        <v>2097.68</v>
      </c>
      <c r="C7490" s="1">
        <f>IFERROR(__xludf.DUMMYFUNCTION("""COMPUTED_VALUE"""),2102.51)</f>
        <v>2102.51</v>
      </c>
      <c r="D7490" s="1">
        <f>IFERROR(__xludf.DUMMYFUNCTION("""COMPUTED_VALUE"""),2088.6)</f>
        <v>2088.6</v>
      </c>
      <c r="E7490" s="1">
        <f>IFERROR(__xludf.DUMMYFUNCTION("""COMPUTED_VALUE"""),2093.32)</f>
        <v>2093.32</v>
      </c>
      <c r="F7490" s="1">
        <f>IFERROR(__xludf.DUMMYFUNCTION("""COMPUTED_VALUE"""),0.0)</f>
        <v>0</v>
      </c>
    </row>
    <row r="7491">
      <c r="A7491" s="2">
        <f>IFERROR(__xludf.DUMMYFUNCTION("""COMPUTED_VALUE"""),42221.66666666667)</f>
        <v>42221.66667</v>
      </c>
      <c r="B7491" s="1">
        <f>IFERROR(__xludf.DUMMYFUNCTION("""COMPUTED_VALUE"""),2095.27)</f>
        <v>2095.27</v>
      </c>
      <c r="C7491" s="1">
        <f>IFERROR(__xludf.DUMMYFUNCTION("""COMPUTED_VALUE"""),2112.66)</f>
        <v>2112.66</v>
      </c>
      <c r="D7491" s="1">
        <f>IFERROR(__xludf.DUMMYFUNCTION("""COMPUTED_VALUE"""),2095.27)</f>
        <v>2095.27</v>
      </c>
      <c r="E7491" s="1">
        <f>IFERROR(__xludf.DUMMYFUNCTION("""COMPUTED_VALUE"""),2099.84)</f>
        <v>2099.84</v>
      </c>
      <c r="F7491" s="1">
        <f>IFERROR(__xludf.DUMMYFUNCTION("""COMPUTED_VALUE"""),0.0)</f>
        <v>0</v>
      </c>
    </row>
    <row r="7492">
      <c r="A7492" s="2">
        <f>IFERROR(__xludf.DUMMYFUNCTION("""COMPUTED_VALUE"""),42222.66666666667)</f>
        <v>42222.66667</v>
      </c>
      <c r="B7492" s="1">
        <f>IFERROR(__xludf.DUMMYFUNCTION("""COMPUTED_VALUE"""),2100.75)</f>
        <v>2100.75</v>
      </c>
      <c r="C7492" s="1">
        <f>IFERROR(__xludf.DUMMYFUNCTION("""COMPUTED_VALUE"""),2103.32)</f>
        <v>2103.32</v>
      </c>
      <c r="D7492" s="1">
        <f>IFERROR(__xludf.DUMMYFUNCTION("""COMPUTED_VALUE"""),2075.53)</f>
        <v>2075.53</v>
      </c>
      <c r="E7492" s="1">
        <f>IFERROR(__xludf.DUMMYFUNCTION("""COMPUTED_VALUE"""),2083.56)</f>
        <v>2083.56</v>
      </c>
      <c r="F7492" s="1">
        <f>IFERROR(__xludf.DUMMYFUNCTION("""COMPUTED_VALUE"""),0.0)</f>
        <v>0</v>
      </c>
    </row>
    <row r="7493">
      <c r="A7493" s="2">
        <f>IFERROR(__xludf.DUMMYFUNCTION("""COMPUTED_VALUE"""),42223.66666666667)</f>
        <v>42223.66667</v>
      </c>
      <c r="B7493" s="1">
        <f>IFERROR(__xludf.DUMMYFUNCTION("""COMPUTED_VALUE"""),2082.61)</f>
        <v>2082.61</v>
      </c>
      <c r="C7493" s="1">
        <f>IFERROR(__xludf.DUMMYFUNCTION("""COMPUTED_VALUE"""),2082.61)</f>
        <v>2082.61</v>
      </c>
      <c r="D7493" s="1">
        <f>IFERROR(__xludf.DUMMYFUNCTION("""COMPUTED_VALUE"""),2067.91)</f>
        <v>2067.91</v>
      </c>
      <c r="E7493" s="1">
        <f>IFERROR(__xludf.DUMMYFUNCTION("""COMPUTED_VALUE"""),2077.57)</f>
        <v>2077.57</v>
      </c>
      <c r="F7493" s="1">
        <f>IFERROR(__xludf.DUMMYFUNCTION("""COMPUTED_VALUE"""),0.0)</f>
        <v>0</v>
      </c>
    </row>
    <row r="7494">
      <c r="A7494" s="2">
        <f>IFERROR(__xludf.DUMMYFUNCTION("""COMPUTED_VALUE"""),42226.66666666667)</f>
        <v>42226.66667</v>
      </c>
      <c r="B7494" s="1">
        <f>IFERROR(__xludf.DUMMYFUNCTION("""COMPUTED_VALUE"""),2080.98)</f>
        <v>2080.98</v>
      </c>
      <c r="C7494" s="1">
        <f>IFERROR(__xludf.DUMMYFUNCTION("""COMPUTED_VALUE"""),2105.35)</f>
        <v>2105.35</v>
      </c>
      <c r="D7494" s="1">
        <f>IFERROR(__xludf.DUMMYFUNCTION("""COMPUTED_VALUE"""),2080.98)</f>
        <v>2080.98</v>
      </c>
      <c r="E7494" s="1">
        <f>IFERROR(__xludf.DUMMYFUNCTION("""COMPUTED_VALUE"""),2104.18)</f>
        <v>2104.18</v>
      </c>
      <c r="F7494" s="1">
        <f>IFERROR(__xludf.DUMMYFUNCTION("""COMPUTED_VALUE"""),0.0)</f>
        <v>0</v>
      </c>
    </row>
    <row r="7495">
      <c r="A7495" s="2">
        <f>IFERROR(__xludf.DUMMYFUNCTION("""COMPUTED_VALUE"""),42227.66666666667)</f>
        <v>42227.66667</v>
      </c>
      <c r="B7495" s="1">
        <f>IFERROR(__xludf.DUMMYFUNCTION("""COMPUTED_VALUE"""),2102.66)</f>
        <v>2102.66</v>
      </c>
      <c r="C7495" s="1">
        <f>IFERROR(__xludf.DUMMYFUNCTION("""COMPUTED_VALUE"""),2102.66)</f>
        <v>2102.66</v>
      </c>
      <c r="D7495" s="1">
        <f>IFERROR(__xludf.DUMMYFUNCTION("""COMPUTED_VALUE"""),2076.49)</f>
        <v>2076.49</v>
      </c>
      <c r="E7495" s="1">
        <f>IFERROR(__xludf.DUMMYFUNCTION("""COMPUTED_VALUE"""),2084.07)</f>
        <v>2084.07</v>
      </c>
      <c r="F7495" s="1">
        <f>IFERROR(__xludf.DUMMYFUNCTION("""COMPUTED_VALUE"""),0.0)</f>
        <v>0</v>
      </c>
    </row>
    <row r="7496">
      <c r="A7496" s="2">
        <f>IFERROR(__xludf.DUMMYFUNCTION("""COMPUTED_VALUE"""),42228.66666666667)</f>
        <v>42228.66667</v>
      </c>
      <c r="B7496" s="1">
        <f>IFERROR(__xludf.DUMMYFUNCTION("""COMPUTED_VALUE"""),2081.1)</f>
        <v>2081.1</v>
      </c>
      <c r="C7496" s="1">
        <f>IFERROR(__xludf.DUMMYFUNCTION("""COMPUTED_VALUE"""),2089.06)</f>
        <v>2089.06</v>
      </c>
      <c r="D7496" s="1">
        <f>IFERROR(__xludf.DUMMYFUNCTION("""COMPUTED_VALUE"""),2052.09)</f>
        <v>2052.09</v>
      </c>
      <c r="E7496" s="1">
        <f>IFERROR(__xludf.DUMMYFUNCTION("""COMPUTED_VALUE"""),2086.05)</f>
        <v>2086.05</v>
      </c>
      <c r="F7496" s="1">
        <f>IFERROR(__xludf.DUMMYFUNCTION("""COMPUTED_VALUE"""),0.0)</f>
        <v>0</v>
      </c>
    </row>
    <row r="7497">
      <c r="A7497" s="2">
        <f>IFERROR(__xludf.DUMMYFUNCTION("""COMPUTED_VALUE"""),42229.66666666667)</f>
        <v>42229.66667</v>
      </c>
      <c r="B7497" s="1">
        <f>IFERROR(__xludf.DUMMYFUNCTION("""COMPUTED_VALUE"""),2086.19)</f>
        <v>2086.19</v>
      </c>
      <c r="C7497" s="1">
        <f>IFERROR(__xludf.DUMMYFUNCTION("""COMPUTED_VALUE"""),2092.93)</f>
        <v>2092.93</v>
      </c>
      <c r="D7497" s="1">
        <f>IFERROR(__xludf.DUMMYFUNCTION("""COMPUTED_VALUE"""),2078.26)</f>
        <v>2078.26</v>
      </c>
      <c r="E7497" s="1">
        <f>IFERROR(__xludf.DUMMYFUNCTION("""COMPUTED_VALUE"""),2083.39)</f>
        <v>2083.39</v>
      </c>
      <c r="F7497" s="1">
        <f>IFERROR(__xludf.DUMMYFUNCTION("""COMPUTED_VALUE"""),0.0)</f>
        <v>0</v>
      </c>
    </row>
    <row r="7498">
      <c r="A7498" s="2">
        <f>IFERROR(__xludf.DUMMYFUNCTION("""COMPUTED_VALUE"""),42230.66666666667)</f>
        <v>42230.66667</v>
      </c>
      <c r="B7498" s="1">
        <f>IFERROR(__xludf.DUMMYFUNCTION("""COMPUTED_VALUE"""),2083.15)</f>
        <v>2083.15</v>
      </c>
      <c r="C7498" s="1">
        <f>IFERROR(__xludf.DUMMYFUNCTION("""COMPUTED_VALUE"""),2092.45)</f>
        <v>2092.45</v>
      </c>
      <c r="D7498" s="1">
        <f>IFERROR(__xludf.DUMMYFUNCTION("""COMPUTED_VALUE"""),2080.61)</f>
        <v>2080.61</v>
      </c>
      <c r="E7498" s="1">
        <f>IFERROR(__xludf.DUMMYFUNCTION("""COMPUTED_VALUE"""),2091.54)</f>
        <v>2091.54</v>
      </c>
      <c r="F7498" s="1">
        <f>IFERROR(__xludf.DUMMYFUNCTION("""COMPUTED_VALUE"""),0.0)</f>
        <v>0</v>
      </c>
    </row>
    <row r="7499">
      <c r="A7499" s="2">
        <f>IFERROR(__xludf.DUMMYFUNCTION("""COMPUTED_VALUE"""),42233.66666666667)</f>
        <v>42233.66667</v>
      </c>
      <c r="B7499" s="1">
        <f>IFERROR(__xludf.DUMMYFUNCTION("""COMPUTED_VALUE"""),2089.7)</f>
        <v>2089.7</v>
      </c>
      <c r="C7499" s="1">
        <f>IFERROR(__xludf.DUMMYFUNCTION("""COMPUTED_VALUE"""),2102.87)</f>
        <v>2102.87</v>
      </c>
      <c r="D7499" s="1">
        <f>IFERROR(__xludf.DUMMYFUNCTION("""COMPUTED_VALUE"""),2079.3)</f>
        <v>2079.3</v>
      </c>
      <c r="E7499" s="1">
        <f>IFERROR(__xludf.DUMMYFUNCTION("""COMPUTED_VALUE"""),2102.44)</f>
        <v>2102.44</v>
      </c>
      <c r="F7499" s="1">
        <f>IFERROR(__xludf.DUMMYFUNCTION("""COMPUTED_VALUE"""),0.0)</f>
        <v>0</v>
      </c>
    </row>
    <row r="7500">
      <c r="A7500" s="2">
        <f>IFERROR(__xludf.DUMMYFUNCTION("""COMPUTED_VALUE"""),42234.66666666667)</f>
        <v>42234.66667</v>
      </c>
      <c r="B7500" s="1">
        <f>IFERROR(__xludf.DUMMYFUNCTION("""COMPUTED_VALUE"""),2101.99)</f>
        <v>2101.99</v>
      </c>
      <c r="C7500" s="1">
        <f>IFERROR(__xludf.DUMMYFUNCTION("""COMPUTED_VALUE"""),2103.47)</f>
        <v>2103.47</v>
      </c>
      <c r="D7500" s="1">
        <f>IFERROR(__xludf.DUMMYFUNCTION("""COMPUTED_VALUE"""),2094.14)</f>
        <v>2094.14</v>
      </c>
      <c r="E7500" s="1">
        <f>IFERROR(__xludf.DUMMYFUNCTION("""COMPUTED_VALUE"""),2096.92)</f>
        <v>2096.92</v>
      </c>
      <c r="F7500" s="1">
        <f>IFERROR(__xludf.DUMMYFUNCTION("""COMPUTED_VALUE"""),0.0)</f>
        <v>0</v>
      </c>
    </row>
    <row r="7501">
      <c r="A7501" s="2">
        <f>IFERROR(__xludf.DUMMYFUNCTION("""COMPUTED_VALUE"""),42235.66666666667)</f>
        <v>42235.66667</v>
      </c>
      <c r="B7501" s="1">
        <f>IFERROR(__xludf.DUMMYFUNCTION("""COMPUTED_VALUE"""),2095.69)</f>
        <v>2095.69</v>
      </c>
      <c r="C7501" s="1">
        <f>IFERROR(__xludf.DUMMYFUNCTION("""COMPUTED_VALUE"""),2096.17)</f>
        <v>2096.17</v>
      </c>
      <c r="D7501" s="1">
        <f>IFERROR(__xludf.DUMMYFUNCTION("""COMPUTED_VALUE"""),2070.53)</f>
        <v>2070.53</v>
      </c>
      <c r="E7501" s="1">
        <f>IFERROR(__xludf.DUMMYFUNCTION("""COMPUTED_VALUE"""),2079.61)</f>
        <v>2079.61</v>
      </c>
      <c r="F7501" s="1">
        <f>IFERROR(__xludf.DUMMYFUNCTION("""COMPUTED_VALUE"""),0.0)</f>
        <v>0</v>
      </c>
    </row>
    <row r="7502">
      <c r="A7502" s="2">
        <f>IFERROR(__xludf.DUMMYFUNCTION("""COMPUTED_VALUE"""),42236.66666666667)</f>
        <v>42236.66667</v>
      </c>
      <c r="B7502" s="1">
        <f>IFERROR(__xludf.DUMMYFUNCTION("""COMPUTED_VALUE"""),2076.61)</f>
        <v>2076.61</v>
      </c>
      <c r="C7502" s="1">
        <f>IFERROR(__xludf.DUMMYFUNCTION("""COMPUTED_VALUE"""),2076.61)</f>
        <v>2076.61</v>
      </c>
      <c r="D7502" s="1">
        <f>IFERROR(__xludf.DUMMYFUNCTION("""COMPUTED_VALUE"""),2035.73)</f>
        <v>2035.73</v>
      </c>
      <c r="E7502" s="1">
        <f>IFERROR(__xludf.DUMMYFUNCTION("""COMPUTED_VALUE"""),2035.73)</f>
        <v>2035.73</v>
      </c>
      <c r="F7502" s="1">
        <f>IFERROR(__xludf.DUMMYFUNCTION("""COMPUTED_VALUE"""),0.0)</f>
        <v>0</v>
      </c>
    </row>
    <row r="7503">
      <c r="A7503" s="2">
        <f>IFERROR(__xludf.DUMMYFUNCTION("""COMPUTED_VALUE"""),42237.66666666667)</f>
        <v>42237.66667</v>
      </c>
      <c r="B7503" s="1">
        <f>IFERROR(__xludf.DUMMYFUNCTION("""COMPUTED_VALUE"""),2034.08)</f>
        <v>2034.08</v>
      </c>
      <c r="C7503" s="1">
        <f>IFERROR(__xludf.DUMMYFUNCTION("""COMPUTED_VALUE"""),2034.08)</f>
        <v>2034.08</v>
      </c>
      <c r="D7503" s="1">
        <f>IFERROR(__xludf.DUMMYFUNCTION("""COMPUTED_VALUE"""),1970.89)</f>
        <v>1970.89</v>
      </c>
      <c r="E7503" s="1">
        <f>IFERROR(__xludf.DUMMYFUNCTION("""COMPUTED_VALUE"""),1970.89)</f>
        <v>1970.89</v>
      </c>
      <c r="F7503" s="1">
        <f>IFERROR(__xludf.DUMMYFUNCTION("""COMPUTED_VALUE"""),0.0)</f>
        <v>0</v>
      </c>
    </row>
    <row r="7504">
      <c r="A7504" s="2">
        <f>IFERROR(__xludf.DUMMYFUNCTION("""COMPUTED_VALUE"""),42240.66666666667)</f>
        <v>42240.66667</v>
      </c>
      <c r="B7504" s="1">
        <f>IFERROR(__xludf.DUMMYFUNCTION("""COMPUTED_VALUE"""),1965.15)</f>
        <v>1965.15</v>
      </c>
      <c r="C7504" s="1">
        <f>IFERROR(__xludf.DUMMYFUNCTION("""COMPUTED_VALUE"""),1965.15)</f>
        <v>1965.15</v>
      </c>
      <c r="D7504" s="1">
        <f>IFERROR(__xludf.DUMMYFUNCTION("""COMPUTED_VALUE"""),1867.01)</f>
        <v>1867.01</v>
      </c>
      <c r="E7504" s="1">
        <f>IFERROR(__xludf.DUMMYFUNCTION("""COMPUTED_VALUE"""),1893.21)</f>
        <v>1893.21</v>
      </c>
      <c r="F7504" s="1">
        <f>IFERROR(__xludf.DUMMYFUNCTION("""COMPUTED_VALUE"""),0.0)</f>
        <v>0</v>
      </c>
    </row>
    <row r="7505">
      <c r="A7505" s="2">
        <f>IFERROR(__xludf.DUMMYFUNCTION("""COMPUTED_VALUE"""),42241.66666666667)</f>
        <v>42241.66667</v>
      </c>
      <c r="B7505" s="1">
        <f>IFERROR(__xludf.DUMMYFUNCTION("""COMPUTED_VALUE"""),1898.08)</f>
        <v>1898.08</v>
      </c>
      <c r="C7505" s="1">
        <f>IFERROR(__xludf.DUMMYFUNCTION("""COMPUTED_VALUE"""),1948.04)</f>
        <v>1948.04</v>
      </c>
      <c r="D7505" s="1">
        <f>IFERROR(__xludf.DUMMYFUNCTION("""COMPUTED_VALUE"""),1867.08)</f>
        <v>1867.08</v>
      </c>
      <c r="E7505" s="1">
        <f>IFERROR(__xludf.DUMMYFUNCTION("""COMPUTED_VALUE"""),1867.61)</f>
        <v>1867.61</v>
      </c>
      <c r="F7505" s="1">
        <f>IFERROR(__xludf.DUMMYFUNCTION("""COMPUTED_VALUE"""),0.0)</f>
        <v>0</v>
      </c>
    </row>
    <row r="7506">
      <c r="A7506" s="2">
        <f>IFERROR(__xludf.DUMMYFUNCTION("""COMPUTED_VALUE"""),42242.66666666667)</f>
        <v>42242.66667</v>
      </c>
      <c r="B7506" s="1">
        <f>IFERROR(__xludf.DUMMYFUNCTION("""COMPUTED_VALUE"""),1872.75)</f>
        <v>1872.75</v>
      </c>
      <c r="C7506" s="1">
        <f>IFERROR(__xludf.DUMMYFUNCTION("""COMPUTED_VALUE"""),1943.09)</f>
        <v>1943.09</v>
      </c>
      <c r="D7506" s="1">
        <f>IFERROR(__xludf.DUMMYFUNCTION("""COMPUTED_VALUE"""),1872.75)</f>
        <v>1872.75</v>
      </c>
      <c r="E7506" s="1">
        <f>IFERROR(__xludf.DUMMYFUNCTION("""COMPUTED_VALUE"""),1940.51)</f>
        <v>1940.51</v>
      </c>
      <c r="F7506" s="1">
        <f>IFERROR(__xludf.DUMMYFUNCTION("""COMPUTED_VALUE"""),0.0)</f>
        <v>0</v>
      </c>
    </row>
    <row r="7507">
      <c r="A7507" s="2">
        <f>IFERROR(__xludf.DUMMYFUNCTION("""COMPUTED_VALUE"""),42243.66666666667)</f>
        <v>42243.66667</v>
      </c>
      <c r="B7507" s="1">
        <f>IFERROR(__xludf.DUMMYFUNCTION("""COMPUTED_VALUE"""),1942.77)</f>
        <v>1942.77</v>
      </c>
      <c r="C7507" s="1">
        <f>IFERROR(__xludf.DUMMYFUNCTION("""COMPUTED_VALUE"""),1989.6)</f>
        <v>1989.6</v>
      </c>
      <c r="D7507" s="1">
        <f>IFERROR(__xludf.DUMMYFUNCTION("""COMPUTED_VALUE"""),1942.77)</f>
        <v>1942.77</v>
      </c>
      <c r="E7507" s="1">
        <f>IFERROR(__xludf.DUMMYFUNCTION("""COMPUTED_VALUE"""),1987.66)</f>
        <v>1987.66</v>
      </c>
      <c r="F7507" s="1">
        <f>IFERROR(__xludf.DUMMYFUNCTION("""COMPUTED_VALUE"""),0.0)</f>
        <v>0</v>
      </c>
    </row>
    <row r="7508">
      <c r="A7508" s="2">
        <f>IFERROR(__xludf.DUMMYFUNCTION("""COMPUTED_VALUE"""),42244.66666666667)</f>
        <v>42244.66667</v>
      </c>
      <c r="B7508" s="1">
        <f>IFERROR(__xludf.DUMMYFUNCTION("""COMPUTED_VALUE"""),1986.06)</f>
        <v>1986.06</v>
      </c>
      <c r="C7508" s="1">
        <f>IFERROR(__xludf.DUMMYFUNCTION("""COMPUTED_VALUE"""),1993.48)</f>
        <v>1993.48</v>
      </c>
      <c r="D7508" s="1">
        <f>IFERROR(__xludf.DUMMYFUNCTION("""COMPUTED_VALUE"""),1975.19)</f>
        <v>1975.19</v>
      </c>
      <c r="E7508" s="1">
        <f>IFERROR(__xludf.DUMMYFUNCTION("""COMPUTED_VALUE"""),1988.87)</f>
        <v>1988.87</v>
      </c>
      <c r="F7508" s="1">
        <f>IFERROR(__xludf.DUMMYFUNCTION("""COMPUTED_VALUE"""),0.0)</f>
        <v>0</v>
      </c>
    </row>
    <row r="7509">
      <c r="A7509" s="2">
        <f>IFERROR(__xludf.DUMMYFUNCTION("""COMPUTED_VALUE"""),42247.66666666667)</f>
        <v>42247.66667</v>
      </c>
      <c r="B7509" s="1">
        <f>IFERROR(__xludf.DUMMYFUNCTION("""COMPUTED_VALUE"""),1986.73)</f>
        <v>1986.73</v>
      </c>
      <c r="C7509" s="1">
        <f>IFERROR(__xludf.DUMMYFUNCTION("""COMPUTED_VALUE"""),1986.73)</f>
        <v>1986.73</v>
      </c>
      <c r="D7509" s="1">
        <f>IFERROR(__xludf.DUMMYFUNCTION("""COMPUTED_VALUE"""),1965.98)</f>
        <v>1965.98</v>
      </c>
      <c r="E7509" s="1">
        <f>IFERROR(__xludf.DUMMYFUNCTION("""COMPUTED_VALUE"""),1972.18)</f>
        <v>1972.18</v>
      </c>
      <c r="F7509" s="1">
        <f>IFERROR(__xludf.DUMMYFUNCTION("""COMPUTED_VALUE"""),0.0)</f>
        <v>0</v>
      </c>
    </row>
    <row r="7510">
      <c r="A7510" s="2">
        <f>IFERROR(__xludf.DUMMYFUNCTION("""COMPUTED_VALUE"""),42248.66666666667)</f>
        <v>42248.66667</v>
      </c>
      <c r="B7510" s="1">
        <f>IFERROR(__xludf.DUMMYFUNCTION("""COMPUTED_VALUE"""),1970.09)</f>
        <v>1970.09</v>
      </c>
      <c r="C7510" s="1">
        <f>IFERROR(__xludf.DUMMYFUNCTION("""COMPUTED_VALUE"""),1970.09)</f>
        <v>1970.09</v>
      </c>
      <c r="D7510" s="1">
        <f>IFERROR(__xludf.DUMMYFUNCTION("""COMPUTED_VALUE"""),1903.07)</f>
        <v>1903.07</v>
      </c>
      <c r="E7510" s="1">
        <f>IFERROR(__xludf.DUMMYFUNCTION("""COMPUTED_VALUE"""),1913.85)</f>
        <v>1913.85</v>
      </c>
      <c r="F7510" s="1">
        <f>IFERROR(__xludf.DUMMYFUNCTION("""COMPUTED_VALUE"""),0.0)</f>
        <v>0</v>
      </c>
    </row>
    <row r="7511">
      <c r="A7511" s="2">
        <f>IFERROR(__xludf.DUMMYFUNCTION("""COMPUTED_VALUE"""),42249.66666666667)</f>
        <v>42249.66667</v>
      </c>
      <c r="B7511" s="1">
        <f>IFERROR(__xludf.DUMMYFUNCTION("""COMPUTED_VALUE"""),1916.52)</f>
        <v>1916.52</v>
      </c>
      <c r="C7511" s="1">
        <f>IFERROR(__xludf.DUMMYFUNCTION("""COMPUTED_VALUE"""),1948.91)</f>
        <v>1948.91</v>
      </c>
      <c r="D7511" s="1">
        <f>IFERROR(__xludf.DUMMYFUNCTION("""COMPUTED_VALUE"""),1916.52)</f>
        <v>1916.52</v>
      </c>
      <c r="E7511" s="1">
        <f>IFERROR(__xludf.DUMMYFUNCTION("""COMPUTED_VALUE"""),1948.86)</f>
        <v>1948.86</v>
      </c>
      <c r="F7511" s="1">
        <f>IFERROR(__xludf.DUMMYFUNCTION("""COMPUTED_VALUE"""),0.0)</f>
        <v>0</v>
      </c>
    </row>
    <row r="7512">
      <c r="A7512" s="2">
        <f>IFERROR(__xludf.DUMMYFUNCTION("""COMPUTED_VALUE"""),42250.66666666667)</f>
        <v>42250.66667</v>
      </c>
      <c r="B7512" s="1">
        <f>IFERROR(__xludf.DUMMYFUNCTION("""COMPUTED_VALUE"""),1950.79)</f>
        <v>1950.79</v>
      </c>
      <c r="C7512" s="1">
        <f>IFERROR(__xludf.DUMMYFUNCTION("""COMPUTED_VALUE"""),1975.01)</f>
        <v>1975.01</v>
      </c>
      <c r="D7512" s="1">
        <f>IFERROR(__xludf.DUMMYFUNCTION("""COMPUTED_VALUE"""),1944.72)</f>
        <v>1944.72</v>
      </c>
      <c r="E7512" s="1">
        <f>IFERROR(__xludf.DUMMYFUNCTION("""COMPUTED_VALUE"""),1951.13)</f>
        <v>1951.13</v>
      </c>
      <c r="F7512" s="1">
        <f>IFERROR(__xludf.DUMMYFUNCTION("""COMPUTED_VALUE"""),0.0)</f>
        <v>0</v>
      </c>
    </row>
    <row r="7513">
      <c r="A7513" s="2">
        <f>IFERROR(__xludf.DUMMYFUNCTION("""COMPUTED_VALUE"""),42251.66666666667)</f>
        <v>42251.66667</v>
      </c>
      <c r="B7513" s="1">
        <f>IFERROR(__xludf.DUMMYFUNCTION("""COMPUTED_VALUE"""),1947.76)</f>
        <v>1947.76</v>
      </c>
      <c r="C7513" s="1">
        <f>IFERROR(__xludf.DUMMYFUNCTION("""COMPUTED_VALUE"""),1947.76)</f>
        <v>1947.76</v>
      </c>
      <c r="D7513" s="1">
        <f>IFERROR(__xludf.DUMMYFUNCTION("""COMPUTED_VALUE"""),1911.21)</f>
        <v>1911.21</v>
      </c>
      <c r="E7513" s="1">
        <f>IFERROR(__xludf.DUMMYFUNCTION("""COMPUTED_VALUE"""),1921.22)</f>
        <v>1921.22</v>
      </c>
      <c r="F7513" s="1">
        <f>IFERROR(__xludf.DUMMYFUNCTION("""COMPUTED_VALUE"""),0.0)</f>
        <v>0</v>
      </c>
    </row>
    <row r="7514">
      <c r="A7514" s="2">
        <f>IFERROR(__xludf.DUMMYFUNCTION("""COMPUTED_VALUE"""),42255.66666666667)</f>
        <v>42255.66667</v>
      </c>
      <c r="B7514" s="1">
        <f>IFERROR(__xludf.DUMMYFUNCTION("""COMPUTED_VALUE"""),1927.3)</f>
        <v>1927.3</v>
      </c>
      <c r="C7514" s="1">
        <f>IFERROR(__xludf.DUMMYFUNCTION("""COMPUTED_VALUE"""),1970.42)</f>
        <v>1970.42</v>
      </c>
      <c r="D7514" s="1">
        <f>IFERROR(__xludf.DUMMYFUNCTION("""COMPUTED_VALUE"""),1927.3)</f>
        <v>1927.3</v>
      </c>
      <c r="E7514" s="1">
        <f>IFERROR(__xludf.DUMMYFUNCTION("""COMPUTED_VALUE"""),1969.41)</f>
        <v>1969.41</v>
      </c>
      <c r="F7514" s="1">
        <f>IFERROR(__xludf.DUMMYFUNCTION("""COMPUTED_VALUE"""),0.0)</f>
        <v>0</v>
      </c>
    </row>
    <row r="7515">
      <c r="A7515" s="2">
        <f>IFERROR(__xludf.DUMMYFUNCTION("""COMPUTED_VALUE"""),42256.66666666667)</f>
        <v>42256.66667</v>
      </c>
      <c r="B7515" s="1">
        <f>IFERROR(__xludf.DUMMYFUNCTION("""COMPUTED_VALUE"""),1971.45)</f>
        <v>1971.45</v>
      </c>
      <c r="C7515" s="1">
        <f>IFERROR(__xludf.DUMMYFUNCTION("""COMPUTED_VALUE"""),1988.63)</f>
        <v>1988.63</v>
      </c>
      <c r="D7515" s="1">
        <f>IFERROR(__xludf.DUMMYFUNCTION("""COMPUTED_VALUE"""),1937.88)</f>
        <v>1937.88</v>
      </c>
      <c r="E7515" s="1">
        <f>IFERROR(__xludf.DUMMYFUNCTION("""COMPUTED_VALUE"""),1942.04)</f>
        <v>1942.04</v>
      </c>
      <c r="F7515" s="1">
        <f>IFERROR(__xludf.DUMMYFUNCTION("""COMPUTED_VALUE"""),0.0)</f>
        <v>0</v>
      </c>
    </row>
    <row r="7516">
      <c r="A7516" s="2">
        <f>IFERROR(__xludf.DUMMYFUNCTION("""COMPUTED_VALUE"""),42257.66666666667)</f>
        <v>42257.66667</v>
      </c>
      <c r="B7516" s="1">
        <f>IFERROR(__xludf.DUMMYFUNCTION("""COMPUTED_VALUE"""),1941.59)</f>
        <v>1941.59</v>
      </c>
      <c r="C7516" s="1">
        <f>IFERROR(__xludf.DUMMYFUNCTION("""COMPUTED_VALUE"""),1965.29)</f>
        <v>1965.29</v>
      </c>
      <c r="D7516" s="1">
        <f>IFERROR(__xludf.DUMMYFUNCTION("""COMPUTED_VALUE"""),1937.19)</f>
        <v>1937.19</v>
      </c>
      <c r="E7516" s="1">
        <f>IFERROR(__xludf.DUMMYFUNCTION("""COMPUTED_VALUE"""),1952.29)</f>
        <v>1952.29</v>
      </c>
      <c r="F7516" s="1">
        <f>IFERROR(__xludf.DUMMYFUNCTION("""COMPUTED_VALUE"""),0.0)</f>
        <v>0</v>
      </c>
    </row>
    <row r="7517">
      <c r="A7517" s="2">
        <f>IFERROR(__xludf.DUMMYFUNCTION("""COMPUTED_VALUE"""),42258.66666666667)</f>
        <v>42258.66667</v>
      </c>
      <c r="B7517" s="1">
        <f>IFERROR(__xludf.DUMMYFUNCTION("""COMPUTED_VALUE"""),1951.45)</f>
        <v>1951.45</v>
      </c>
      <c r="C7517" s="1">
        <f>IFERROR(__xludf.DUMMYFUNCTION("""COMPUTED_VALUE"""),1961.05)</f>
        <v>1961.05</v>
      </c>
      <c r="D7517" s="1">
        <f>IFERROR(__xludf.DUMMYFUNCTION("""COMPUTED_VALUE"""),1939.19)</f>
        <v>1939.19</v>
      </c>
      <c r="E7517" s="1">
        <f>IFERROR(__xludf.DUMMYFUNCTION("""COMPUTED_VALUE"""),1961.05)</f>
        <v>1961.05</v>
      </c>
      <c r="F7517" s="1">
        <f>IFERROR(__xludf.DUMMYFUNCTION("""COMPUTED_VALUE"""),0.0)</f>
        <v>0</v>
      </c>
    </row>
    <row r="7518">
      <c r="A7518" s="2">
        <f>IFERROR(__xludf.DUMMYFUNCTION("""COMPUTED_VALUE"""),42261.66666666667)</f>
        <v>42261.66667</v>
      </c>
      <c r="B7518" s="1">
        <f>IFERROR(__xludf.DUMMYFUNCTION("""COMPUTED_VALUE"""),1963.06)</f>
        <v>1963.06</v>
      </c>
      <c r="C7518" s="1">
        <f>IFERROR(__xludf.DUMMYFUNCTION("""COMPUTED_VALUE"""),1963.06)</f>
        <v>1963.06</v>
      </c>
      <c r="D7518" s="1">
        <f>IFERROR(__xludf.DUMMYFUNCTION("""COMPUTED_VALUE"""),1948.27)</f>
        <v>1948.27</v>
      </c>
      <c r="E7518" s="1">
        <f>IFERROR(__xludf.DUMMYFUNCTION("""COMPUTED_VALUE"""),1953.03)</f>
        <v>1953.03</v>
      </c>
      <c r="F7518" s="1">
        <f>IFERROR(__xludf.DUMMYFUNCTION("""COMPUTED_VALUE"""),0.0)</f>
        <v>0</v>
      </c>
    </row>
    <row r="7519">
      <c r="A7519" s="2">
        <f>IFERROR(__xludf.DUMMYFUNCTION("""COMPUTED_VALUE"""),42262.66666666667)</f>
        <v>42262.66667</v>
      </c>
      <c r="B7519" s="1">
        <f>IFERROR(__xludf.DUMMYFUNCTION("""COMPUTED_VALUE"""),1955.1)</f>
        <v>1955.1</v>
      </c>
      <c r="C7519" s="1">
        <f>IFERROR(__xludf.DUMMYFUNCTION("""COMPUTED_VALUE"""),1983.19)</f>
        <v>1983.19</v>
      </c>
      <c r="D7519" s="1">
        <f>IFERROR(__xludf.DUMMYFUNCTION("""COMPUTED_VALUE"""),1954.3)</f>
        <v>1954.3</v>
      </c>
      <c r="E7519" s="1">
        <f>IFERROR(__xludf.DUMMYFUNCTION("""COMPUTED_VALUE"""),1978.09)</f>
        <v>1978.09</v>
      </c>
      <c r="F7519" s="1">
        <f>IFERROR(__xludf.DUMMYFUNCTION("""COMPUTED_VALUE"""),0.0)</f>
        <v>0</v>
      </c>
    </row>
    <row r="7520">
      <c r="A7520" s="2">
        <f>IFERROR(__xludf.DUMMYFUNCTION("""COMPUTED_VALUE"""),42263.66666666667)</f>
        <v>42263.66667</v>
      </c>
      <c r="B7520" s="1">
        <f>IFERROR(__xludf.DUMMYFUNCTION("""COMPUTED_VALUE"""),1978.02)</f>
        <v>1978.02</v>
      </c>
      <c r="C7520" s="1">
        <f>IFERROR(__xludf.DUMMYFUNCTION("""COMPUTED_VALUE"""),1997.26)</f>
        <v>1997.26</v>
      </c>
      <c r="D7520" s="1">
        <f>IFERROR(__xludf.DUMMYFUNCTION("""COMPUTED_VALUE"""),1977.93)</f>
        <v>1977.93</v>
      </c>
      <c r="E7520" s="1">
        <f>IFERROR(__xludf.DUMMYFUNCTION("""COMPUTED_VALUE"""),1995.31)</f>
        <v>1995.31</v>
      </c>
      <c r="F7520" s="1">
        <f>IFERROR(__xludf.DUMMYFUNCTION("""COMPUTED_VALUE"""),0.0)</f>
        <v>0</v>
      </c>
    </row>
    <row r="7521">
      <c r="A7521" s="2">
        <f>IFERROR(__xludf.DUMMYFUNCTION("""COMPUTED_VALUE"""),42264.66666666667)</f>
        <v>42264.66667</v>
      </c>
      <c r="B7521" s="1">
        <f>IFERROR(__xludf.DUMMYFUNCTION("""COMPUTED_VALUE"""),1995.33)</f>
        <v>1995.33</v>
      </c>
      <c r="C7521" s="1">
        <f>IFERROR(__xludf.DUMMYFUNCTION("""COMPUTED_VALUE"""),2020.86)</f>
        <v>2020.86</v>
      </c>
      <c r="D7521" s="1">
        <f>IFERROR(__xludf.DUMMYFUNCTION("""COMPUTED_VALUE"""),1986.73)</f>
        <v>1986.73</v>
      </c>
      <c r="E7521" s="1">
        <f>IFERROR(__xludf.DUMMYFUNCTION("""COMPUTED_VALUE"""),1990.2)</f>
        <v>1990.2</v>
      </c>
      <c r="F7521" s="1">
        <f>IFERROR(__xludf.DUMMYFUNCTION("""COMPUTED_VALUE"""),0.0)</f>
        <v>0</v>
      </c>
    </row>
    <row r="7522">
      <c r="A7522" s="2">
        <f>IFERROR(__xludf.DUMMYFUNCTION("""COMPUTED_VALUE"""),42265.66666666667)</f>
        <v>42265.66667</v>
      </c>
      <c r="B7522" s="1">
        <f>IFERROR(__xludf.DUMMYFUNCTION("""COMPUTED_VALUE"""),1989.66)</f>
        <v>1989.66</v>
      </c>
      <c r="C7522" s="1">
        <f>IFERROR(__xludf.DUMMYFUNCTION("""COMPUTED_VALUE"""),1989.66)</f>
        <v>1989.66</v>
      </c>
      <c r="D7522" s="1">
        <f>IFERROR(__xludf.DUMMYFUNCTION("""COMPUTED_VALUE"""),1953.45)</f>
        <v>1953.45</v>
      </c>
      <c r="E7522" s="1">
        <f>IFERROR(__xludf.DUMMYFUNCTION("""COMPUTED_VALUE"""),1958.03)</f>
        <v>1958.03</v>
      </c>
      <c r="F7522" s="1">
        <f>IFERROR(__xludf.DUMMYFUNCTION("""COMPUTED_VALUE"""),0.0)</f>
        <v>0</v>
      </c>
    </row>
    <row r="7523">
      <c r="A7523" s="2">
        <f>IFERROR(__xludf.DUMMYFUNCTION("""COMPUTED_VALUE"""),42268.66666666667)</f>
        <v>42268.66667</v>
      </c>
      <c r="B7523" s="1">
        <f>IFERROR(__xludf.DUMMYFUNCTION("""COMPUTED_VALUE"""),1960.84)</f>
        <v>1960.84</v>
      </c>
      <c r="C7523" s="1">
        <f>IFERROR(__xludf.DUMMYFUNCTION("""COMPUTED_VALUE"""),1979.64)</f>
        <v>1979.64</v>
      </c>
      <c r="D7523" s="1">
        <f>IFERROR(__xludf.DUMMYFUNCTION("""COMPUTED_VALUE"""),1955.8)</f>
        <v>1955.8</v>
      </c>
      <c r="E7523" s="1">
        <f>IFERROR(__xludf.DUMMYFUNCTION("""COMPUTED_VALUE"""),1966.97)</f>
        <v>1966.97</v>
      </c>
      <c r="F7523" s="1">
        <f>IFERROR(__xludf.DUMMYFUNCTION("""COMPUTED_VALUE"""),0.0)</f>
        <v>0</v>
      </c>
    </row>
    <row r="7524">
      <c r="A7524" s="2">
        <f>IFERROR(__xludf.DUMMYFUNCTION("""COMPUTED_VALUE"""),42269.66666666667)</f>
        <v>42269.66667</v>
      </c>
      <c r="B7524" s="1">
        <f>IFERROR(__xludf.DUMMYFUNCTION("""COMPUTED_VALUE"""),1961.39)</f>
        <v>1961.39</v>
      </c>
      <c r="C7524" s="1">
        <f>IFERROR(__xludf.DUMMYFUNCTION("""COMPUTED_VALUE"""),1961.39)</f>
        <v>1961.39</v>
      </c>
      <c r="D7524" s="1">
        <f>IFERROR(__xludf.DUMMYFUNCTION("""COMPUTED_VALUE"""),1929.22)</f>
        <v>1929.22</v>
      </c>
      <c r="E7524" s="1">
        <f>IFERROR(__xludf.DUMMYFUNCTION("""COMPUTED_VALUE"""),1942.74)</f>
        <v>1942.74</v>
      </c>
      <c r="F7524" s="1">
        <f>IFERROR(__xludf.DUMMYFUNCTION("""COMPUTED_VALUE"""),0.0)</f>
        <v>0</v>
      </c>
    </row>
    <row r="7525">
      <c r="A7525" s="2">
        <f>IFERROR(__xludf.DUMMYFUNCTION("""COMPUTED_VALUE"""),42270.66666666667)</f>
        <v>42270.66667</v>
      </c>
      <c r="B7525" s="1">
        <f>IFERROR(__xludf.DUMMYFUNCTION("""COMPUTED_VALUE"""),1943.24)</f>
        <v>1943.24</v>
      </c>
      <c r="C7525" s="1">
        <f>IFERROR(__xludf.DUMMYFUNCTION("""COMPUTED_VALUE"""),1949.52)</f>
        <v>1949.52</v>
      </c>
      <c r="D7525" s="1">
        <f>IFERROR(__xludf.DUMMYFUNCTION("""COMPUTED_VALUE"""),1932.57)</f>
        <v>1932.57</v>
      </c>
      <c r="E7525" s="1">
        <f>IFERROR(__xludf.DUMMYFUNCTION("""COMPUTED_VALUE"""),1938.76)</f>
        <v>1938.76</v>
      </c>
      <c r="F7525" s="1">
        <f>IFERROR(__xludf.DUMMYFUNCTION("""COMPUTED_VALUE"""),0.0)</f>
        <v>0</v>
      </c>
    </row>
    <row r="7526">
      <c r="A7526" s="2">
        <f>IFERROR(__xludf.DUMMYFUNCTION("""COMPUTED_VALUE"""),42271.66666666667)</f>
        <v>42271.66667</v>
      </c>
      <c r="B7526" s="1">
        <f>IFERROR(__xludf.DUMMYFUNCTION("""COMPUTED_VALUE"""),1934.81)</f>
        <v>1934.81</v>
      </c>
      <c r="C7526" s="1">
        <f>IFERROR(__xludf.DUMMYFUNCTION("""COMPUTED_VALUE"""),1937.17)</f>
        <v>1937.17</v>
      </c>
      <c r="D7526" s="1">
        <f>IFERROR(__xludf.DUMMYFUNCTION("""COMPUTED_VALUE"""),1908.92)</f>
        <v>1908.92</v>
      </c>
      <c r="E7526" s="1">
        <f>IFERROR(__xludf.DUMMYFUNCTION("""COMPUTED_VALUE"""),1932.24)</f>
        <v>1932.24</v>
      </c>
      <c r="F7526" s="1">
        <f>IFERROR(__xludf.DUMMYFUNCTION("""COMPUTED_VALUE"""),0.0)</f>
        <v>0</v>
      </c>
    </row>
    <row r="7527">
      <c r="A7527" s="2">
        <f>IFERROR(__xludf.DUMMYFUNCTION("""COMPUTED_VALUE"""),42272.66666666667)</f>
        <v>42272.66667</v>
      </c>
      <c r="B7527" s="1">
        <f>IFERROR(__xludf.DUMMYFUNCTION("""COMPUTED_VALUE"""),1935.93)</f>
        <v>1935.93</v>
      </c>
      <c r="C7527" s="1">
        <f>IFERROR(__xludf.DUMMYFUNCTION("""COMPUTED_VALUE"""),1952.89)</f>
        <v>1952.89</v>
      </c>
      <c r="D7527" s="1">
        <f>IFERROR(__xludf.DUMMYFUNCTION("""COMPUTED_VALUE"""),1921.5)</f>
        <v>1921.5</v>
      </c>
      <c r="E7527" s="1">
        <f>IFERROR(__xludf.DUMMYFUNCTION("""COMPUTED_VALUE"""),1931.34)</f>
        <v>1931.34</v>
      </c>
      <c r="F7527" s="1">
        <f>IFERROR(__xludf.DUMMYFUNCTION("""COMPUTED_VALUE"""),0.0)</f>
        <v>0</v>
      </c>
    </row>
    <row r="7528">
      <c r="A7528" s="2">
        <f>IFERROR(__xludf.DUMMYFUNCTION("""COMPUTED_VALUE"""),42275.66666666667)</f>
        <v>42275.66667</v>
      </c>
      <c r="B7528" s="1">
        <f>IFERROR(__xludf.DUMMYFUNCTION("""COMPUTED_VALUE"""),1929.18)</f>
        <v>1929.18</v>
      </c>
      <c r="C7528" s="1">
        <f>IFERROR(__xludf.DUMMYFUNCTION("""COMPUTED_VALUE"""),1929.18)</f>
        <v>1929.18</v>
      </c>
      <c r="D7528" s="1">
        <f>IFERROR(__xludf.DUMMYFUNCTION("""COMPUTED_VALUE"""),1879.21)</f>
        <v>1879.21</v>
      </c>
      <c r="E7528" s="1">
        <f>IFERROR(__xludf.DUMMYFUNCTION("""COMPUTED_VALUE"""),1881.77)</f>
        <v>1881.77</v>
      </c>
      <c r="F7528" s="1">
        <f>IFERROR(__xludf.DUMMYFUNCTION("""COMPUTED_VALUE"""),0.0)</f>
        <v>0</v>
      </c>
    </row>
    <row r="7529">
      <c r="A7529" s="2">
        <f>IFERROR(__xludf.DUMMYFUNCTION("""COMPUTED_VALUE"""),42276.66666666667)</f>
        <v>42276.66667</v>
      </c>
      <c r="B7529" s="1">
        <f>IFERROR(__xludf.DUMMYFUNCTION("""COMPUTED_VALUE"""),1881.9)</f>
        <v>1881.9</v>
      </c>
      <c r="C7529" s="1">
        <f>IFERROR(__xludf.DUMMYFUNCTION("""COMPUTED_VALUE"""),1899.48)</f>
        <v>1899.48</v>
      </c>
      <c r="D7529" s="1">
        <f>IFERROR(__xludf.DUMMYFUNCTION("""COMPUTED_VALUE"""),1871.91)</f>
        <v>1871.91</v>
      </c>
      <c r="E7529" s="1">
        <f>IFERROR(__xludf.DUMMYFUNCTION("""COMPUTED_VALUE"""),1884.09)</f>
        <v>1884.09</v>
      </c>
      <c r="F7529" s="1">
        <f>IFERROR(__xludf.DUMMYFUNCTION("""COMPUTED_VALUE"""),0.0)</f>
        <v>0</v>
      </c>
    </row>
    <row r="7530">
      <c r="A7530" s="2">
        <f>IFERROR(__xludf.DUMMYFUNCTION("""COMPUTED_VALUE"""),42277.66666666667)</f>
        <v>42277.66667</v>
      </c>
      <c r="B7530" s="1">
        <f>IFERROR(__xludf.DUMMYFUNCTION("""COMPUTED_VALUE"""),1887.14)</f>
        <v>1887.14</v>
      </c>
      <c r="C7530" s="1">
        <f>IFERROR(__xludf.DUMMYFUNCTION("""COMPUTED_VALUE"""),1920.53)</f>
        <v>1920.53</v>
      </c>
      <c r="D7530" s="1">
        <f>IFERROR(__xludf.DUMMYFUNCTION("""COMPUTED_VALUE"""),1887.14)</f>
        <v>1887.14</v>
      </c>
      <c r="E7530" s="1">
        <f>IFERROR(__xludf.DUMMYFUNCTION("""COMPUTED_VALUE"""),1920.03)</f>
        <v>1920.03</v>
      </c>
      <c r="F7530" s="1">
        <f>IFERROR(__xludf.DUMMYFUNCTION("""COMPUTED_VALUE"""),0.0)</f>
        <v>0</v>
      </c>
    </row>
    <row r="7531">
      <c r="A7531" s="2">
        <f>IFERROR(__xludf.DUMMYFUNCTION("""COMPUTED_VALUE"""),42278.66666666667)</f>
        <v>42278.66667</v>
      </c>
      <c r="B7531" s="1">
        <f>IFERROR(__xludf.DUMMYFUNCTION("""COMPUTED_VALUE"""),1919.65)</f>
        <v>1919.65</v>
      </c>
      <c r="C7531" s="1">
        <f>IFERROR(__xludf.DUMMYFUNCTION("""COMPUTED_VALUE"""),1927.21)</f>
        <v>1927.21</v>
      </c>
      <c r="D7531" s="1">
        <f>IFERROR(__xludf.DUMMYFUNCTION("""COMPUTED_VALUE"""),1900.7)</f>
        <v>1900.7</v>
      </c>
      <c r="E7531" s="1">
        <f>IFERROR(__xludf.DUMMYFUNCTION("""COMPUTED_VALUE"""),1923.82)</f>
        <v>1923.82</v>
      </c>
      <c r="F7531" s="1">
        <f>IFERROR(__xludf.DUMMYFUNCTION("""COMPUTED_VALUE"""),0.0)</f>
        <v>0</v>
      </c>
    </row>
    <row r="7532">
      <c r="A7532" s="2">
        <f>IFERROR(__xludf.DUMMYFUNCTION("""COMPUTED_VALUE"""),42279.66666666667)</f>
        <v>42279.66667</v>
      </c>
      <c r="B7532" s="1">
        <f>IFERROR(__xludf.DUMMYFUNCTION("""COMPUTED_VALUE"""),1921.77)</f>
        <v>1921.77</v>
      </c>
      <c r="C7532" s="1">
        <f>IFERROR(__xludf.DUMMYFUNCTION("""COMPUTED_VALUE"""),1951.36)</f>
        <v>1951.36</v>
      </c>
      <c r="D7532" s="1">
        <f>IFERROR(__xludf.DUMMYFUNCTION("""COMPUTED_VALUE"""),1893.7)</f>
        <v>1893.7</v>
      </c>
      <c r="E7532" s="1">
        <f>IFERROR(__xludf.DUMMYFUNCTION("""COMPUTED_VALUE"""),1951.36)</f>
        <v>1951.36</v>
      </c>
      <c r="F7532" s="1">
        <f>IFERROR(__xludf.DUMMYFUNCTION("""COMPUTED_VALUE"""),0.0)</f>
        <v>0</v>
      </c>
    </row>
    <row r="7533">
      <c r="A7533" s="2">
        <f>IFERROR(__xludf.DUMMYFUNCTION("""COMPUTED_VALUE"""),42282.66666666667)</f>
        <v>42282.66667</v>
      </c>
      <c r="B7533" s="1">
        <f>IFERROR(__xludf.DUMMYFUNCTION("""COMPUTED_VALUE"""),1954.33)</f>
        <v>1954.33</v>
      </c>
      <c r="C7533" s="1">
        <f>IFERROR(__xludf.DUMMYFUNCTION("""COMPUTED_VALUE"""),1989.17)</f>
        <v>1989.17</v>
      </c>
      <c r="D7533" s="1">
        <f>IFERROR(__xludf.DUMMYFUNCTION("""COMPUTED_VALUE"""),1954.33)</f>
        <v>1954.33</v>
      </c>
      <c r="E7533" s="1">
        <f>IFERROR(__xludf.DUMMYFUNCTION("""COMPUTED_VALUE"""),1987.05)</f>
        <v>1987.05</v>
      </c>
      <c r="F7533" s="1">
        <f>IFERROR(__xludf.DUMMYFUNCTION("""COMPUTED_VALUE"""),0.0)</f>
        <v>0</v>
      </c>
    </row>
    <row r="7534">
      <c r="A7534" s="2">
        <f>IFERROR(__xludf.DUMMYFUNCTION("""COMPUTED_VALUE"""),42283.66666666667)</f>
        <v>42283.66667</v>
      </c>
      <c r="B7534" s="1">
        <f>IFERROR(__xludf.DUMMYFUNCTION("""COMPUTED_VALUE"""),1986.63)</f>
        <v>1986.63</v>
      </c>
      <c r="C7534" s="1">
        <f>IFERROR(__xludf.DUMMYFUNCTION("""COMPUTED_VALUE"""),1991.62)</f>
        <v>1991.62</v>
      </c>
      <c r="D7534" s="1">
        <f>IFERROR(__xludf.DUMMYFUNCTION("""COMPUTED_VALUE"""),1971.99)</f>
        <v>1971.99</v>
      </c>
      <c r="E7534" s="1">
        <f>IFERROR(__xludf.DUMMYFUNCTION("""COMPUTED_VALUE"""),1979.92)</f>
        <v>1979.92</v>
      </c>
      <c r="F7534" s="1">
        <f>IFERROR(__xludf.DUMMYFUNCTION("""COMPUTED_VALUE"""),0.0)</f>
        <v>0</v>
      </c>
    </row>
    <row r="7535">
      <c r="A7535" s="2">
        <f>IFERROR(__xludf.DUMMYFUNCTION("""COMPUTED_VALUE"""),42284.66666666667)</f>
        <v>42284.66667</v>
      </c>
      <c r="B7535" s="1">
        <f>IFERROR(__xludf.DUMMYFUNCTION("""COMPUTED_VALUE"""),1982.34)</f>
        <v>1982.34</v>
      </c>
      <c r="C7535" s="1">
        <f>IFERROR(__xludf.DUMMYFUNCTION("""COMPUTED_VALUE"""),1999.31)</f>
        <v>1999.31</v>
      </c>
      <c r="D7535" s="1">
        <f>IFERROR(__xludf.DUMMYFUNCTION("""COMPUTED_VALUE"""),1976.44)</f>
        <v>1976.44</v>
      </c>
      <c r="E7535" s="1">
        <f>IFERROR(__xludf.DUMMYFUNCTION("""COMPUTED_VALUE"""),1995.83)</f>
        <v>1995.83</v>
      </c>
      <c r="F7535" s="1">
        <f>IFERROR(__xludf.DUMMYFUNCTION("""COMPUTED_VALUE"""),0.0)</f>
        <v>0</v>
      </c>
    </row>
    <row r="7536">
      <c r="A7536" s="2">
        <f>IFERROR(__xludf.DUMMYFUNCTION("""COMPUTED_VALUE"""),42285.66666666667)</f>
        <v>42285.66667</v>
      </c>
      <c r="B7536" s="1">
        <f>IFERROR(__xludf.DUMMYFUNCTION("""COMPUTED_VALUE"""),1994.01)</f>
        <v>1994.01</v>
      </c>
      <c r="C7536" s="1">
        <f>IFERROR(__xludf.DUMMYFUNCTION("""COMPUTED_VALUE"""),2016.5)</f>
        <v>2016.5</v>
      </c>
      <c r="D7536" s="1">
        <f>IFERROR(__xludf.DUMMYFUNCTION("""COMPUTED_VALUE"""),1987.53)</f>
        <v>1987.53</v>
      </c>
      <c r="E7536" s="1">
        <f>IFERROR(__xludf.DUMMYFUNCTION("""COMPUTED_VALUE"""),2013.43)</f>
        <v>2013.43</v>
      </c>
      <c r="F7536" s="1">
        <f>IFERROR(__xludf.DUMMYFUNCTION("""COMPUTED_VALUE"""),0.0)</f>
        <v>0</v>
      </c>
    </row>
    <row r="7537">
      <c r="A7537" s="2">
        <f>IFERROR(__xludf.DUMMYFUNCTION("""COMPUTED_VALUE"""),42286.66666666667)</f>
        <v>42286.66667</v>
      </c>
      <c r="B7537" s="1">
        <f>IFERROR(__xludf.DUMMYFUNCTION("""COMPUTED_VALUE"""),2013.73)</f>
        <v>2013.73</v>
      </c>
      <c r="C7537" s="1">
        <f>IFERROR(__xludf.DUMMYFUNCTION("""COMPUTED_VALUE"""),2020.13)</f>
        <v>2020.13</v>
      </c>
      <c r="D7537" s="1">
        <f>IFERROR(__xludf.DUMMYFUNCTION("""COMPUTED_VALUE"""),2007.61)</f>
        <v>2007.61</v>
      </c>
      <c r="E7537" s="1">
        <f>IFERROR(__xludf.DUMMYFUNCTION("""COMPUTED_VALUE"""),2014.89)</f>
        <v>2014.89</v>
      </c>
      <c r="F7537" s="1">
        <f>IFERROR(__xludf.DUMMYFUNCTION("""COMPUTED_VALUE"""),0.0)</f>
        <v>0</v>
      </c>
    </row>
    <row r="7538">
      <c r="A7538" s="2">
        <f>IFERROR(__xludf.DUMMYFUNCTION("""COMPUTED_VALUE"""),42289.66666666667)</f>
        <v>42289.66667</v>
      </c>
      <c r="B7538" s="1">
        <f>IFERROR(__xludf.DUMMYFUNCTION("""COMPUTED_VALUE"""),2015.65)</f>
        <v>2015.65</v>
      </c>
      <c r="C7538" s="1">
        <f>IFERROR(__xludf.DUMMYFUNCTION("""COMPUTED_VALUE"""),2018.66)</f>
        <v>2018.66</v>
      </c>
      <c r="D7538" s="1">
        <f>IFERROR(__xludf.DUMMYFUNCTION("""COMPUTED_VALUE"""),2010.55)</f>
        <v>2010.55</v>
      </c>
      <c r="E7538" s="1">
        <f>IFERROR(__xludf.DUMMYFUNCTION("""COMPUTED_VALUE"""),2017.46)</f>
        <v>2017.46</v>
      </c>
      <c r="F7538" s="1">
        <f>IFERROR(__xludf.DUMMYFUNCTION("""COMPUTED_VALUE"""),0.0)</f>
        <v>0</v>
      </c>
    </row>
    <row r="7539">
      <c r="A7539" s="2">
        <f>IFERROR(__xludf.DUMMYFUNCTION("""COMPUTED_VALUE"""),42290.66666666667)</f>
        <v>42290.66667</v>
      </c>
      <c r="B7539" s="1">
        <f>IFERROR(__xludf.DUMMYFUNCTION("""COMPUTED_VALUE"""),2015.0)</f>
        <v>2015</v>
      </c>
      <c r="C7539" s="1">
        <f>IFERROR(__xludf.DUMMYFUNCTION("""COMPUTED_VALUE"""),2022.34)</f>
        <v>2022.34</v>
      </c>
      <c r="D7539" s="1">
        <f>IFERROR(__xludf.DUMMYFUNCTION("""COMPUTED_VALUE"""),2001.78)</f>
        <v>2001.78</v>
      </c>
      <c r="E7539" s="1">
        <f>IFERROR(__xludf.DUMMYFUNCTION("""COMPUTED_VALUE"""),2003.69)</f>
        <v>2003.69</v>
      </c>
      <c r="F7539" s="1">
        <f>IFERROR(__xludf.DUMMYFUNCTION("""COMPUTED_VALUE"""),0.0)</f>
        <v>0</v>
      </c>
    </row>
    <row r="7540">
      <c r="A7540" s="2">
        <f>IFERROR(__xludf.DUMMYFUNCTION("""COMPUTED_VALUE"""),42291.66666666667)</f>
        <v>42291.66667</v>
      </c>
      <c r="B7540" s="1">
        <f>IFERROR(__xludf.DUMMYFUNCTION("""COMPUTED_VALUE"""),2003.66)</f>
        <v>2003.66</v>
      </c>
      <c r="C7540" s="1">
        <f>IFERROR(__xludf.DUMMYFUNCTION("""COMPUTED_VALUE"""),2009.56)</f>
        <v>2009.56</v>
      </c>
      <c r="D7540" s="1">
        <f>IFERROR(__xludf.DUMMYFUNCTION("""COMPUTED_VALUE"""),1990.73)</f>
        <v>1990.73</v>
      </c>
      <c r="E7540" s="1">
        <f>IFERROR(__xludf.DUMMYFUNCTION("""COMPUTED_VALUE"""),1994.24)</f>
        <v>1994.24</v>
      </c>
      <c r="F7540" s="1">
        <f>IFERROR(__xludf.DUMMYFUNCTION("""COMPUTED_VALUE"""),0.0)</f>
        <v>0</v>
      </c>
    </row>
    <row r="7541">
      <c r="A7541" s="2">
        <f>IFERROR(__xludf.DUMMYFUNCTION("""COMPUTED_VALUE"""),42292.66666666667)</f>
        <v>42292.66667</v>
      </c>
      <c r="B7541" s="1">
        <f>IFERROR(__xludf.DUMMYFUNCTION("""COMPUTED_VALUE"""),1996.47)</f>
        <v>1996.47</v>
      </c>
      <c r="C7541" s="1">
        <f>IFERROR(__xludf.DUMMYFUNCTION("""COMPUTED_VALUE"""),2024.15)</f>
        <v>2024.15</v>
      </c>
      <c r="D7541" s="1">
        <f>IFERROR(__xludf.DUMMYFUNCTION("""COMPUTED_VALUE"""),1996.47)</f>
        <v>1996.47</v>
      </c>
      <c r="E7541" s="1">
        <f>IFERROR(__xludf.DUMMYFUNCTION("""COMPUTED_VALUE"""),2023.86)</f>
        <v>2023.86</v>
      </c>
      <c r="F7541" s="1">
        <f>IFERROR(__xludf.DUMMYFUNCTION("""COMPUTED_VALUE"""),0.0)</f>
        <v>0</v>
      </c>
    </row>
    <row r="7542">
      <c r="A7542" s="2">
        <f>IFERROR(__xludf.DUMMYFUNCTION("""COMPUTED_VALUE"""),42293.66666666667)</f>
        <v>42293.66667</v>
      </c>
      <c r="B7542" s="1">
        <f>IFERROR(__xludf.DUMMYFUNCTION("""COMPUTED_VALUE"""),2024.37)</f>
        <v>2024.37</v>
      </c>
      <c r="C7542" s="1">
        <f>IFERROR(__xludf.DUMMYFUNCTION("""COMPUTED_VALUE"""),2033.54)</f>
        <v>2033.54</v>
      </c>
      <c r="D7542" s="1">
        <f>IFERROR(__xludf.DUMMYFUNCTION("""COMPUTED_VALUE"""),2020.46)</f>
        <v>2020.46</v>
      </c>
      <c r="E7542" s="1">
        <f>IFERROR(__xludf.DUMMYFUNCTION("""COMPUTED_VALUE"""),2033.11)</f>
        <v>2033.11</v>
      </c>
      <c r="F7542" s="1">
        <f>IFERROR(__xludf.DUMMYFUNCTION("""COMPUTED_VALUE"""),0.0)</f>
        <v>0</v>
      </c>
    </row>
    <row r="7543">
      <c r="A7543" s="2">
        <f>IFERROR(__xludf.DUMMYFUNCTION("""COMPUTED_VALUE"""),42296.66666666667)</f>
        <v>42296.66667</v>
      </c>
      <c r="B7543" s="1">
        <f>IFERROR(__xludf.DUMMYFUNCTION("""COMPUTED_VALUE"""),2031.73)</f>
        <v>2031.73</v>
      </c>
      <c r="C7543" s="1">
        <f>IFERROR(__xludf.DUMMYFUNCTION("""COMPUTED_VALUE"""),2034.45)</f>
        <v>2034.45</v>
      </c>
      <c r="D7543" s="1">
        <f>IFERROR(__xludf.DUMMYFUNCTION("""COMPUTED_VALUE"""),2022.31)</f>
        <v>2022.31</v>
      </c>
      <c r="E7543" s="1">
        <f>IFERROR(__xludf.DUMMYFUNCTION("""COMPUTED_VALUE"""),2033.66)</f>
        <v>2033.66</v>
      </c>
      <c r="F7543" s="1">
        <f>IFERROR(__xludf.DUMMYFUNCTION("""COMPUTED_VALUE"""),0.0)</f>
        <v>0</v>
      </c>
    </row>
    <row r="7544">
      <c r="A7544" s="2">
        <f>IFERROR(__xludf.DUMMYFUNCTION("""COMPUTED_VALUE"""),42297.66666666667)</f>
        <v>42297.66667</v>
      </c>
      <c r="B7544" s="1">
        <f>IFERROR(__xludf.DUMMYFUNCTION("""COMPUTED_VALUE"""),2033.13)</f>
        <v>2033.13</v>
      </c>
      <c r="C7544" s="1">
        <f>IFERROR(__xludf.DUMMYFUNCTION("""COMPUTED_VALUE"""),2039.12)</f>
        <v>2039.12</v>
      </c>
      <c r="D7544" s="1">
        <f>IFERROR(__xludf.DUMMYFUNCTION("""COMPUTED_VALUE"""),2026.61)</f>
        <v>2026.61</v>
      </c>
      <c r="E7544" s="1">
        <f>IFERROR(__xludf.DUMMYFUNCTION("""COMPUTED_VALUE"""),2030.77)</f>
        <v>2030.77</v>
      </c>
      <c r="F7544" s="1">
        <f>IFERROR(__xludf.DUMMYFUNCTION("""COMPUTED_VALUE"""),0.0)</f>
        <v>0</v>
      </c>
    </row>
    <row r="7545">
      <c r="A7545" s="2">
        <f>IFERROR(__xludf.DUMMYFUNCTION("""COMPUTED_VALUE"""),42298.66666666667)</f>
        <v>42298.66667</v>
      </c>
      <c r="B7545" s="1">
        <f>IFERROR(__xludf.DUMMYFUNCTION("""COMPUTED_VALUE"""),2033.47)</f>
        <v>2033.47</v>
      </c>
      <c r="C7545" s="1">
        <f>IFERROR(__xludf.DUMMYFUNCTION("""COMPUTED_VALUE"""),2037.97)</f>
        <v>2037.97</v>
      </c>
      <c r="D7545" s="1">
        <f>IFERROR(__xludf.DUMMYFUNCTION("""COMPUTED_VALUE"""),2017.22)</f>
        <v>2017.22</v>
      </c>
      <c r="E7545" s="1">
        <f>IFERROR(__xludf.DUMMYFUNCTION("""COMPUTED_VALUE"""),2018.94)</f>
        <v>2018.94</v>
      </c>
      <c r="F7545" s="1">
        <f>IFERROR(__xludf.DUMMYFUNCTION("""COMPUTED_VALUE"""),0.0)</f>
        <v>0</v>
      </c>
    </row>
    <row r="7546">
      <c r="A7546" s="2">
        <f>IFERROR(__xludf.DUMMYFUNCTION("""COMPUTED_VALUE"""),42299.66666666667)</f>
        <v>42299.66667</v>
      </c>
      <c r="B7546" s="1">
        <f>IFERROR(__xludf.DUMMYFUNCTION("""COMPUTED_VALUE"""),2021.88)</f>
        <v>2021.88</v>
      </c>
      <c r="C7546" s="1">
        <f>IFERROR(__xludf.DUMMYFUNCTION("""COMPUTED_VALUE"""),2055.2)</f>
        <v>2055.2</v>
      </c>
      <c r="D7546" s="1">
        <f>IFERROR(__xludf.DUMMYFUNCTION("""COMPUTED_VALUE"""),2021.88)</f>
        <v>2021.88</v>
      </c>
      <c r="E7546" s="1">
        <f>IFERROR(__xludf.DUMMYFUNCTION("""COMPUTED_VALUE"""),2052.51)</f>
        <v>2052.51</v>
      </c>
      <c r="F7546" s="1">
        <f>IFERROR(__xludf.DUMMYFUNCTION("""COMPUTED_VALUE"""),0.0)</f>
        <v>0</v>
      </c>
    </row>
    <row r="7547">
      <c r="A7547" s="2">
        <f>IFERROR(__xludf.DUMMYFUNCTION("""COMPUTED_VALUE"""),42300.66666666667)</f>
        <v>42300.66667</v>
      </c>
      <c r="B7547" s="1">
        <f>IFERROR(__xludf.DUMMYFUNCTION("""COMPUTED_VALUE"""),2058.19)</f>
        <v>2058.19</v>
      </c>
      <c r="C7547" s="1">
        <f>IFERROR(__xludf.DUMMYFUNCTION("""COMPUTED_VALUE"""),2079.74)</f>
        <v>2079.74</v>
      </c>
      <c r="D7547" s="1">
        <f>IFERROR(__xludf.DUMMYFUNCTION("""COMPUTED_VALUE"""),2058.19)</f>
        <v>2058.19</v>
      </c>
      <c r="E7547" s="1">
        <f>IFERROR(__xludf.DUMMYFUNCTION("""COMPUTED_VALUE"""),2075.15)</f>
        <v>2075.15</v>
      </c>
      <c r="F7547" s="1">
        <f>IFERROR(__xludf.DUMMYFUNCTION("""COMPUTED_VALUE"""),0.0)</f>
        <v>0</v>
      </c>
    </row>
    <row r="7548">
      <c r="A7548" s="2">
        <f>IFERROR(__xludf.DUMMYFUNCTION("""COMPUTED_VALUE"""),42303.66666666667)</f>
        <v>42303.66667</v>
      </c>
      <c r="B7548" s="1">
        <f>IFERROR(__xludf.DUMMYFUNCTION("""COMPUTED_VALUE"""),2075.08)</f>
        <v>2075.08</v>
      </c>
      <c r="C7548" s="1">
        <f>IFERROR(__xludf.DUMMYFUNCTION("""COMPUTED_VALUE"""),2075.14)</f>
        <v>2075.14</v>
      </c>
      <c r="D7548" s="1">
        <f>IFERROR(__xludf.DUMMYFUNCTION("""COMPUTED_VALUE"""),2066.53)</f>
        <v>2066.53</v>
      </c>
      <c r="E7548" s="1">
        <f>IFERROR(__xludf.DUMMYFUNCTION("""COMPUTED_VALUE"""),2071.18)</f>
        <v>2071.18</v>
      </c>
      <c r="F7548" s="1">
        <f>IFERROR(__xludf.DUMMYFUNCTION("""COMPUTED_VALUE"""),0.0)</f>
        <v>0</v>
      </c>
    </row>
    <row r="7549">
      <c r="A7549" s="2">
        <f>IFERROR(__xludf.DUMMYFUNCTION("""COMPUTED_VALUE"""),42304.66666666667)</f>
        <v>42304.66667</v>
      </c>
      <c r="B7549" s="1">
        <f>IFERROR(__xludf.DUMMYFUNCTION("""COMPUTED_VALUE"""),2068.75)</f>
        <v>2068.75</v>
      </c>
      <c r="C7549" s="1">
        <f>IFERROR(__xludf.DUMMYFUNCTION("""COMPUTED_VALUE"""),2070.37)</f>
        <v>2070.37</v>
      </c>
      <c r="D7549" s="1">
        <f>IFERROR(__xludf.DUMMYFUNCTION("""COMPUTED_VALUE"""),2058.84)</f>
        <v>2058.84</v>
      </c>
      <c r="E7549" s="1">
        <f>IFERROR(__xludf.DUMMYFUNCTION("""COMPUTED_VALUE"""),2065.89)</f>
        <v>2065.89</v>
      </c>
      <c r="F7549" s="1">
        <f>IFERROR(__xludf.DUMMYFUNCTION("""COMPUTED_VALUE"""),0.0)</f>
        <v>0</v>
      </c>
    </row>
    <row r="7550">
      <c r="A7550" s="2">
        <f>IFERROR(__xludf.DUMMYFUNCTION("""COMPUTED_VALUE"""),42305.66666666667)</f>
        <v>42305.66667</v>
      </c>
      <c r="B7550" s="1">
        <f>IFERROR(__xludf.DUMMYFUNCTION("""COMPUTED_VALUE"""),2066.48)</f>
        <v>2066.48</v>
      </c>
      <c r="C7550" s="1">
        <f>IFERROR(__xludf.DUMMYFUNCTION("""COMPUTED_VALUE"""),2090.35)</f>
        <v>2090.35</v>
      </c>
      <c r="D7550" s="1">
        <f>IFERROR(__xludf.DUMMYFUNCTION("""COMPUTED_VALUE"""),2063.11)</f>
        <v>2063.11</v>
      </c>
      <c r="E7550" s="1">
        <f>IFERROR(__xludf.DUMMYFUNCTION("""COMPUTED_VALUE"""),2090.35)</f>
        <v>2090.35</v>
      </c>
      <c r="F7550" s="1">
        <f>IFERROR(__xludf.DUMMYFUNCTION("""COMPUTED_VALUE"""),0.0)</f>
        <v>0</v>
      </c>
    </row>
    <row r="7551">
      <c r="A7551" s="2">
        <f>IFERROR(__xludf.DUMMYFUNCTION("""COMPUTED_VALUE"""),42306.66666666667)</f>
        <v>42306.66667</v>
      </c>
      <c r="B7551" s="1">
        <f>IFERROR(__xludf.DUMMYFUNCTION("""COMPUTED_VALUE"""),2088.35)</f>
        <v>2088.35</v>
      </c>
      <c r="C7551" s="1">
        <f>IFERROR(__xludf.DUMMYFUNCTION("""COMPUTED_VALUE"""),2092.52)</f>
        <v>2092.52</v>
      </c>
      <c r="D7551" s="1">
        <f>IFERROR(__xludf.DUMMYFUNCTION("""COMPUTED_VALUE"""),2082.63)</f>
        <v>2082.63</v>
      </c>
      <c r="E7551" s="1">
        <f>IFERROR(__xludf.DUMMYFUNCTION("""COMPUTED_VALUE"""),2089.41)</f>
        <v>2089.41</v>
      </c>
      <c r="F7551" s="1">
        <f>IFERROR(__xludf.DUMMYFUNCTION("""COMPUTED_VALUE"""),0.0)</f>
        <v>0</v>
      </c>
    </row>
    <row r="7552">
      <c r="A7552" s="2">
        <f>IFERROR(__xludf.DUMMYFUNCTION("""COMPUTED_VALUE"""),42307.66666666667)</f>
        <v>42307.66667</v>
      </c>
      <c r="B7552" s="1">
        <f>IFERROR(__xludf.DUMMYFUNCTION("""COMPUTED_VALUE"""),2090.0)</f>
        <v>2090</v>
      </c>
      <c r="C7552" s="1">
        <f>IFERROR(__xludf.DUMMYFUNCTION("""COMPUTED_VALUE"""),2094.32)</f>
        <v>2094.32</v>
      </c>
      <c r="D7552" s="1">
        <f>IFERROR(__xludf.DUMMYFUNCTION("""COMPUTED_VALUE"""),2079.34)</f>
        <v>2079.34</v>
      </c>
      <c r="E7552" s="1">
        <f>IFERROR(__xludf.DUMMYFUNCTION("""COMPUTED_VALUE"""),2079.36)</f>
        <v>2079.36</v>
      </c>
      <c r="F7552" s="1">
        <f>IFERROR(__xludf.DUMMYFUNCTION("""COMPUTED_VALUE"""),0.0)</f>
        <v>0</v>
      </c>
    </row>
    <row r="7553">
      <c r="A7553" s="2">
        <f>IFERROR(__xludf.DUMMYFUNCTION("""COMPUTED_VALUE"""),42310.66666666667)</f>
        <v>42310.66667</v>
      </c>
      <c r="B7553" s="1">
        <f>IFERROR(__xludf.DUMMYFUNCTION("""COMPUTED_VALUE"""),2080.76)</f>
        <v>2080.76</v>
      </c>
      <c r="C7553" s="1">
        <f>IFERROR(__xludf.DUMMYFUNCTION("""COMPUTED_VALUE"""),2106.2)</f>
        <v>2106.2</v>
      </c>
      <c r="D7553" s="1">
        <f>IFERROR(__xludf.DUMMYFUNCTION("""COMPUTED_VALUE"""),2080.76)</f>
        <v>2080.76</v>
      </c>
      <c r="E7553" s="1">
        <f>IFERROR(__xludf.DUMMYFUNCTION("""COMPUTED_VALUE"""),2104.05)</f>
        <v>2104.05</v>
      </c>
      <c r="F7553" s="1">
        <f>IFERROR(__xludf.DUMMYFUNCTION("""COMPUTED_VALUE"""),0.0)</f>
        <v>0</v>
      </c>
    </row>
    <row r="7554">
      <c r="A7554" s="2">
        <f>IFERROR(__xludf.DUMMYFUNCTION("""COMPUTED_VALUE"""),42311.66666666667)</f>
        <v>42311.66667</v>
      </c>
      <c r="B7554" s="1">
        <f>IFERROR(__xludf.DUMMYFUNCTION("""COMPUTED_VALUE"""),2102.63)</f>
        <v>2102.63</v>
      </c>
      <c r="C7554" s="1">
        <f>IFERROR(__xludf.DUMMYFUNCTION("""COMPUTED_VALUE"""),2116.48)</f>
        <v>2116.48</v>
      </c>
      <c r="D7554" s="1">
        <f>IFERROR(__xludf.DUMMYFUNCTION("""COMPUTED_VALUE"""),2097.51)</f>
        <v>2097.51</v>
      </c>
      <c r="E7554" s="1">
        <f>IFERROR(__xludf.DUMMYFUNCTION("""COMPUTED_VALUE"""),2109.79)</f>
        <v>2109.79</v>
      </c>
      <c r="F7554" s="1">
        <f>IFERROR(__xludf.DUMMYFUNCTION("""COMPUTED_VALUE"""),0.0)</f>
        <v>0</v>
      </c>
    </row>
    <row r="7555">
      <c r="A7555" s="2">
        <f>IFERROR(__xludf.DUMMYFUNCTION("""COMPUTED_VALUE"""),42312.66666666667)</f>
        <v>42312.66667</v>
      </c>
      <c r="B7555" s="1">
        <f>IFERROR(__xludf.DUMMYFUNCTION("""COMPUTED_VALUE"""),2110.6)</f>
        <v>2110.6</v>
      </c>
      <c r="C7555" s="1">
        <f>IFERROR(__xludf.DUMMYFUNCTION("""COMPUTED_VALUE"""),2114.59)</f>
        <v>2114.59</v>
      </c>
      <c r="D7555" s="1">
        <f>IFERROR(__xludf.DUMMYFUNCTION("""COMPUTED_VALUE"""),2096.98)</f>
        <v>2096.98</v>
      </c>
      <c r="E7555" s="1">
        <f>IFERROR(__xludf.DUMMYFUNCTION("""COMPUTED_VALUE"""),2102.31)</f>
        <v>2102.31</v>
      </c>
      <c r="F7555" s="1">
        <f>IFERROR(__xludf.DUMMYFUNCTION("""COMPUTED_VALUE"""),0.0)</f>
        <v>0</v>
      </c>
    </row>
    <row r="7556">
      <c r="A7556" s="2">
        <f>IFERROR(__xludf.DUMMYFUNCTION("""COMPUTED_VALUE"""),42313.66666666667)</f>
        <v>42313.66667</v>
      </c>
      <c r="B7556" s="1">
        <f>IFERROR(__xludf.DUMMYFUNCTION("""COMPUTED_VALUE"""),2101.68)</f>
        <v>2101.68</v>
      </c>
      <c r="C7556" s="1">
        <f>IFERROR(__xludf.DUMMYFUNCTION("""COMPUTED_VALUE"""),2108.78)</f>
        <v>2108.78</v>
      </c>
      <c r="D7556" s="1">
        <f>IFERROR(__xludf.DUMMYFUNCTION("""COMPUTED_VALUE"""),2090.41)</f>
        <v>2090.41</v>
      </c>
      <c r="E7556" s="1">
        <f>IFERROR(__xludf.DUMMYFUNCTION("""COMPUTED_VALUE"""),2099.93)</f>
        <v>2099.93</v>
      </c>
      <c r="F7556" s="1">
        <f>IFERROR(__xludf.DUMMYFUNCTION("""COMPUTED_VALUE"""),0.0)</f>
        <v>0</v>
      </c>
    </row>
    <row r="7557">
      <c r="A7557" s="2">
        <f>IFERROR(__xludf.DUMMYFUNCTION("""COMPUTED_VALUE"""),42314.66666666667)</f>
        <v>42314.66667</v>
      </c>
      <c r="B7557" s="1">
        <f>IFERROR(__xludf.DUMMYFUNCTION("""COMPUTED_VALUE"""),2098.6)</f>
        <v>2098.6</v>
      </c>
      <c r="C7557" s="1">
        <f>IFERROR(__xludf.DUMMYFUNCTION("""COMPUTED_VALUE"""),2101.91)</f>
        <v>2101.91</v>
      </c>
      <c r="D7557" s="1">
        <f>IFERROR(__xludf.DUMMYFUNCTION("""COMPUTED_VALUE"""),2083.74)</f>
        <v>2083.74</v>
      </c>
      <c r="E7557" s="1">
        <f>IFERROR(__xludf.DUMMYFUNCTION("""COMPUTED_VALUE"""),2099.2)</f>
        <v>2099.2</v>
      </c>
      <c r="F7557" s="1">
        <f>IFERROR(__xludf.DUMMYFUNCTION("""COMPUTED_VALUE"""),0.0)</f>
        <v>0</v>
      </c>
    </row>
    <row r="7558">
      <c r="A7558" s="2">
        <f>IFERROR(__xludf.DUMMYFUNCTION("""COMPUTED_VALUE"""),42317.66666666667)</f>
        <v>42317.66667</v>
      </c>
      <c r="B7558" s="1">
        <f>IFERROR(__xludf.DUMMYFUNCTION("""COMPUTED_VALUE"""),2096.56)</f>
        <v>2096.56</v>
      </c>
      <c r="C7558" s="1">
        <f>IFERROR(__xludf.DUMMYFUNCTION("""COMPUTED_VALUE"""),2096.56)</f>
        <v>2096.56</v>
      </c>
      <c r="D7558" s="1">
        <f>IFERROR(__xludf.DUMMYFUNCTION("""COMPUTED_VALUE"""),2068.24)</f>
        <v>2068.24</v>
      </c>
      <c r="E7558" s="1">
        <f>IFERROR(__xludf.DUMMYFUNCTION("""COMPUTED_VALUE"""),2078.58)</f>
        <v>2078.58</v>
      </c>
      <c r="F7558" s="1">
        <f>IFERROR(__xludf.DUMMYFUNCTION("""COMPUTED_VALUE"""),0.0)</f>
        <v>0</v>
      </c>
    </row>
    <row r="7559">
      <c r="A7559" s="2">
        <f>IFERROR(__xludf.DUMMYFUNCTION("""COMPUTED_VALUE"""),42318.66666666667)</f>
        <v>42318.66667</v>
      </c>
      <c r="B7559" s="1">
        <f>IFERROR(__xludf.DUMMYFUNCTION("""COMPUTED_VALUE"""),2077.19)</f>
        <v>2077.19</v>
      </c>
      <c r="C7559" s="1">
        <f>IFERROR(__xludf.DUMMYFUNCTION("""COMPUTED_VALUE"""),2083.67)</f>
        <v>2083.67</v>
      </c>
      <c r="D7559" s="1">
        <f>IFERROR(__xludf.DUMMYFUNCTION("""COMPUTED_VALUE"""),2069.91)</f>
        <v>2069.91</v>
      </c>
      <c r="E7559" s="1">
        <f>IFERROR(__xludf.DUMMYFUNCTION("""COMPUTED_VALUE"""),2081.72)</f>
        <v>2081.72</v>
      </c>
      <c r="F7559" s="1">
        <f>IFERROR(__xludf.DUMMYFUNCTION("""COMPUTED_VALUE"""),0.0)</f>
        <v>0</v>
      </c>
    </row>
    <row r="7560">
      <c r="A7560" s="2">
        <f>IFERROR(__xludf.DUMMYFUNCTION("""COMPUTED_VALUE"""),42319.66666666667)</f>
        <v>42319.66667</v>
      </c>
      <c r="B7560" s="1">
        <f>IFERROR(__xludf.DUMMYFUNCTION("""COMPUTED_VALUE"""),2083.41)</f>
        <v>2083.41</v>
      </c>
      <c r="C7560" s="1">
        <f>IFERROR(__xludf.DUMMYFUNCTION("""COMPUTED_VALUE"""),2086.94)</f>
        <v>2086.94</v>
      </c>
      <c r="D7560" s="1">
        <f>IFERROR(__xludf.DUMMYFUNCTION("""COMPUTED_VALUE"""),2074.85)</f>
        <v>2074.85</v>
      </c>
      <c r="E7560" s="1">
        <f>IFERROR(__xludf.DUMMYFUNCTION("""COMPUTED_VALUE"""),2075.0)</f>
        <v>2075</v>
      </c>
      <c r="F7560" s="1">
        <f>IFERROR(__xludf.DUMMYFUNCTION("""COMPUTED_VALUE"""),0.0)</f>
        <v>0</v>
      </c>
    </row>
    <row r="7561">
      <c r="A7561" s="2">
        <f>IFERROR(__xludf.DUMMYFUNCTION("""COMPUTED_VALUE"""),42320.66666666667)</f>
        <v>42320.66667</v>
      </c>
      <c r="B7561" s="1">
        <f>IFERROR(__xludf.DUMMYFUNCTION("""COMPUTED_VALUE"""),2072.29)</f>
        <v>2072.29</v>
      </c>
      <c r="C7561" s="1">
        <f>IFERROR(__xludf.DUMMYFUNCTION("""COMPUTED_VALUE"""),2072.29)</f>
        <v>2072.29</v>
      </c>
      <c r="D7561" s="1">
        <f>IFERROR(__xludf.DUMMYFUNCTION("""COMPUTED_VALUE"""),2045.66)</f>
        <v>2045.66</v>
      </c>
      <c r="E7561" s="1">
        <f>IFERROR(__xludf.DUMMYFUNCTION("""COMPUTED_VALUE"""),2045.97)</f>
        <v>2045.97</v>
      </c>
      <c r="F7561" s="1">
        <f>IFERROR(__xludf.DUMMYFUNCTION("""COMPUTED_VALUE"""),0.0)</f>
        <v>0</v>
      </c>
    </row>
    <row r="7562">
      <c r="A7562" s="2">
        <f>IFERROR(__xludf.DUMMYFUNCTION("""COMPUTED_VALUE"""),42321.66666666667)</f>
        <v>42321.66667</v>
      </c>
      <c r="B7562" s="1">
        <f>IFERROR(__xludf.DUMMYFUNCTION("""COMPUTED_VALUE"""),2044.64)</f>
        <v>2044.64</v>
      </c>
      <c r="C7562" s="1">
        <f>IFERROR(__xludf.DUMMYFUNCTION("""COMPUTED_VALUE"""),2044.64)</f>
        <v>2044.64</v>
      </c>
      <c r="D7562" s="1">
        <f>IFERROR(__xludf.DUMMYFUNCTION("""COMPUTED_VALUE"""),2022.02)</f>
        <v>2022.02</v>
      </c>
      <c r="E7562" s="1">
        <f>IFERROR(__xludf.DUMMYFUNCTION("""COMPUTED_VALUE"""),2023.04)</f>
        <v>2023.04</v>
      </c>
      <c r="F7562" s="1">
        <f>IFERROR(__xludf.DUMMYFUNCTION("""COMPUTED_VALUE"""),0.0)</f>
        <v>0</v>
      </c>
    </row>
    <row r="7563">
      <c r="A7563" s="2">
        <f>IFERROR(__xludf.DUMMYFUNCTION("""COMPUTED_VALUE"""),42324.66666666667)</f>
        <v>42324.66667</v>
      </c>
      <c r="B7563" s="1">
        <f>IFERROR(__xludf.DUMMYFUNCTION("""COMPUTED_VALUE"""),2022.08)</f>
        <v>2022.08</v>
      </c>
      <c r="C7563" s="1">
        <f>IFERROR(__xludf.DUMMYFUNCTION("""COMPUTED_VALUE"""),2053.22)</f>
        <v>2053.22</v>
      </c>
      <c r="D7563" s="1">
        <f>IFERROR(__xludf.DUMMYFUNCTION("""COMPUTED_VALUE"""),2019.39)</f>
        <v>2019.39</v>
      </c>
      <c r="E7563" s="1">
        <f>IFERROR(__xludf.DUMMYFUNCTION("""COMPUTED_VALUE"""),2053.19)</f>
        <v>2053.19</v>
      </c>
      <c r="F7563" s="1">
        <f>IFERROR(__xludf.DUMMYFUNCTION("""COMPUTED_VALUE"""),0.0)</f>
        <v>0</v>
      </c>
    </row>
    <row r="7564">
      <c r="A7564" s="2">
        <f>IFERROR(__xludf.DUMMYFUNCTION("""COMPUTED_VALUE"""),42325.66666666667)</f>
        <v>42325.66667</v>
      </c>
      <c r="B7564" s="1">
        <f>IFERROR(__xludf.DUMMYFUNCTION("""COMPUTED_VALUE"""),2053.67)</f>
        <v>2053.67</v>
      </c>
      <c r="C7564" s="1">
        <f>IFERROR(__xludf.DUMMYFUNCTION("""COMPUTED_VALUE"""),2066.69)</f>
        <v>2066.69</v>
      </c>
      <c r="D7564" s="1">
        <f>IFERROR(__xludf.DUMMYFUNCTION("""COMPUTED_VALUE"""),2045.9)</f>
        <v>2045.9</v>
      </c>
      <c r="E7564" s="1">
        <f>IFERROR(__xludf.DUMMYFUNCTION("""COMPUTED_VALUE"""),2050.44)</f>
        <v>2050.44</v>
      </c>
      <c r="F7564" s="1">
        <f>IFERROR(__xludf.DUMMYFUNCTION("""COMPUTED_VALUE"""),0.0)</f>
        <v>0</v>
      </c>
    </row>
    <row r="7565">
      <c r="A7565" s="2">
        <f>IFERROR(__xludf.DUMMYFUNCTION("""COMPUTED_VALUE"""),42326.66666666667)</f>
        <v>42326.66667</v>
      </c>
      <c r="B7565" s="1">
        <f>IFERROR(__xludf.DUMMYFUNCTION("""COMPUTED_VALUE"""),2051.99)</f>
        <v>2051.99</v>
      </c>
      <c r="C7565" s="1">
        <f>IFERROR(__xludf.DUMMYFUNCTION("""COMPUTED_VALUE"""),2085.31)</f>
        <v>2085.31</v>
      </c>
      <c r="D7565" s="1">
        <f>IFERROR(__xludf.DUMMYFUNCTION("""COMPUTED_VALUE"""),2051.99)</f>
        <v>2051.99</v>
      </c>
      <c r="E7565" s="1">
        <f>IFERROR(__xludf.DUMMYFUNCTION("""COMPUTED_VALUE"""),2083.58)</f>
        <v>2083.58</v>
      </c>
      <c r="F7565" s="1">
        <f>IFERROR(__xludf.DUMMYFUNCTION("""COMPUTED_VALUE"""),0.0)</f>
        <v>0</v>
      </c>
    </row>
    <row r="7566">
      <c r="A7566" s="2">
        <f>IFERROR(__xludf.DUMMYFUNCTION("""COMPUTED_VALUE"""),42327.66666666667)</f>
        <v>42327.66667</v>
      </c>
      <c r="B7566" s="1">
        <f>IFERROR(__xludf.DUMMYFUNCTION("""COMPUTED_VALUE"""),2083.7)</f>
        <v>2083.7</v>
      </c>
      <c r="C7566" s="1">
        <f>IFERROR(__xludf.DUMMYFUNCTION("""COMPUTED_VALUE"""),2086.74)</f>
        <v>2086.74</v>
      </c>
      <c r="D7566" s="1">
        <f>IFERROR(__xludf.DUMMYFUNCTION("""COMPUTED_VALUE"""),2078.76)</f>
        <v>2078.76</v>
      </c>
      <c r="E7566" s="1">
        <f>IFERROR(__xludf.DUMMYFUNCTION("""COMPUTED_VALUE"""),2081.24)</f>
        <v>2081.24</v>
      </c>
      <c r="F7566" s="1">
        <f>IFERROR(__xludf.DUMMYFUNCTION("""COMPUTED_VALUE"""),0.0)</f>
        <v>0</v>
      </c>
    </row>
    <row r="7567">
      <c r="A7567" s="2">
        <f>IFERROR(__xludf.DUMMYFUNCTION("""COMPUTED_VALUE"""),42328.66666666667)</f>
        <v>42328.66667</v>
      </c>
      <c r="B7567" s="1">
        <f>IFERROR(__xludf.DUMMYFUNCTION("""COMPUTED_VALUE"""),2082.82)</f>
        <v>2082.82</v>
      </c>
      <c r="C7567" s="1">
        <f>IFERROR(__xludf.DUMMYFUNCTION("""COMPUTED_VALUE"""),2097.06)</f>
        <v>2097.06</v>
      </c>
      <c r="D7567" s="1">
        <f>IFERROR(__xludf.DUMMYFUNCTION("""COMPUTED_VALUE"""),2082.82)</f>
        <v>2082.82</v>
      </c>
      <c r="E7567" s="1">
        <f>IFERROR(__xludf.DUMMYFUNCTION("""COMPUTED_VALUE"""),2089.17)</f>
        <v>2089.17</v>
      </c>
      <c r="F7567" s="1">
        <f>IFERROR(__xludf.DUMMYFUNCTION("""COMPUTED_VALUE"""),0.0)</f>
        <v>0</v>
      </c>
    </row>
    <row r="7568">
      <c r="A7568" s="2">
        <f>IFERROR(__xludf.DUMMYFUNCTION("""COMPUTED_VALUE"""),42331.66666666667)</f>
        <v>42331.66667</v>
      </c>
      <c r="B7568" s="1">
        <f>IFERROR(__xludf.DUMMYFUNCTION("""COMPUTED_VALUE"""),2089.41)</f>
        <v>2089.41</v>
      </c>
      <c r="C7568" s="1">
        <f>IFERROR(__xludf.DUMMYFUNCTION("""COMPUTED_VALUE"""),2095.61)</f>
        <v>2095.61</v>
      </c>
      <c r="D7568" s="1">
        <f>IFERROR(__xludf.DUMMYFUNCTION("""COMPUTED_VALUE"""),2081.39)</f>
        <v>2081.39</v>
      </c>
      <c r="E7568" s="1">
        <f>IFERROR(__xludf.DUMMYFUNCTION("""COMPUTED_VALUE"""),2086.59)</f>
        <v>2086.59</v>
      </c>
      <c r="F7568" s="1">
        <f>IFERROR(__xludf.DUMMYFUNCTION("""COMPUTED_VALUE"""),0.0)</f>
        <v>0</v>
      </c>
    </row>
    <row r="7569">
      <c r="A7569" s="2">
        <f>IFERROR(__xludf.DUMMYFUNCTION("""COMPUTED_VALUE"""),42332.66666666667)</f>
        <v>42332.66667</v>
      </c>
      <c r="B7569" s="1">
        <f>IFERROR(__xludf.DUMMYFUNCTION("""COMPUTED_VALUE"""),2084.42)</f>
        <v>2084.42</v>
      </c>
      <c r="C7569" s="1">
        <f>IFERROR(__xludf.DUMMYFUNCTION("""COMPUTED_VALUE"""),2094.12)</f>
        <v>2094.12</v>
      </c>
      <c r="D7569" s="1">
        <f>IFERROR(__xludf.DUMMYFUNCTION("""COMPUTED_VALUE"""),2070.29)</f>
        <v>2070.29</v>
      </c>
      <c r="E7569" s="1">
        <f>IFERROR(__xludf.DUMMYFUNCTION("""COMPUTED_VALUE"""),2089.14)</f>
        <v>2089.14</v>
      </c>
      <c r="F7569" s="1">
        <f>IFERROR(__xludf.DUMMYFUNCTION("""COMPUTED_VALUE"""),0.0)</f>
        <v>0</v>
      </c>
    </row>
    <row r="7570">
      <c r="A7570" s="2">
        <f>IFERROR(__xludf.DUMMYFUNCTION("""COMPUTED_VALUE"""),42333.66666666667)</f>
        <v>42333.66667</v>
      </c>
      <c r="B7570" s="1">
        <f>IFERROR(__xludf.DUMMYFUNCTION("""COMPUTED_VALUE"""),2089.3)</f>
        <v>2089.3</v>
      </c>
      <c r="C7570" s="1">
        <f>IFERROR(__xludf.DUMMYFUNCTION("""COMPUTED_VALUE"""),2093.0)</f>
        <v>2093</v>
      </c>
      <c r="D7570" s="1">
        <f>IFERROR(__xludf.DUMMYFUNCTION("""COMPUTED_VALUE"""),2086.3)</f>
        <v>2086.3</v>
      </c>
      <c r="E7570" s="1">
        <f>IFERROR(__xludf.DUMMYFUNCTION("""COMPUTED_VALUE"""),2088.87)</f>
        <v>2088.87</v>
      </c>
      <c r="F7570" s="1">
        <f>IFERROR(__xludf.DUMMYFUNCTION("""COMPUTED_VALUE"""),0.0)</f>
        <v>0</v>
      </c>
    </row>
    <row r="7571">
      <c r="A7571" s="2">
        <f>IFERROR(__xludf.DUMMYFUNCTION("""COMPUTED_VALUE"""),42335.66666666667)</f>
        <v>42335.66667</v>
      </c>
      <c r="B7571" s="1">
        <f>IFERROR(__xludf.DUMMYFUNCTION("""COMPUTED_VALUE"""),2088.82)</f>
        <v>2088.82</v>
      </c>
      <c r="C7571" s="1">
        <f>IFERROR(__xludf.DUMMYFUNCTION("""COMPUTED_VALUE"""),2093.29)</f>
        <v>2093.29</v>
      </c>
      <c r="D7571" s="1">
        <f>IFERROR(__xludf.DUMMYFUNCTION("""COMPUTED_VALUE"""),2084.13)</f>
        <v>2084.13</v>
      </c>
      <c r="E7571" s="1">
        <f>IFERROR(__xludf.DUMMYFUNCTION("""COMPUTED_VALUE"""),2090.11)</f>
        <v>2090.11</v>
      </c>
      <c r="F7571" s="1">
        <f>IFERROR(__xludf.DUMMYFUNCTION("""COMPUTED_VALUE"""),0.0)</f>
        <v>0</v>
      </c>
    </row>
    <row r="7572">
      <c r="A7572" s="2">
        <f>IFERROR(__xludf.DUMMYFUNCTION("""COMPUTED_VALUE"""),42338.66666666667)</f>
        <v>42338.66667</v>
      </c>
      <c r="B7572" s="1">
        <f>IFERROR(__xludf.DUMMYFUNCTION("""COMPUTED_VALUE"""),2090.95)</f>
        <v>2090.95</v>
      </c>
      <c r="C7572" s="1">
        <f>IFERROR(__xludf.DUMMYFUNCTION("""COMPUTED_VALUE"""),2093.81)</f>
        <v>2093.81</v>
      </c>
      <c r="D7572" s="1">
        <f>IFERROR(__xludf.DUMMYFUNCTION("""COMPUTED_VALUE"""),2080.41)</f>
        <v>2080.41</v>
      </c>
      <c r="E7572" s="1">
        <f>IFERROR(__xludf.DUMMYFUNCTION("""COMPUTED_VALUE"""),2080.41)</f>
        <v>2080.41</v>
      </c>
      <c r="F7572" s="1">
        <f>IFERROR(__xludf.DUMMYFUNCTION("""COMPUTED_VALUE"""),0.0)</f>
        <v>0</v>
      </c>
    </row>
    <row r="7573">
      <c r="A7573" s="2">
        <f>IFERROR(__xludf.DUMMYFUNCTION("""COMPUTED_VALUE"""),42339.66666666667)</f>
        <v>42339.66667</v>
      </c>
      <c r="B7573" s="1">
        <f>IFERROR(__xludf.DUMMYFUNCTION("""COMPUTED_VALUE"""),2082.93)</f>
        <v>2082.93</v>
      </c>
      <c r="C7573" s="1">
        <f>IFERROR(__xludf.DUMMYFUNCTION("""COMPUTED_VALUE"""),2103.37)</f>
        <v>2103.37</v>
      </c>
      <c r="D7573" s="1">
        <f>IFERROR(__xludf.DUMMYFUNCTION("""COMPUTED_VALUE"""),2082.93)</f>
        <v>2082.93</v>
      </c>
      <c r="E7573" s="1">
        <f>IFERROR(__xludf.DUMMYFUNCTION("""COMPUTED_VALUE"""),2102.63)</f>
        <v>2102.63</v>
      </c>
      <c r="F7573" s="1">
        <f>IFERROR(__xludf.DUMMYFUNCTION("""COMPUTED_VALUE"""),0.0)</f>
        <v>0</v>
      </c>
    </row>
    <row r="7574">
      <c r="A7574" s="2">
        <f>IFERROR(__xludf.DUMMYFUNCTION("""COMPUTED_VALUE"""),42340.66666666667)</f>
        <v>42340.66667</v>
      </c>
      <c r="B7574" s="1">
        <f>IFERROR(__xludf.DUMMYFUNCTION("""COMPUTED_VALUE"""),2101.71)</f>
        <v>2101.71</v>
      </c>
      <c r="C7574" s="1">
        <f>IFERROR(__xludf.DUMMYFUNCTION("""COMPUTED_VALUE"""),2104.27)</f>
        <v>2104.27</v>
      </c>
      <c r="D7574" s="1">
        <f>IFERROR(__xludf.DUMMYFUNCTION("""COMPUTED_VALUE"""),2077.11)</f>
        <v>2077.11</v>
      </c>
      <c r="E7574" s="1">
        <f>IFERROR(__xludf.DUMMYFUNCTION("""COMPUTED_VALUE"""),2079.51)</f>
        <v>2079.51</v>
      </c>
      <c r="F7574" s="1">
        <f>IFERROR(__xludf.DUMMYFUNCTION("""COMPUTED_VALUE"""),0.0)</f>
        <v>0</v>
      </c>
    </row>
    <row r="7575">
      <c r="A7575" s="2">
        <f>IFERROR(__xludf.DUMMYFUNCTION("""COMPUTED_VALUE"""),42341.66666666667)</f>
        <v>42341.66667</v>
      </c>
      <c r="B7575" s="1">
        <f>IFERROR(__xludf.DUMMYFUNCTION("""COMPUTED_VALUE"""),2080.71)</f>
        <v>2080.71</v>
      </c>
      <c r="C7575" s="1">
        <f>IFERROR(__xludf.DUMMYFUNCTION("""COMPUTED_VALUE"""),2085.0)</f>
        <v>2085</v>
      </c>
      <c r="D7575" s="1">
        <f>IFERROR(__xludf.DUMMYFUNCTION("""COMPUTED_VALUE"""),2042.35)</f>
        <v>2042.35</v>
      </c>
      <c r="E7575" s="1">
        <f>IFERROR(__xludf.DUMMYFUNCTION("""COMPUTED_VALUE"""),2049.62)</f>
        <v>2049.62</v>
      </c>
      <c r="F7575" s="1">
        <f>IFERROR(__xludf.DUMMYFUNCTION("""COMPUTED_VALUE"""),0.0)</f>
        <v>0</v>
      </c>
    </row>
    <row r="7576">
      <c r="A7576" s="2">
        <f>IFERROR(__xludf.DUMMYFUNCTION("""COMPUTED_VALUE"""),42342.66666666667)</f>
        <v>42342.66667</v>
      </c>
      <c r="B7576" s="1">
        <f>IFERROR(__xludf.DUMMYFUNCTION("""COMPUTED_VALUE"""),2051.24)</f>
        <v>2051.24</v>
      </c>
      <c r="C7576" s="1">
        <f>IFERROR(__xludf.DUMMYFUNCTION("""COMPUTED_VALUE"""),2093.84)</f>
        <v>2093.84</v>
      </c>
      <c r="D7576" s="1">
        <f>IFERROR(__xludf.DUMMYFUNCTION("""COMPUTED_VALUE"""),2051.24)</f>
        <v>2051.24</v>
      </c>
      <c r="E7576" s="1">
        <f>IFERROR(__xludf.DUMMYFUNCTION("""COMPUTED_VALUE"""),2091.69)</f>
        <v>2091.69</v>
      </c>
      <c r="F7576" s="1">
        <f>IFERROR(__xludf.DUMMYFUNCTION("""COMPUTED_VALUE"""),0.0)</f>
        <v>0</v>
      </c>
    </row>
    <row r="7577">
      <c r="A7577" s="2">
        <f>IFERROR(__xludf.DUMMYFUNCTION("""COMPUTED_VALUE"""),42345.66666666667)</f>
        <v>42345.66667</v>
      </c>
      <c r="B7577" s="1">
        <f>IFERROR(__xludf.DUMMYFUNCTION("""COMPUTED_VALUE"""),2090.42)</f>
        <v>2090.42</v>
      </c>
      <c r="C7577" s="1">
        <f>IFERROR(__xludf.DUMMYFUNCTION("""COMPUTED_VALUE"""),2090.42)</f>
        <v>2090.42</v>
      </c>
      <c r="D7577" s="1">
        <f>IFERROR(__xludf.DUMMYFUNCTION("""COMPUTED_VALUE"""),2066.78)</f>
        <v>2066.78</v>
      </c>
      <c r="E7577" s="1">
        <f>IFERROR(__xludf.DUMMYFUNCTION("""COMPUTED_VALUE"""),2077.07)</f>
        <v>2077.07</v>
      </c>
      <c r="F7577" s="1">
        <f>IFERROR(__xludf.DUMMYFUNCTION("""COMPUTED_VALUE"""),0.0)</f>
        <v>0</v>
      </c>
    </row>
    <row r="7578">
      <c r="A7578" s="2">
        <f>IFERROR(__xludf.DUMMYFUNCTION("""COMPUTED_VALUE"""),42346.66666666667)</f>
        <v>42346.66667</v>
      </c>
      <c r="B7578" s="1">
        <f>IFERROR(__xludf.DUMMYFUNCTION("""COMPUTED_VALUE"""),2073.39)</f>
        <v>2073.39</v>
      </c>
      <c r="C7578" s="1">
        <f>IFERROR(__xludf.DUMMYFUNCTION("""COMPUTED_VALUE"""),2073.85)</f>
        <v>2073.85</v>
      </c>
      <c r="D7578" s="1">
        <f>IFERROR(__xludf.DUMMYFUNCTION("""COMPUTED_VALUE"""),2052.32)</f>
        <v>2052.32</v>
      </c>
      <c r="E7578" s="1">
        <f>IFERROR(__xludf.DUMMYFUNCTION("""COMPUTED_VALUE"""),2063.59)</f>
        <v>2063.59</v>
      </c>
      <c r="F7578" s="1">
        <f>IFERROR(__xludf.DUMMYFUNCTION("""COMPUTED_VALUE"""),0.0)</f>
        <v>0</v>
      </c>
    </row>
    <row r="7579">
      <c r="A7579" s="2">
        <f>IFERROR(__xludf.DUMMYFUNCTION("""COMPUTED_VALUE"""),42347.66666666667)</f>
        <v>42347.66667</v>
      </c>
      <c r="B7579" s="1">
        <f>IFERROR(__xludf.DUMMYFUNCTION("""COMPUTED_VALUE"""),2061.17)</f>
        <v>2061.17</v>
      </c>
      <c r="C7579" s="1">
        <f>IFERROR(__xludf.DUMMYFUNCTION("""COMPUTED_VALUE"""),2080.33)</f>
        <v>2080.33</v>
      </c>
      <c r="D7579" s="1">
        <f>IFERROR(__xludf.DUMMYFUNCTION("""COMPUTED_VALUE"""),2036.53)</f>
        <v>2036.53</v>
      </c>
      <c r="E7579" s="1">
        <f>IFERROR(__xludf.DUMMYFUNCTION("""COMPUTED_VALUE"""),2047.62)</f>
        <v>2047.62</v>
      </c>
      <c r="F7579" s="1">
        <f>IFERROR(__xludf.DUMMYFUNCTION("""COMPUTED_VALUE"""),0.0)</f>
        <v>0</v>
      </c>
    </row>
    <row r="7580">
      <c r="A7580" s="2">
        <f>IFERROR(__xludf.DUMMYFUNCTION("""COMPUTED_VALUE"""),42348.66666666667)</f>
        <v>42348.66667</v>
      </c>
      <c r="B7580" s="1">
        <f>IFERROR(__xludf.DUMMYFUNCTION("""COMPUTED_VALUE"""),2047.93)</f>
        <v>2047.93</v>
      </c>
      <c r="C7580" s="1">
        <f>IFERROR(__xludf.DUMMYFUNCTION("""COMPUTED_VALUE"""),2067.65)</f>
        <v>2067.65</v>
      </c>
      <c r="D7580" s="1">
        <f>IFERROR(__xludf.DUMMYFUNCTION("""COMPUTED_VALUE"""),2045.67)</f>
        <v>2045.67</v>
      </c>
      <c r="E7580" s="1">
        <f>IFERROR(__xludf.DUMMYFUNCTION("""COMPUTED_VALUE"""),2052.23)</f>
        <v>2052.23</v>
      </c>
      <c r="F7580" s="1">
        <f>IFERROR(__xludf.DUMMYFUNCTION("""COMPUTED_VALUE"""),0.0)</f>
        <v>0</v>
      </c>
    </row>
    <row r="7581">
      <c r="A7581" s="2">
        <f>IFERROR(__xludf.DUMMYFUNCTION("""COMPUTED_VALUE"""),42349.66666666667)</f>
        <v>42349.66667</v>
      </c>
      <c r="B7581" s="1">
        <f>IFERROR(__xludf.DUMMYFUNCTION("""COMPUTED_VALUE"""),2047.27)</f>
        <v>2047.27</v>
      </c>
      <c r="C7581" s="1">
        <f>IFERROR(__xludf.DUMMYFUNCTION("""COMPUTED_VALUE"""),2047.27)</f>
        <v>2047.27</v>
      </c>
      <c r="D7581" s="1">
        <f>IFERROR(__xludf.DUMMYFUNCTION("""COMPUTED_VALUE"""),2008.8)</f>
        <v>2008.8</v>
      </c>
      <c r="E7581" s="1">
        <f>IFERROR(__xludf.DUMMYFUNCTION("""COMPUTED_VALUE"""),2012.37)</f>
        <v>2012.37</v>
      </c>
      <c r="F7581" s="1">
        <f>IFERROR(__xludf.DUMMYFUNCTION("""COMPUTED_VALUE"""),0.0)</f>
        <v>0</v>
      </c>
    </row>
    <row r="7582">
      <c r="A7582" s="2">
        <f>IFERROR(__xludf.DUMMYFUNCTION("""COMPUTED_VALUE"""),42352.66666666667)</f>
        <v>42352.66667</v>
      </c>
      <c r="B7582" s="1">
        <f>IFERROR(__xludf.DUMMYFUNCTION("""COMPUTED_VALUE"""),2013.37)</f>
        <v>2013.37</v>
      </c>
      <c r="C7582" s="1">
        <f>IFERROR(__xludf.DUMMYFUNCTION("""COMPUTED_VALUE"""),2022.92)</f>
        <v>2022.92</v>
      </c>
      <c r="D7582" s="1">
        <f>IFERROR(__xludf.DUMMYFUNCTION("""COMPUTED_VALUE"""),1993.26)</f>
        <v>1993.26</v>
      </c>
      <c r="E7582" s="1">
        <f>IFERROR(__xludf.DUMMYFUNCTION("""COMPUTED_VALUE"""),2021.94)</f>
        <v>2021.94</v>
      </c>
      <c r="F7582" s="1">
        <f>IFERROR(__xludf.DUMMYFUNCTION("""COMPUTED_VALUE"""),0.0)</f>
        <v>0</v>
      </c>
    </row>
    <row r="7583">
      <c r="A7583" s="2">
        <f>IFERROR(__xludf.DUMMYFUNCTION("""COMPUTED_VALUE"""),42353.66666666667)</f>
        <v>42353.66667</v>
      </c>
      <c r="B7583" s="1">
        <f>IFERROR(__xludf.DUMMYFUNCTION("""COMPUTED_VALUE"""),2025.55)</f>
        <v>2025.55</v>
      </c>
      <c r="C7583" s="1">
        <f>IFERROR(__xludf.DUMMYFUNCTION("""COMPUTED_VALUE"""),2053.87)</f>
        <v>2053.87</v>
      </c>
      <c r="D7583" s="1">
        <f>IFERROR(__xludf.DUMMYFUNCTION("""COMPUTED_VALUE"""),2025.55)</f>
        <v>2025.55</v>
      </c>
      <c r="E7583" s="1">
        <f>IFERROR(__xludf.DUMMYFUNCTION("""COMPUTED_VALUE"""),2043.41)</f>
        <v>2043.41</v>
      </c>
      <c r="F7583" s="1">
        <f>IFERROR(__xludf.DUMMYFUNCTION("""COMPUTED_VALUE"""),0.0)</f>
        <v>0</v>
      </c>
    </row>
    <row r="7584">
      <c r="A7584" s="2">
        <f>IFERROR(__xludf.DUMMYFUNCTION("""COMPUTED_VALUE"""),42354.66666666667)</f>
        <v>42354.66667</v>
      </c>
      <c r="B7584" s="1">
        <f>IFERROR(__xludf.DUMMYFUNCTION("""COMPUTED_VALUE"""),2046.5)</f>
        <v>2046.5</v>
      </c>
      <c r="C7584" s="1">
        <f>IFERROR(__xludf.DUMMYFUNCTION("""COMPUTED_VALUE"""),2076.72)</f>
        <v>2076.72</v>
      </c>
      <c r="D7584" s="1">
        <f>IFERROR(__xludf.DUMMYFUNCTION("""COMPUTED_VALUE"""),2042.43)</f>
        <v>2042.43</v>
      </c>
      <c r="E7584" s="1">
        <f>IFERROR(__xludf.DUMMYFUNCTION("""COMPUTED_VALUE"""),2073.07)</f>
        <v>2073.07</v>
      </c>
      <c r="F7584" s="1">
        <f>IFERROR(__xludf.DUMMYFUNCTION("""COMPUTED_VALUE"""),0.0)</f>
        <v>0</v>
      </c>
    </row>
    <row r="7585">
      <c r="A7585" s="2">
        <f>IFERROR(__xludf.DUMMYFUNCTION("""COMPUTED_VALUE"""),42355.66666666667)</f>
        <v>42355.66667</v>
      </c>
      <c r="B7585" s="1">
        <f>IFERROR(__xludf.DUMMYFUNCTION("""COMPUTED_VALUE"""),2073.76)</f>
        <v>2073.76</v>
      </c>
      <c r="C7585" s="1">
        <f>IFERROR(__xludf.DUMMYFUNCTION("""COMPUTED_VALUE"""),2076.37)</f>
        <v>2076.37</v>
      </c>
      <c r="D7585" s="1">
        <f>IFERROR(__xludf.DUMMYFUNCTION("""COMPUTED_VALUE"""),2041.66)</f>
        <v>2041.66</v>
      </c>
      <c r="E7585" s="1">
        <f>IFERROR(__xludf.DUMMYFUNCTION("""COMPUTED_VALUE"""),2041.89)</f>
        <v>2041.89</v>
      </c>
      <c r="F7585" s="1">
        <f>IFERROR(__xludf.DUMMYFUNCTION("""COMPUTED_VALUE"""),0.0)</f>
        <v>0</v>
      </c>
    </row>
    <row r="7586">
      <c r="A7586" s="2">
        <f>IFERROR(__xludf.DUMMYFUNCTION("""COMPUTED_VALUE"""),42356.66666666667)</f>
        <v>42356.66667</v>
      </c>
      <c r="B7586" s="1">
        <f>IFERROR(__xludf.DUMMYFUNCTION("""COMPUTED_VALUE"""),2040.81)</f>
        <v>2040.81</v>
      </c>
      <c r="C7586" s="1">
        <f>IFERROR(__xludf.DUMMYFUNCTION("""COMPUTED_VALUE"""),2040.81)</f>
        <v>2040.81</v>
      </c>
      <c r="D7586" s="1">
        <f>IFERROR(__xludf.DUMMYFUNCTION("""COMPUTED_VALUE"""),2005.33)</f>
        <v>2005.33</v>
      </c>
      <c r="E7586" s="1">
        <f>IFERROR(__xludf.DUMMYFUNCTION("""COMPUTED_VALUE"""),2005.55)</f>
        <v>2005.55</v>
      </c>
      <c r="F7586" s="1">
        <f>IFERROR(__xludf.DUMMYFUNCTION("""COMPUTED_VALUE"""),0.0)</f>
        <v>0</v>
      </c>
    </row>
    <row r="7587">
      <c r="A7587" s="2">
        <f>IFERROR(__xludf.DUMMYFUNCTION("""COMPUTED_VALUE"""),42359.66666666667)</f>
        <v>42359.66667</v>
      </c>
      <c r="B7587" s="1">
        <f>IFERROR(__xludf.DUMMYFUNCTION("""COMPUTED_VALUE"""),2010.27)</f>
        <v>2010.27</v>
      </c>
      <c r="C7587" s="1">
        <f>IFERROR(__xludf.DUMMYFUNCTION("""COMPUTED_VALUE"""),2022.9)</f>
        <v>2022.9</v>
      </c>
      <c r="D7587" s="1">
        <f>IFERROR(__xludf.DUMMYFUNCTION("""COMPUTED_VALUE"""),2005.93)</f>
        <v>2005.93</v>
      </c>
      <c r="E7587" s="1">
        <f>IFERROR(__xludf.DUMMYFUNCTION("""COMPUTED_VALUE"""),2021.15)</f>
        <v>2021.15</v>
      </c>
      <c r="F7587" s="1">
        <f>IFERROR(__xludf.DUMMYFUNCTION("""COMPUTED_VALUE"""),0.0)</f>
        <v>0</v>
      </c>
    </row>
    <row r="7588">
      <c r="A7588" s="2">
        <f>IFERROR(__xludf.DUMMYFUNCTION("""COMPUTED_VALUE"""),42360.66666666667)</f>
        <v>42360.66667</v>
      </c>
      <c r="B7588" s="1">
        <f>IFERROR(__xludf.DUMMYFUNCTION("""COMPUTED_VALUE"""),2023.15)</f>
        <v>2023.15</v>
      </c>
      <c r="C7588" s="1">
        <f>IFERROR(__xludf.DUMMYFUNCTION("""COMPUTED_VALUE"""),2042.74)</f>
        <v>2042.74</v>
      </c>
      <c r="D7588" s="1">
        <f>IFERROR(__xludf.DUMMYFUNCTION("""COMPUTED_VALUE"""),2020.49)</f>
        <v>2020.49</v>
      </c>
      <c r="E7588" s="1">
        <f>IFERROR(__xludf.DUMMYFUNCTION("""COMPUTED_VALUE"""),2038.97)</f>
        <v>2038.97</v>
      </c>
      <c r="F7588" s="1">
        <f>IFERROR(__xludf.DUMMYFUNCTION("""COMPUTED_VALUE"""),0.0)</f>
        <v>0</v>
      </c>
    </row>
    <row r="7589">
      <c r="A7589" s="2">
        <f>IFERROR(__xludf.DUMMYFUNCTION("""COMPUTED_VALUE"""),42361.66666666667)</f>
        <v>42361.66667</v>
      </c>
      <c r="B7589" s="1">
        <f>IFERROR(__xludf.DUMMYFUNCTION("""COMPUTED_VALUE"""),2042.2)</f>
        <v>2042.2</v>
      </c>
      <c r="C7589" s="1">
        <f>IFERROR(__xludf.DUMMYFUNCTION("""COMPUTED_VALUE"""),2064.73)</f>
        <v>2064.73</v>
      </c>
      <c r="D7589" s="1">
        <f>IFERROR(__xludf.DUMMYFUNCTION("""COMPUTED_VALUE"""),2042.2)</f>
        <v>2042.2</v>
      </c>
      <c r="E7589" s="1">
        <f>IFERROR(__xludf.DUMMYFUNCTION("""COMPUTED_VALUE"""),2064.29)</f>
        <v>2064.29</v>
      </c>
      <c r="F7589" s="1">
        <f>IFERROR(__xludf.DUMMYFUNCTION("""COMPUTED_VALUE"""),0.0)</f>
        <v>0</v>
      </c>
    </row>
    <row r="7590">
      <c r="A7590" s="2">
        <f>IFERROR(__xludf.DUMMYFUNCTION("""COMPUTED_VALUE"""),42362.66666666667)</f>
        <v>42362.66667</v>
      </c>
      <c r="B7590" s="1">
        <f>IFERROR(__xludf.DUMMYFUNCTION("""COMPUTED_VALUE"""),2063.52)</f>
        <v>2063.52</v>
      </c>
      <c r="C7590" s="1">
        <f>IFERROR(__xludf.DUMMYFUNCTION("""COMPUTED_VALUE"""),2067.36)</f>
        <v>2067.36</v>
      </c>
      <c r="D7590" s="1">
        <f>IFERROR(__xludf.DUMMYFUNCTION("""COMPUTED_VALUE"""),2058.73)</f>
        <v>2058.73</v>
      </c>
      <c r="E7590" s="1">
        <f>IFERROR(__xludf.DUMMYFUNCTION("""COMPUTED_VALUE"""),2060.99)</f>
        <v>2060.99</v>
      </c>
      <c r="F7590" s="1">
        <f>IFERROR(__xludf.DUMMYFUNCTION("""COMPUTED_VALUE"""),0.0)</f>
        <v>0</v>
      </c>
    </row>
    <row r="7591">
      <c r="A7591" s="2">
        <f>IFERROR(__xludf.DUMMYFUNCTION("""COMPUTED_VALUE"""),42366.66666666667)</f>
        <v>42366.66667</v>
      </c>
      <c r="B7591" s="1">
        <f>IFERROR(__xludf.DUMMYFUNCTION("""COMPUTED_VALUE"""),2057.77)</f>
        <v>2057.77</v>
      </c>
      <c r="C7591" s="1">
        <f>IFERROR(__xludf.DUMMYFUNCTION("""COMPUTED_VALUE"""),2057.77)</f>
        <v>2057.77</v>
      </c>
      <c r="D7591" s="1">
        <f>IFERROR(__xludf.DUMMYFUNCTION("""COMPUTED_VALUE"""),2044.2)</f>
        <v>2044.2</v>
      </c>
      <c r="E7591" s="1">
        <f>IFERROR(__xludf.DUMMYFUNCTION("""COMPUTED_VALUE"""),2056.5)</f>
        <v>2056.5</v>
      </c>
      <c r="F7591" s="1">
        <f>IFERROR(__xludf.DUMMYFUNCTION("""COMPUTED_VALUE"""),0.0)</f>
        <v>0</v>
      </c>
    </row>
    <row r="7592">
      <c r="A7592" s="2">
        <f>IFERROR(__xludf.DUMMYFUNCTION("""COMPUTED_VALUE"""),42367.66666666667)</f>
        <v>42367.66667</v>
      </c>
      <c r="B7592" s="1">
        <f>IFERROR(__xludf.DUMMYFUNCTION("""COMPUTED_VALUE"""),2060.54)</f>
        <v>2060.54</v>
      </c>
      <c r="C7592" s="1">
        <f>IFERROR(__xludf.DUMMYFUNCTION("""COMPUTED_VALUE"""),2081.56)</f>
        <v>2081.56</v>
      </c>
      <c r="D7592" s="1">
        <f>IFERROR(__xludf.DUMMYFUNCTION("""COMPUTED_VALUE"""),2060.54)</f>
        <v>2060.54</v>
      </c>
      <c r="E7592" s="1">
        <f>IFERROR(__xludf.DUMMYFUNCTION("""COMPUTED_VALUE"""),2078.36)</f>
        <v>2078.36</v>
      </c>
      <c r="F7592" s="1">
        <f>IFERROR(__xludf.DUMMYFUNCTION("""COMPUTED_VALUE"""),0.0)</f>
        <v>0</v>
      </c>
    </row>
    <row r="7593">
      <c r="A7593" s="2">
        <f>IFERROR(__xludf.DUMMYFUNCTION("""COMPUTED_VALUE"""),42368.66666666667)</f>
        <v>42368.66667</v>
      </c>
      <c r="B7593" s="1">
        <f>IFERROR(__xludf.DUMMYFUNCTION("""COMPUTED_VALUE"""),2077.34)</f>
        <v>2077.34</v>
      </c>
      <c r="C7593" s="1">
        <f>IFERROR(__xludf.DUMMYFUNCTION("""COMPUTED_VALUE"""),2077.34)</f>
        <v>2077.34</v>
      </c>
      <c r="D7593" s="1">
        <f>IFERROR(__xludf.DUMMYFUNCTION("""COMPUTED_VALUE"""),2061.97)</f>
        <v>2061.97</v>
      </c>
      <c r="E7593" s="1">
        <f>IFERROR(__xludf.DUMMYFUNCTION("""COMPUTED_VALUE"""),2063.36)</f>
        <v>2063.36</v>
      </c>
      <c r="F7593" s="1">
        <f>IFERROR(__xludf.DUMMYFUNCTION("""COMPUTED_VALUE"""),0.0)</f>
        <v>0</v>
      </c>
    </row>
    <row r="7594">
      <c r="A7594" s="2">
        <f>IFERROR(__xludf.DUMMYFUNCTION("""COMPUTED_VALUE"""),42369.66666666667)</f>
        <v>42369.66667</v>
      </c>
      <c r="B7594" s="1">
        <f>IFERROR(__xludf.DUMMYFUNCTION("""COMPUTED_VALUE"""),2060.59)</f>
        <v>2060.59</v>
      </c>
      <c r="C7594" s="1">
        <f>IFERROR(__xludf.DUMMYFUNCTION("""COMPUTED_VALUE"""),2062.54)</f>
        <v>2062.54</v>
      </c>
      <c r="D7594" s="1">
        <f>IFERROR(__xludf.DUMMYFUNCTION("""COMPUTED_VALUE"""),2043.62)</f>
        <v>2043.62</v>
      </c>
      <c r="E7594" s="1">
        <f>IFERROR(__xludf.DUMMYFUNCTION("""COMPUTED_VALUE"""),2043.94)</f>
        <v>2043.94</v>
      </c>
      <c r="F7594" s="1">
        <f>IFERROR(__xludf.DUMMYFUNCTION("""COMPUTED_VALUE"""),0.0)</f>
        <v>0</v>
      </c>
    </row>
    <row r="7595">
      <c r="A7595" s="2">
        <f>IFERROR(__xludf.DUMMYFUNCTION("""COMPUTED_VALUE"""),42373.66666666667)</f>
        <v>42373.66667</v>
      </c>
      <c r="B7595" s="1">
        <f>IFERROR(__xludf.DUMMYFUNCTION("""COMPUTED_VALUE"""),2038.2)</f>
        <v>2038.2</v>
      </c>
      <c r="C7595" s="1">
        <f>IFERROR(__xludf.DUMMYFUNCTION("""COMPUTED_VALUE"""),2038.2)</f>
        <v>2038.2</v>
      </c>
      <c r="D7595" s="1">
        <f>IFERROR(__xludf.DUMMYFUNCTION("""COMPUTED_VALUE"""),1989.68)</f>
        <v>1989.68</v>
      </c>
      <c r="E7595" s="1">
        <f>IFERROR(__xludf.DUMMYFUNCTION("""COMPUTED_VALUE"""),2012.66)</f>
        <v>2012.66</v>
      </c>
      <c r="F7595" s="1">
        <f>IFERROR(__xludf.DUMMYFUNCTION("""COMPUTED_VALUE"""),0.0)</f>
        <v>0</v>
      </c>
    </row>
    <row r="7596">
      <c r="A7596" s="2">
        <f>IFERROR(__xludf.DUMMYFUNCTION("""COMPUTED_VALUE"""),42374.66666666667)</f>
        <v>42374.66667</v>
      </c>
      <c r="B7596" s="1">
        <f>IFERROR(__xludf.DUMMYFUNCTION("""COMPUTED_VALUE"""),2013.78)</f>
        <v>2013.78</v>
      </c>
      <c r="C7596" s="1">
        <f>IFERROR(__xludf.DUMMYFUNCTION("""COMPUTED_VALUE"""),2021.94)</f>
        <v>2021.94</v>
      </c>
      <c r="D7596" s="1">
        <f>IFERROR(__xludf.DUMMYFUNCTION("""COMPUTED_VALUE"""),2004.17)</f>
        <v>2004.17</v>
      </c>
      <c r="E7596" s="1">
        <f>IFERROR(__xludf.DUMMYFUNCTION("""COMPUTED_VALUE"""),2016.71)</f>
        <v>2016.71</v>
      </c>
      <c r="F7596" s="1">
        <f>IFERROR(__xludf.DUMMYFUNCTION("""COMPUTED_VALUE"""),0.0)</f>
        <v>0</v>
      </c>
    </row>
    <row r="7597">
      <c r="A7597" s="2">
        <f>IFERROR(__xludf.DUMMYFUNCTION("""COMPUTED_VALUE"""),42375.66666666667)</f>
        <v>42375.66667</v>
      </c>
      <c r="B7597" s="1">
        <f>IFERROR(__xludf.DUMMYFUNCTION("""COMPUTED_VALUE"""),2011.71)</f>
        <v>2011.71</v>
      </c>
      <c r="C7597" s="1">
        <f>IFERROR(__xludf.DUMMYFUNCTION("""COMPUTED_VALUE"""),2011.71)</f>
        <v>2011.71</v>
      </c>
      <c r="D7597" s="1">
        <f>IFERROR(__xludf.DUMMYFUNCTION("""COMPUTED_VALUE"""),1979.05)</f>
        <v>1979.05</v>
      </c>
      <c r="E7597" s="1">
        <f>IFERROR(__xludf.DUMMYFUNCTION("""COMPUTED_VALUE"""),1990.26)</f>
        <v>1990.26</v>
      </c>
      <c r="F7597" s="1">
        <f>IFERROR(__xludf.DUMMYFUNCTION("""COMPUTED_VALUE"""),0.0)</f>
        <v>0</v>
      </c>
    </row>
    <row r="7598">
      <c r="A7598" s="2">
        <f>IFERROR(__xludf.DUMMYFUNCTION("""COMPUTED_VALUE"""),42376.66666666667)</f>
        <v>42376.66667</v>
      </c>
      <c r="B7598" s="1">
        <f>IFERROR(__xludf.DUMMYFUNCTION("""COMPUTED_VALUE"""),1985.32)</f>
        <v>1985.32</v>
      </c>
      <c r="C7598" s="1">
        <f>IFERROR(__xludf.DUMMYFUNCTION("""COMPUTED_VALUE"""),1985.32)</f>
        <v>1985.32</v>
      </c>
      <c r="D7598" s="1">
        <f>IFERROR(__xludf.DUMMYFUNCTION("""COMPUTED_VALUE"""),1938.83)</f>
        <v>1938.83</v>
      </c>
      <c r="E7598" s="1">
        <f>IFERROR(__xludf.DUMMYFUNCTION("""COMPUTED_VALUE"""),1943.09)</f>
        <v>1943.09</v>
      </c>
      <c r="F7598" s="1">
        <f>IFERROR(__xludf.DUMMYFUNCTION("""COMPUTED_VALUE"""),0.0)</f>
        <v>0</v>
      </c>
    </row>
    <row r="7599">
      <c r="A7599" s="2">
        <f>IFERROR(__xludf.DUMMYFUNCTION("""COMPUTED_VALUE"""),42377.66666666667)</f>
        <v>42377.66667</v>
      </c>
      <c r="B7599" s="1">
        <f>IFERROR(__xludf.DUMMYFUNCTION("""COMPUTED_VALUE"""),1945.97)</f>
        <v>1945.97</v>
      </c>
      <c r="C7599" s="1">
        <f>IFERROR(__xludf.DUMMYFUNCTION("""COMPUTED_VALUE"""),1960.4)</f>
        <v>1960.4</v>
      </c>
      <c r="D7599" s="1">
        <f>IFERROR(__xludf.DUMMYFUNCTION("""COMPUTED_VALUE"""),1918.46)</f>
        <v>1918.46</v>
      </c>
      <c r="E7599" s="1">
        <f>IFERROR(__xludf.DUMMYFUNCTION("""COMPUTED_VALUE"""),1922.03)</f>
        <v>1922.03</v>
      </c>
      <c r="F7599" s="1">
        <f>IFERROR(__xludf.DUMMYFUNCTION("""COMPUTED_VALUE"""),0.0)</f>
        <v>0</v>
      </c>
    </row>
    <row r="7600">
      <c r="A7600" s="2">
        <f>IFERROR(__xludf.DUMMYFUNCTION("""COMPUTED_VALUE"""),42380.66666666667)</f>
        <v>42380.66667</v>
      </c>
      <c r="B7600" s="1">
        <f>IFERROR(__xludf.DUMMYFUNCTION("""COMPUTED_VALUE"""),1926.12)</f>
        <v>1926.12</v>
      </c>
      <c r="C7600" s="1">
        <f>IFERROR(__xludf.DUMMYFUNCTION("""COMPUTED_VALUE"""),1935.65)</f>
        <v>1935.65</v>
      </c>
      <c r="D7600" s="1">
        <f>IFERROR(__xludf.DUMMYFUNCTION("""COMPUTED_VALUE"""),1901.1)</f>
        <v>1901.1</v>
      </c>
      <c r="E7600" s="1">
        <f>IFERROR(__xludf.DUMMYFUNCTION("""COMPUTED_VALUE"""),1923.67)</f>
        <v>1923.67</v>
      </c>
      <c r="F7600" s="1">
        <f>IFERROR(__xludf.DUMMYFUNCTION("""COMPUTED_VALUE"""),0.0)</f>
        <v>0</v>
      </c>
    </row>
    <row r="7601">
      <c r="A7601" s="2">
        <f>IFERROR(__xludf.DUMMYFUNCTION("""COMPUTED_VALUE"""),42381.66666666667)</f>
        <v>42381.66667</v>
      </c>
      <c r="B7601" s="1">
        <f>IFERROR(__xludf.DUMMYFUNCTION("""COMPUTED_VALUE"""),1927.83)</f>
        <v>1927.83</v>
      </c>
      <c r="C7601" s="1">
        <f>IFERROR(__xludf.DUMMYFUNCTION("""COMPUTED_VALUE"""),1947.38)</f>
        <v>1947.38</v>
      </c>
      <c r="D7601" s="1">
        <f>IFERROR(__xludf.DUMMYFUNCTION("""COMPUTED_VALUE"""),1914.35)</f>
        <v>1914.35</v>
      </c>
      <c r="E7601" s="1">
        <f>IFERROR(__xludf.DUMMYFUNCTION("""COMPUTED_VALUE"""),1938.68)</f>
        <v>1938.68</v>
      </c>
      <c r="F7601" s="1">
        <f>IFERROR(__xludf.DUMMYFUNCTION("""COMPUTED_VALUE"""),0.0)</f>
        <v>0</v>
      </c>
    </row>
    <row r="7602">
      <c r="A7602" s="2">
        <f>IFERROR(__xludf.DUMMYFUNCTION("""COMPUTED_VALUE"""),42382.66666666667)</f>
        <v>42382.66667</v>
      </c>
      <c r="B7602" s="1">
        <f>IFERROR(__xludf.DUMMYFUNCTION("""COMPUTED_VALUE"""),1940.34)</f>
        <v>1940.34</v>
      </c>
      <c r="C7602" s="1">
        <f>IFERROR(__xludf.DUMMYFUNCTION("""COMPUTED_VALUE"""),1950.33)</f>
        <v>1950.33</v>
      </c>
      <c r="D7602" s="1">
        <f>IFERROR(__xludf.DUMMYFUNCTION("""COMPUTED_VALUE"""),1886.41)</f>
        <v>1886.41</v>
      </c>
      <c r="E7602" s="1">
        <f>IFERROR(__xludf.DUMMYFUNCTION("""COMPUTED_VALUE"""),1890.28)</f>
        <v>1890.28</v>
      </c>
      <c r="F7602" s="1">
        <f>IFERROR(__xludf.DUMMYFUNCTION("""COMPUTED_VALUE"""),0.0)</f>
        <v>0</v>
      </c>
    </row>
    <row r="7603">
      <c r="A7603" s="2">
        <f>IFERROR(__xludf.DUMMYFUNCTION("""COMPUTED_VALUE"""),42383.66666666667)</f>
        <v>42383.66667</v>
      </c>
      <c r="B7603" s="1">
        <f>IFERROR(__xludf.DUMMYFUNCTION("""COMPUTED_VALUE"""),1891.68)</f>
        <v>1891.68</v>
      </c>
      <c r="C7603" s="1">
        <f>IFERROR(__xludf.DUMMYFUNCTION("""COMPUTED_VALUE"""),1934.47)</f>
        <v>1934.47</v>
      </c>
      <c r="D7603" s="1">
        <f>IFERROR(__xludf.DUMMYFUNCTION("""COMPUTED_VALUE"""),1878.93)</f>
        <v>1878.93</v>
      </c>
      <c r="E7603" s="1">
        <f>IFERROR(__xludf.DUMMYFUNCTION("""COMPUTED_VALUE"""),1921.84)</f>
        <v>1921.84</v>
      </c>
      <c r="F7603" s="1">
        <f>IFERROR(__xludf.DUMMYFUNCTION("""COMPUTED_VALUE"""),0.0)</f>
        <v>0</v>
      </c>
    </row>
    <row r="7604">
      <c r="A7604" s="2">
        <f>IFERROR(__xludf.DUMMYFUNCTION("""COMPUTED_VALUE"""),42384.66666666667)</f>
        <v>42384.66667</v>
      </c>
      <c r="B7604" s="1">
        <f>IFERROR(__xludf.DUMMYFUNCTION("""COMPUTED_VALUE"""),1916.68)</f>
        <v>1916.68</v>
      </c>
      <c r="C7604" s="1">
        <f>IFERROR(__xludf.DUMMYFUNCTION("""COMPUTED_VALUE"""),1916.68)</f>
        <v>1916.68</v>
      </c>
      <c r="D7604" s="1">
        <f>IFERROR(__xludf.DUMMYFUNCTION("""COMPUTED_VALUE"""),1857.83)</f>
        <v>1857.83</v>
      </c>
      <c r="E7604" s="1">
        <f>IFERROR(__xludf.DUMMYFUNCTION("""COMPUTED_VALUE"""),1880.33)</f>
        <v>1880.33</v>
      </c>
      <c r="F7604" s="1">
        <f>IFERROR(__xludf.DUMMYFUNCTION("""COMPUTED_VALUE"""),0.0)</f>
        <v>0</v>
      </c>
    </row>
    <row r="7605">
      <c r="A7605" s="2">
        <f>IFERROR(__xludf.DUMMYFUNCTION("""COMPUTED_VALUE"""),42388.66666666667)</f>
        <v>42388.66667</v>
      </c>
      <c r="B7605" s="1">
        <f>IFERROR(__xludf.DUMMYFUNCTION("""COMPUTED_VALUE"""),1888.66)</f>
        <v>1888.66</v>
      </c>
      <c r="C7605" s="1">
        <f>IFERROR(__xludf.DUMMYFUNCTION("""COMPUTED_VALUE"""),1901.44)</f>
        <v>1901.44</v>
      </c>
      <c r="D7605" s="1">
        <f>IFERROR(__xludf.DUMMYFUNCTION("""COMPUTED_VALUE"""),1864.6)</f>
        <v>1864.6</v>
      </c>
      <c r="E7605" s="1">
        <f>IFERROR(__xludf.DUMMYFUNCTION("""COMPUTED_VALUE"""),1881.33)</f>
        <v>1881.33</v>
      </c>
      <c r="F7605" s="1">
        <f>IFERROR(__xludf.DUMMYFUNCTION("""COMPUTED_VALUE"""),0.0)</f>
        <v>0</v>
      </c>
    </row>
    <row r="7606">
      <c r="A7606" s="2">
        <f>IFERROR(__xludf.DUMMYFUNCTION("""COMPUTED_VALUE"""),42389.66666666667)</f>
        <v>42389.66667</v>
      </c>
      <c r="B7606" s="1">
        <f>IFERROR(__xludf.DUMMYFUNCTION("""COMPUTED_VALUE"""),1876.18)</f>
        <v>1876.18</v>
      </c>
      <c r="C7606" s="1">
        <f>IFERROR(__xludf.DUMMYFUNCTION("""COMPUTED_VALUE"""),1876.18)</f>
        <v>1876.18</v>
      </c>
      <c r="D7606" s="1">
        <f>IFERROR(__xludf.DUMMYFUNCTION("""COMPUTED_VALUE"""),1812.29)</f>
        <v>1812.29</v>
      </c>
      <c r="E7606" s="1">
        <f>IFERROR(__xludf.DUMMYFUNCTION("""COMPUTED_VALUE"""),1859.33)</f>
        <v>1859.33</v>
      </c>
      <c r="F7606" s="1">
        <f>IFERROR(__xludf.DUMMYFUNCTION("""COMPUTED_VALUE"""),0.0)</f>
        <v>0</v>
      </c>
    </row>
    <row r="7607">
      <c r="A7607" s="2">
        <f>IFERROR(__xludf.DUMMYFUNCTION("""COMPUTED_VALUE"""),42390.66666666667)</f>
        <v>42390.66667</v>
      </c>
      <c r="B7607" s="1">
        <f>IFERROR(__xludf.DUMMYFUNCTION("""COMPUTED_VALUE"""),1861.46)</f>
        <v>1861.46</v>
      </c>
      <c r="C7607" s="1">
        <f>IFERROR(__xludf.DUMMYFUNCTION("""COMPUTED_VALUE"""),1889.85)</f>
        <v>1889.85</v>
      </c>
      <c r="D7607" s="1">
        <f>IFERROR(__xludf.DUMMYFUNCTION("""COMPUTED_VALUE"""),1848.98)</f>
        <v>1848.98</v>
      </c>
      <c r="E7607" s="1">
        <f>IFERROR(__xludf.DUMMYFUNCTION("""COMPUTED_VALUE"""),1868.99)</f>
        <v>1868.99</v>
      </c>
      <c r="F7607" s="1">
        <f>IFERROR(__xludf.DUMMYFUNCTION("""COMPUTED_VALUE"""),0.0)</f>
        <v>0</v>
      </c>
    </row>
    <row r="7608">
      <c r="A7608" s="2">
        <f>IFERROR(__xludf.DUMMYFUNCTION("""COMPUTED_VALUE"""),42391.66666666667)</f>
        <v>42391.66667</v>
      </c>
      <c r="B7608" s="1">
        <f>IFERROR(__xludf.DUMMYFUNCTION("""COMPUTED_VALUE"""),1877.4)</f>
        <v>1877.4</v>
      </c>
      <c r="C7608" s="1">
        <f>IFERROR(__xludf.DUMMYFUNCTION("""COMPUTED_VALUE"""),1908.85)</f>
        <v>1908.85</v>
      </c>
      <c r="D7608" s="1">
        <f>IFERROR(__xludf.DUMMYFUNCTION("""COMPUTED_VALUE"""),1877.4)</f>
        <v>1877.4</v>
      </c>
      <c r="E7608" s="1">
        <f>IFERROR(__xludf.DUMMYFUNCTION("""COMPUTED_VALUE"""),1906.9)</f>
        <v>1906.9</v>
      </c>
      <c r="F7608" s="1">
        <f>IFERROR(__xludf.DUMMYFUNCTION("""COMPUTED_VALUE"""),0.0)</f>
        <v>0</v>
      </c>
    </row>
    <row r="7609">
      <c r="A7609" s="2">
        <f>IFERROR(__xludf.DUMMYFUNCTION("""COMPUTED_VALUE"""),42394.66666666667)</f>
        <v>42394.66667</v>
      </c>
      <c r="B7609" s="1">
        <f>IFERROR(__xludf.DUMMYFUNCTION("""COMPUTED_VALUE"""),1906.28)</f>
        <v>1906.28</v>
      </c>
      <c r="C7609" s="1">
        <f>IFERROR(__xludf.DUMMYFUNCTION("""COMPUTED_VALUE"""),1906.28)</f>
        <v>1906.28</v>
      </c>
      <c r="D7609" s="1">
        <f>IFERROR(__xludf.DUMMYFUNCTION("""COMPUTED_VALUE"""),1875.97)</f>
        <v>1875.97</v>
      </c>
      <c r="E7609" s="1">
        <f>IFERROR(__xludf.DUMMYFUNCTION("""COMPUTED_VALUE"""),1877.08)</f>
        <v>1877.08</v>
      </c>
      <c r="F7609" s="1">
        <f>IFERROR(__xludf.DUMMYFUNCTION("""COMPUTED_VALUE"""),0.0)</f>
        <v>0</v>
      </c>
    </row>
    <row r="7610">
      <c r="A7610" s="2">
        <f>IFERROR(__xludf.DUMMYFUNCTION("""COMPUTED_VALUE"""),42395.66666666667)</f>
        <v>42395.66667</v>
      </c>
      <c r="B7610" s="1">
        <f>IFERROR(__xludf.DUMMYFUNCTION("""COMPUTED_VALUE"""),1878.79)</f>
        <v>1878.79</v>
      </c>
      <c r="C7610" s="1">
        <f>IFERROR(__xludf.DUMMYFUNCTION("""COMPUTED_VALUE"""),1906.73)</f>
        <v>1906.73</v>
      </c>
      <c r="D7610" s="1">
        <f>IFERROR(__xludf.DUMMYFUNCTION("""COMPUTED_VALUE"""),1878.79)</f>
        <v>1878.79</v>
      </c>
      <c r="E7610" s="1">
        <f>IFERROR(__xludf.DUMMYFUNCTION("""COMPUTED_VALUE"""),1903.63)</f>
        <v>1903.63</v>
      </c>
      <c r="F7610" s="1">
        <f>IFERROR(__xludf.DUMMYFUNCTION("""COMPUTED_VALUE"""),0.0)</f>
        <v>0</v>
      </c>
    </row>
    <row r="7611">
      <c r="A7611" s="2">
        <f>IFERROR(__xludf.DUMMYFUNCTION("""COMPUTED_VALUE"""),42396.66666666667)</f>
        <v>42396.66667</v>
      </c>
      <c r="B7611" s="1">
        <f>IFERROR(__xludf.DUMMYFUNCTION("""COMPUTED_VALUE"""),1902.52)</f>
        <v>1902.52</v>
      </c>
      <c r="C7611" s="1">
        <f>IFERROR(__xludf.DUMMYFUNCTION("""COMPUTED_VALUE"""),1916.99)</f>
        <v>1916.99</v>
      </c>
      <c r="D7611" s="1">
        <f>IFERROR(__xludf.DUMMYFUNCTION("""COMPUTED_VALUE"""),1872.7)</f>
        <v>1872.7</v>
      </c>
      <c r="E7611" s="1">
        <f>IFERROR(__xludf.DUMMYFUNCTION("""COMPUTED_VALUE"""),1882.95)</f>
        <v>1882.95</v>
      </c>
      <c r="F7611" s="1">
        <f>IFERROR(__xludf.DUMMYFUNCTION("""COMPUTED_VALUE"""),0.0)</f>
        <v>0</v>
      </c>
    </row>
    <row r="7612">
      <c r="A7612" s="2">
        <f>IFERROR(__xludf.DUMMYFUNCTION("""COMPUTED_VALUE"""),42397.66666666667)</f>
        <v>42397.66667</v>
      </c>
      <c r="B7612" s="1">
        <f>IFERROR(__xludf.DUMMYFUNCTION("""COMPUTED_VALUE"""),1885.22)</f>
        <v>1885.22</v>
      </c>
      <c r="C7612" s="1">
        <f>IFERROR(__xludf.DUMMYFUNCTION("""COMPUTED_VALUE"""),1902.96)</f>
        <v>1902.96</v>
      </c>
      <c r="D7612" s="1">
        <f>IFERROR(__xludf.DUMMYFUNCTION("""COMPUTED_VALUE"""),1873.65)</f>
        <v>1873.65</v>
      </c>
      <c r="E7612" s="1">
        <f>IFERROR(__xludf.DUMMYFUNCTION("""COMPUTED_VALUE"""),1893.36)</f>
        <v>1893.36</v>
      </c>
      <c r="F7612" s="1">
        <f>IFERROR(__xludf.DUMMYFUNCTION("""COMPUTED_VALUE"""),0.0)</f>
        <v>0</v>
      </c>
    </row>
    <row r="7613">
      <c r="A7613" s="2">
        <f>IFERROR(__xludf.DUMMYFUNCTION("""COMPUTED_VALUE"""),42398.66666666667)</f>
        <v>42398.66667</v>
      </c>
      <c r="B7613" s="1">
        <f>IFERROR(__xludf.DUMMYFUNCTION("""COMPUTED_VALUE"""),1894.0)</f>
        <v>1894</v>
      </c>
      <c r="C7613" s="1">
        <f>IFERROR(__xludf.DUMMYFUNCTION("""COMPUTED_VALUE"""),1940.24)</f>
        <v>1940.24</v>
      </c>
      <c r="D7613" s="1">
        <f>IFERROR(__xludf.DUMMYFUNCTION("""COMPUTED_VALUE"""),1894.0)</f>
        <v>1894</v>
      </c>
      <c r="E7613" s="1">
        <f>IFERROR(__xludf.DUMMYFUNCTION("""COMPUTED_VALUE"""),1940.24)</f>
        <v>1940.24</v>
      </c>
      <c r="F7613" s="1">
        <f>IFERROR(__xludf.DUMMYFUNCTION("""COMPUTED_VALUE"""),0.0)</f>
        <v>0</v>
      </c>
    </row>
    <row r="7614">
      <c r="A7614" s="2">
        <f>IFERROR(__xludf.DUMMYFUNCTION("""COMPUTED_VALUE"""),42401.66666666667)</f>
        <v>42401.66667</v>
      </c>
      <c r="B7614" s="1">
        <f>IFERROR(__xludf.DUMMYFUNCTION("""COMPUTED_VALUE"""),1936.94)</f>
        <v>1936.94</v>
      </c>
      <c r="C7614" s="1">
        <f>IFERROR(__xludf.DUMMYFUNCTION("""COMPUTED_VALUE"""),1947.2)</f>
        <v>1947.2</v>
      </c>
      <c r="D7614" s="1">
        <f>IFERROR(__xludf.DUMMYFUNCTION("""COMPUTED_VALUE"""),1920.3)</f>
        <v>1920.3</v>
      </c>
      <c r="E7614" s="1">
        <f>IFERROR(__xludf.DUMMYFUNCTION("""COMPUTED_VALUE"""),1939.38)</f>
        <v>1939.38</v>
      </c>
      <c r="F7614" s="1">
        <f>IFERROR(__xludf.DUMMYFUNCTION("""COMPUTED_VALUE"""),0.0)</f>
        <v>0</v>
      </c>
    </row>
    <row r="7615">
      <c r="A7615" s="2">
        <f>IFERROR(__xludf.DUMMYFUNCTION("""COMPUTED_VALUE"""),42402.66666666667)</f>
        <v>42402.66667</v>
      </c>
      <c r="B7615" s="1">
        <f>IFERROR(__xludf.DUMMYFUNCTION("""COMPUTED_VALUE"""),1935.26)</f>
        <v>1935.26</v>
      </c>
      <c r="C7615" s="1">
        <f>IFERROR(__xludf.DUMMYFUNCTION("""COMPUTED_VALUE"""),1935.26)</f>
        <v>1935.26</v>
      </c>
      <c r="D7615" s="1">
        <f>IFERROR(__xludf.DUMMYFUNCTION("""COMPUTED_VALUE"""),1897.29)</f>
        <v>1897.29</v>
      </c>
      <c r="E7615" s="1">
        <f>IFERROR(__xludf.DUMMYFUNCTION("""COMPUTED_VALUE"""),1903.03)</f>
        <v>1903.03</v>
      </c>
      <c r="F7615" s="1">
        <f>IFERROR(__xludf.DUMMYFUNCTION("""COMPUTED_VALUE"""),0.0)</f>
        <v>0</v>
      </c>
    </row>
    <row r="7616">
      <c r="A7616" s="2">
        <f>IFERROR(__xludf.DUMMYFUNCTION("""COMPUTED_VALUE"""),42403.66666666667)</f>
        <v>42403.66667</v>
      </c>
      <c r="B7616" s="1">
        <f>IFERROR(__xludf.DUMMYFUNCTION("""COMPUTED_VALUE"""),1907.07)</f>
        <v>1907.07</v>
      </c>
      <c r="C7616" s="1">
        <f>IFERROR(__xludf.DUMMYFUNCTION("""COMPUTED_VALUE"""),1918.01)</f>
        <v>1918.01</v>
      </c>
      <c r="D7616" s="1">
        <f>IFERROR(__xludf.DUMMYFUNCTION("""COMPUTED_VALUE"""),1872.23)</f>
        <v>1872.23</v>
      </c>
      <c r="E7616" s="1">
        <f>IFERROR(__xludf.DUMMYFUNCTION("""COMPUTED_VALUE"""),1912.53)</f>
        <v>1912.53</v>
      </c>
      <c r="F7616" s="1">
        <f>IFERROR(__xludf.DUMMYFUNCTION("""COMPUTED_VALUE"""),0.0)</f>
        <v>0</v>
      </c>
    </row>
    <row r="7617">
      <c r="A7617" s="2">
        <f>IFERROR(__xludf.DUMMYFUNCTION("""COMPUTED_VALUE"""),42404.66666666667)</f>
        <v>42404.66667</v>
      </c>
      <c r="B7617" s="1">
        <f>IFERROR(__xludf.DUMMYFUNCTION("""COMPUTED_VALUE"""),1911.67)</f>
        <v>1911.67</v>
      </c>
      <c r="C7617" s="1">
        <f>IFERROR(__xludf.DUMMYFUNCTION("""COMPUTED_VALUE"""),1927.35)</f>
        <v>1927.35</v>
      </c>
      <c r="D7617" s="1">
        <f>IFERROR(__xludf.DUMMYFUNCTION("""COMPUTED_VALUE"""),1900.52)</f>
        <v>1900.52</v>
      </c>
      <c r="E7617" s="1">
        <f>IFERROR(__xludf.DUMMYFUNCTION("""COMPUTED_VALUE"""),1915.45)</f>
        <v>1915.45</v>
      </c>
      <c r="F7617" s="1">
        <f>IFERROR(__xludf.DUMMYFUNCTION("""COMPUTED_VALUE"""),0.0)</f>
        <v>0</v>
      </c>
    </row>
    <row r="7618">
      <c r="A7618" s="2">
        <f>IFERROR(__xludf.DUMMYFUNCTION("""COMPUTED_VALUE"""),42405.66666666667)</f>
        <v>42405.66667</v>
      </c>
      <c r="B7618" s="1">
        <f>IFERROR(__xludf.DUMMYFUNCTION("""COMPUTED_VALUE"""),1913.07)</f>
        <v>1913.07</v>
      </c>
      <c r="C7618" s="1">
        <f>IFERROR(__xludf.DUMMYFUNCTION("""COMPUTED_VALUE"""),1913.07)</f>
        <v>1913.07</v>
      </c>
      <c r="D7618" s="1">
        <f>IFERROR(__xludf.DUMMYFUNCTION("""COMPUTED_VALUE"""),1872.65)</f>
        <v>1872.65</v>
      </c>
      <c r="E7618" s="1">
        <f>IFERROR(__xludf.DUMMYFUNCTION("""COMPUTED_VALUE"""),1880.05)</f>
        <v>1880.05</v>
      </c>
      <c r="F7618" s="1">
        <f>IFERROR(__xludf.DUMMYFUNCTION("""COMPUTED_VALUE"""),0.0)</f>
        <v>0</v>
      </c>
    </row>
    <row r="7619">
      <c r="A7619" s="2">
        <f>IFERROR(__xludf.DUMMYFUNCTION("""COMPUTED_VALUE"""),42408.66666666667)</f>
        <v>42408.66667</v>
      </c>
      <c r="B7619" s="1">
        <f>IFERROR(__xludf.DUMMYFUNCTION("""COMPUTED_VALUE"""),1873.25)</f>
        <v>1873.25</v>
      </c>
      <c r="C7619" s="1">
        <f>IFERROR(__xludf.DUMMYFUNCTION("""COMPUTED_VALUE"""),1873.25)</f>
        <v>1873.25</v>
      </c>
      <c r="D7619" s="1">
        <f>IFERROR(__xludf.DUMMYFUNCTION("""COMPUTED_VALUE"""),1828.46)</f>
        <v>1828.46</v>
      </c>
      <c r="E7619" s="1">
        <f>IFERROR(__xludf.DUMMYFUNCTION("""COMPUTED_VALUE"""),1853.44)</f>
        <v>1853.44</v>
      </c>
      <c r="F7619" s="1">
        <f>IFERROR(__xludf.DUMMYFUNCTION("""COMPUTED_VALUE"""),0.0)</f>
        <v>0</v>
      </c>
    </row>
    <row r="7620">
      <c r="A7620" s="2">
        <f>IFERROR(__xludf.DUMMYFUNCTION("""COMPUTED_VALUE"""),42409.66666666667)</f>
        <v>42409.66667</v>
      </c>
      <c r="B7620" s="1">
        <f>IFERROR(__xludf.DUMMYFUNCTION("""COMPUTED_VALUE"""),1848.46)</f>
        <v>1848.46</v>
      </c>
      <c r="C7620" s="1">
        <f>IFERROR(__xludf.DUMMYFUNCTION("""COMPUTED_VALUE"""),1868.25)</f>
        <v>1868.25</v>
      </c>
      <c r="D7620" s="1">
        <f>IFERROR(__xludf.DUMMYFUNCTION("""COMPUTED_VALUE"""),1834.94)</f>
        <v>1834.94</v>
      </c>
      <c r="E7620" s="1">
        <f>IFERROR(__xludf.DUMMYFUNCTION("""COMPUTED_VALUE"""),1852.21)</f>
        <v>1852.21</v>
      </c>
      <c r="F7620" s="1">
        <f>IFERROR(__xludf.DUMMYFUNCTION("""COMPUTED_VALUE"""),0.0)</f>
        <v>0</v>
      </c>
    </row>
    <row r="7621">
      <c r="A7621" s="2">
        <f>IFERROR(__xludf.DUMMYFUNCTION("""COMPUTED_VALUE"""),42410.66666666667)</f>
        <v>42410.66667</v>
      </c>
      <c r="B7621" s="1">
        <f>IFERROR(__xludf.DUMMYFUNCTION("""COMPUTED_VALUE"""),1857.1)</f>
        <v>1857.1</v>
      </c>
      <c r="C7621" s="1">
        <f>IFERROR(__xludf.DUMMYFUNCTION("""COMPUTED_VALUE"""),1881.6)</f>
        <v>1881.6</v>
      </c>
      <c r="D7621" s="1">
        <f>IFERROR(__xludf.DUMMYFUNCTION("""COMPUTED_VALUE"""),1850.32)</f>
        <v>1850.32</v>
      </c>
      <c r="E7621" s="1">
        <f>IFERROR(__xludf.DUMMYFUNCTION("""COMPUTED_VALUE"""),1851.86)</f>
        <v>1851.86</v>
      </c>
      <c r="F7621" s="1">
        <f>IFERROR(__xludf.DUMMYFUNCTION("""COMPUTED_VALUE"""),0.0)</f>
        <v>0</v>
      </c>
    </row>
    <row r="7622">
      <c r="A7622" s="2">
        <f>IFERROR(__xludf.DUMMYFUNCTION("""COMPUTED_VALUE"""),42411.66666666667)</f>
        <v>42411.66667</v>
      </c>
      <c r="B7622" s="1">
        <f>IFERROR(__xludf.DUMMYFUNCTION("""COMPUTED_VALUE"""),1847.0)</f>
        <v>1847</v>
      </c>
      <c r="C7622" s="1">
        <f>IFERROR(__xludf.DUMMYFUNCTION("""COMPUTED_VALUE"""),1847.0)</f>
        <v>1847</v>
      </c>
      <c r="D7622" s="1">
        <f>IFERROR(__xludf.DUMMYFUNCTION("""COMPUTED_VALUE"""),1810.1)</f>
        <v>1810.1</v>
      </c>
      <c r="E7622" s="1">
        <f>IFERROR(__xludf.DUMMYFUNCTION("""COMPUTED_VALUE"""),1829.08)</f>
        <v>1829.08</v>
      </c>
      <c r="F7622" s="1">
        <f>IFERROR(__xludf.DUMMYFUNCTION("""COMPUTED_VALUE"""),0.0)</f>
        <v>0</v>
      </c>
    </row>
    <row r="7623">
      <c r="A7623" s="2">
        <f>IFERROR(__xludf.DUMMYFUNCTION("""COMPUTED_VALUE"""),42412.66666666667)</f>
        <v>42412.66667</v>
      </c>
      <c r="B7623" s="1">
        <f>IFERROR(__xludf.DUMMYFUNCTION("""COMPUTED_VALUE"""),1833.4)</f>
        <v>1833.4</v>
      </c>
      <c r="C7623" s="1">
        <f>IFERROR(__xludf.DUMMYFUNCTION("""COMPUTED_VALUE"""),1864.78)</f>
        <v>1864.78</v>
      </c>
      <c r="D7623" s="1">
        <f>IFERROR(__xludf.DUMMYFUNCTION("""COMPUTED_VALUE"""),1833.4)</f>
        <v>1833.4</v>
      </c>
      <c r="E7623" s="1">
        <f>IFERROR(__xludf.DUMMYFUNCTION("""COMPUTED_VALUE"""),1864.78)</f>
        <v>1864.78</v>
      </c>
      <c r="F7623" s="1">
        <f>IFERROR(__xludf.DUMMYFUNCTION("""COMPUTED_VALUE"""),0.0)</f>
        <v>0</v>
      </c>
    </row>
    <row r="7624">
      <c r="A7624" s="2">
        <f>IFERROR(__xludf.DUMMYFUNCTION("""COMPUTED_VALUE"""),42416.66666666667)</f>
        <v>42416.66667</v>
      </c>
      <c r="B7624" s="1">
        <f>IFERROR(__xludf.DUMMYFUNCTION("""COMPUTED_VALUE"""),1871.44)</f>
        <v>1871.44</v>
      </c>
      <c r="C7624" s="1">
        <f>IFERROR(__xludf.DUMMYFUNCTION("""COMPUTED_VALUE"""),1895.77)</f>
        <v>1895.77</v>
      </c>
      <c r="D7624" s="1">
        <f>IFERROR(__xludf.DUMMYFUNCTION("""COMPUTED_VALUE"""),1871.44)</f>
        <v>1871.44</v>
      </c>
      <c r="E7624" s="1">
        <f>IFERROR(__xludf.DUMMYFUNCTION("""COMPUTED_VALUE"""),1895.58)</f>
        <v>1895.58</v>
      </c>
      <c r="F7624" s="1">
        <f>IFERROR(__xludf.DUMMYFUNCTION("""COMPUTED_VALUE"""),0.0)</f>
        <v>0</v>
      </c>
    </row>
    <row r="7625">
      <c r="A7625" s="2">
        <f>IFERROR(__xludf.DUMMYFUNCTION("""COMPUTED_VALUE"""),42417.66666666667)</f>
        <v>42417.66667</v>
      </c>
      <c r="B7625" s="1">
        <f>IFERROR(__xludf.DUMMYFUNCTION("""COMPUTED_VALUE"""),1898.8)</f>
        <v>1898.8</v>
      </c>
      <c r="C7625" s="1">
        <f>IFERROR(__xludf.DUMMYFUNCTION("""COMPUTED_VALUE"""),1930.68)</f>
        <v>1930.68</v>
      </c>
      <c r="D7625" s="1">
        <f>IFERROR(__xludf.DUMMYFUNCTION("""COMPUTED_VALUE"""),1898.8)</f>
        <v>1898.8</v>
      </c>
      <c r="E7625" s="1">
        <f>IFERROR(__xludf.DUMMYFUNCTION("""COMPUTED_VALUE"""),1926.82)</f>
        <v>1926.82</v>
      </c>
      <c r="F7625" s="1">
        <f>IFERROR(__xludf.DUMMYFUNCTION("""COMPUTED_VALUE"""),0.0)</f>
        <v>0</v>
      </c>
    </row>
    <row r="7626">
      <c r="A7626" s="2">
        <f>IFERROR(__xludf.DUMMYFUNCTION("""COMPUTED_VALUE"""),42418.66666666667)</f>
        <v>42418.66667</v>
      </c>
      <c r="B7626" s="1">
        <f>IFERROR(__xludf.DUMMYFUNCTION("""COMPUTED_VALUE"""),1927.57)</f>
        <v>1927.57</v>
      </c>
      <c r="C7626" s="1">
        <f>IFERROR(__xludf.DUMMYFUNCTION("""COMPUTED_VALUE"""),1930.0)</f>
        <v>1930</v>
      </c>
      <c r="D7626" s="1">
        <f>IFERROR(__xludf.DUMMYFUNCTION("""COMPUTED_VALUE"""),1915.09)</f>
        <v>1915.09</v>
      </c>
      <c r="E7626" s="1">
        <f>IFERROR(__xludf.DUMMYFUNCTION("""COMPUTED_VALUE"""),1917.83)</f>
        <v>1917.83</v>
      </c>
      <c r="F7626" s="1">
        <f>IFERROR(__xludf.DUMMYFUNCTION("""COMPUTED_VALUE"""),0.0)</f>
        <v>0</v>
      </c>
    </row>
    <row r="7627">
      <c r="A7627" s="2">
        <f>IFERROR(__xludf.DUMMYFUNCTION("""COMPUTED_VALUE"""),42419.66666666667)</f>
        <v>42419.66667</v>
      </c>
      <c r="B7627" s="1">
        <f>IFERROR(__xludf.DUMMYFUNCTION("""COMPUTED_VALUE"""),1916.74)</f>
        <v>1916.74</v>
      </c>
      <c r="C7627" s="1">
        <f>IFERROR(__xludf.DUMMYFUNCTION("""COMPUTED_VALUE"""),1918.78)</f>
        <v>1918.78</v>
      </c>
      <c r="D7627" s="1">
        <f>IFERROR(__xludf.DUMMYFUNCTION("""COMPUTED_VALUE"""),1902.17)</f>
        <v>1902.17</v>
      </c>
      <c r="E7627" s="1">
        <f>IFERROR(__xludf.DUMMYFUNCTION("""COMPUTED_VALUE"""),1917.78)</f>
        <v>1917.78</v>
      </c>
      <c r="F7627" s="1">
        <f>IFERROR(__xludf.DUMMYFUNCTION("""COMPUTED_VALUE"""),0.0)</f>
        <v>0</v>
      </c>
    </row>
    <row r="7628">
      <c r="A7628" s="2">
        <f>IFERROR(__xludf.DUMMYFUNCTION("""COMPUTED_VALUE"""),42422.66666666667)</f>
        <v>42422.66667</v>
      </c>
      <c r="B7628" s="1">
        <f>IFERROR(__xludf.DUMMYFUNCTION("""COMPUTED_VALUE"""),1924.44)</f>
        <v>1924.44</v>
      </c>
      <c r="C7628" s="1">
        <f>IFERROR(__xludf.DUMMYFUNCTION("""COMPUTED_VALUE"""),1946.7)</f>
        <v>1946.7</v>
      </c>
      <c r="D7628" s="1">
        <f>IFERROR(__xludf.DUMMYFUNCTION("""COMPUTED_VALUE"""),1924.44)</f>
        <v>1924.44</v>
      </c>
      <c r="E7628" s="1">
        <f>IFERROR(__xludf.DUMMYFUNCTION("""COMPUTED_VALUE"""),1945.5)</f>
        <v>1945.5</v>
      </c>
      <c r="F7628" s="1">
        <f>IFERROR(__xludf.DUMMYFUNCTION("""COMPUTED_VALUE"""),0.0)</f>
        <v>0</v>
      </c>
    </row>
    <row r="7629">
      <c r="A7629" s="2">
        <f>IFERROR(__xludf.DUMMYFUNCTION("""COMPUTED_VALUE"""),42423.66666666667)</f>
        <v>42423.66667</v>
      </c>
      <c r="B7629" s="1">
        <f>IFERROR(__xludf.DUMMYFUNCTION("""COMPUTED_VALUE"""),1942.38)</f>
        <v>1942.38</v>
      </c>
      <c r="C7629" s="1">
        <f>IFERROR(__xludf.DUMMYFUNCTION("""COMPUTED_VALUE"""),1942.38)</f>
        <v>1942.38</v>
      </c>
      <c r="D7629" s="1">
        <f>IFERROR(__xludf.DUMMYFUNCTION("""COMPUTED_VALUE"""),1919.44)</f>
        <v>1919.44</v>
      </c>
      <c r="E7629" s="1">
        <f>IFERROR(__xludf.DUMMYFUNCTION("""COMPUTED_VALUE"""),1921.27)</f>
        <v>1921.27</v>
      </c>
      <c r="F7629" s="1">
        <f>IFERROR(__xludf.DUMMYFUNCTION("""COMPUTED_VALUE"""),0.0)</f>
        <v>0</v>
      </c>
    </row>
    <row r="7630">
      <c r="A7630" s="2">
        <f>IFERROR(__xludf.DUMMYFUNCTION("""COMPUTED_VALUE"""),42424.66666666667)</f>
        <v>42424.66667</v>
      </c>
      <c r="B7630" s="1">
        <f>IFERROR(__xludf.DUMMYFUNCTION("""COMPUTED_VALUE"""),1917.56)</f>
        <v>1917.56</v>
      </c>
      <c r="C7630" s="1">
        <f>IFERROR(__xludf.DUMMYFUNCTION("""COMPUTED_VALUE"""),1932.08)</f>
        <v>1932.08</v>
      </c>
      <c r="D7630" s="1">
        <f>IFERROR(__xludf.DUMMYFUNCTION("""COMPUTED_VALUE"""),1891.0)</f>
        <v>1891</v>
      </c>
      <c r="E7630" s="1">
        <f>IFERROR(__xludf.DUMMYFUNCTION("""COMPUTED_VALUE"""),1929.8)</f>
        <v>1929.8</v>
      </c>
      <c r="F7630" s="1">
        <f>IFERROR(__xludf.DUMMYFUNCTION("""COMPUTED_VALUE"""),0.0)</f>
        <v>0</v>
      </c>
    </row>
    <row r="7631">
      <c r="A7631" s="2">
        <f>IFERROR(__xludf.DUMMYFUNCTION("""COMPUTED_VALUE"""),42425.66666666667)</f>
        <v>42425.66667</v>
      </c>
      <c r="B7631" s="1">
        <f>IFERROR(__xludf.DUMMYFUNCTION("""COMPUTED_VALUE"""),1931.87)</f>
        <v>1931.87</v>
      </c>
      <c r="C7631" s="1">
        <f>IFERROR(__xludf.DUMMYFUNCTION("""COMPUTED_VALUE"""),1951.83)</f>
        <v>1951.83</v>
      </c>
      <c r="D7631" s="1">
        <f>IFERROR(__xludf.DUMMYFUNCTION("""COMPUTED_VALUE"""),1925.41)</f>
        <v>1925.41</v>
      </c>
      <c r="E7631" s="1">
        <f>IFERROR(__xludf.DUMMYFUNCTION("""COMPUTED_VALUE"""),1951.7)</f>
        <v>1951.7</v>
      </c>
      <c r="F7631" s="1">
        <f>IFERROR(__xludf.DUMMYFUNCTION("""COMPUTED_VALUE"""),0.0)</f>
        <v>0</v>
      </c>
    </row>
    <row r="7632">
      <c r="A7632" s="2">
        <f>IFERROR(__xludf.DUMMYFUNCTION("""COMPUTED_VALUE"""),42426.66666666667)</f>
        <v>42426.66667</v>
      </c>
      <c r="B7632" s="1">
        <f>IFERROR(__xludf.DUMMYFUNCTION("""COMPUTED_VALUE"""),1954.95)</f>
        <v>1954.95</v>
      </c>
      <c r="C7632" s="1">
        <f>IFERROR(__xludf.DUMMYFUNCTION("""COMPUTED_VALUE"""),1962.96)</f>
        <v>1962.96</v>
      </c>
      <c r="D7632" s="1">
        <f>IFERROR(__xludf.DUMMYFUNCTION("""COMPUTED_VALUE"""),1945.78)</f>
        <v>1945.78</v>
      </c>
      <c r="E7632" s="1">
        <f>IFERROR(__xludf.DUMMYFUNCTION("""COMPUTED_VALUE"""),1948.05)</f>
        <v>1948.05</v>
      </c>
      <c r="F7632" s="1">
        <f>IFERROR(__xludf.DUMMYFUNCTION("""COMPUTED_VALUE"""),0.0)</f>
        <v>0</v>
      </c>
    </row>
    <row r="7633">
      <c r="A7633" s="2">
        <f>IFERROR(__xludf.DUMMYFUNCTION("""COMPUTED_VALUE"""),42429.66666666667)</f>
        <v>42429.66667</v>
      </c>
      <c r="B7633" s="1">
        <f>IFERROR(__xludf.DUMMYFUNCTION("""COMPUTED_VALUE"""),1947.13)</f>
        <v>1947.13</v>
      </c>
      <c r="C7633" s="1">
        <f>IFERROR(__xludf.DUMMYFUNCTION("""COMPUTED_VALUE"""),1958.27)</f>
        <v>1958.27</v>
      </c>
      <c r="D7633" s="1">
        <f>IFERROR(__xludf.DUMMYFUNCTION("""COMPUTED_VALUE"""),1931.81)</f>
        <v>1931.81</v>
      </c>
      <c r="E7633" s="1">
        <f>IFERROR(__xludf.DUMMYFUNCTION("""COMPUTED_VALUE"""),1932.23)</f>
        <v>1932.23</v>
      </c>
      <c r="F7633" s="1">
        <f>IFERROR(__xludf.DUMMYFUNCTION("""COMPUTED_VALUE"""),0.0)</f>
        <v>0</v>
      </c>
    </row>
    <row r="7634">
      <c r="A7634" s="2">
        <f>IFERROR(__xludf.DUMMYFUNCTION("""COMPUTED_VALUE"""),42430.66666666667)</f>
        <v>42430.66667</v>
      </c>
      <c r="B7634" s="1">
        <f>IFERROR(__xludf.DUMMYFUNCTION("""COMPUTED_VALUE"""),1937.09)</f>
        <v>1937.09</v>
      </c>
      <c r="C7634" s="1">
        <f>IFERROR(__xludf.DUMMYFUNCTION("""COMPUTED_VALUE"""),1978.35)</f>
        <v>1978.35</v>
      </c>
      <c r="D7634" s="1">
        <f>IFERROR(__xludf.DUMMYFUNCTION("""COMPUTED_VALUE"""),1937.09)</f>
        <v>1937.09</v>
      </c>
      <c r="E7634" s="1">
        <f>IFERROR(__xludf.DUMMYFUNCTION("""COMPUTED_VALUE"""),1978.35)</f>
        <v>1978.35</v>
      </c>
      <c r="F7634" s="1">
        <f>IFERROR(__xludf.DUMMYFUNCTION("""COMPUTED_VALUE"""),0.0)</f>
        <v>0</v>
      </c>
    </row>
    <row r="7635">
      <c r="A7635" s="2">
        <f>IFERROR(__xludf.DUMMYFUNCTION("""COMPUTED_VALUE"""),42431.66666666667)</f>
        <v>42431.66667</v>
      </c>
      <c r="B7635" s="1">
        <f>IFERROR(__xludf.DUMMYFUNCTION("""COMPUTED_VALUE"""),1976.6)</f>
        <v>1976.6</v>
      </c>
      <c r="C7635" s="1">
        <f>IFERROR(__xludf.DUMMYFUNCTION("""COMPUTED_VALUE"""),1986.51)</f>
        <v>1986.51</v>
      </c>
      <c r="D7635" s="1">
        <f>IFERROR(__xludf.DUMMYFUNCTION("""COMPUTED_VALUE"""),1968.8)</f>
        <v>1968.8</v>
      </c>
      <c r="E7635" s="1">
        <f>IFERROR(__xludf.DUMMYFUNCTION("""COMPUTED_VALUE"""),1986.45)</f>
        <v>1986.45</v>
      </c>
      <c r="F7635" s="1">
        <f>IFERROR(__xludf.DUMMYFUNCTION("""COMPUTED_VALUE"""),0.0)</f>
        <v>0</v>
      </c>
    </row>
    <row r="7636">
      <c r="A7636" s="2">
        <f>IFERROR(__xludf.DUMMYFUNCTION("""COMPUTED_VALUE"""),42432.66666666667)</f>
        <v>42432.66667</v>
      </c>
      <c r="B7636" s="1">
        <f>IFERROR(__xludf.DUMMYFUNCTION("""COMPUTED_VALUE"""),1985.6)</f>
        <v>1985.6</v>
      </c>
      <c r="C7636" s="1">
        <f>IFERROR(__xludf.DUMMYFUNCTION("""COMPUTED_VALUE"""),1993.69)</f>
        <v>1993.69</v>
      </c>
      <c r="D7636" s="1">
        <f>IFERROR(__xludf.DUMMYFUNCTION("""COMPUTED_VALUE"""),1977.37)</f>
        <v>1977.37</v>
      </c>
      <c r="E7636" s="1">
        <f>IFERROR(__xludf.DUMMYFUNCTION("""COMPUTED_VALUE"""),1993.4)</f>
        <v>1993.4</v>
      </c>
      <c r="F7636" s="1">
        <f>IFERROR(__xludf.DUMMYFUNCTION("""COMPUTED_VALUE"""),0.0)</f>
        <v>0</v>
      </c>
    </row>
    <row r="7637">
      <c r="A7637" s="2">
        <f>IFERROR(__xludf.DUMMYFUNCTION("""COMPUTED_VALUE"""),42433.66666666667)</f>
        <v>42433.66667</v>
      </c>
      <c r="B7637" s="1">
        <f>IFERROR(__xludf.DUMMYFUNCTION("""COMPUTED_VALUE"""),1994.01)</f>
        <v>1994.01</v>
      </c>
      <c r="C7637" s="1">
        <f>IFERROR(__xludf.DUMMYFUNCTION("""COMPUTED_VALUE"""),2009.13)</f>
        <v>2009.13</v>
      </c>
      <c r="D7637" s="1">
        <f>IFERROR(__xludf.DUMMYFUNCTION("""COMPUTED_VALUE"""),1986.77)</f>
        <v>1986.77</v>
      </c>
      <c r="E7637" s="1">
        <f>IFERROR(__xludf.DUMMYFUNCTION("""COMPUTED_VALUE"""),1999.99)</f>
        <v>1999.99</v>
      </c>
      <c r="F7637" s="1">
        <f>IFERROR(__xludf.DUMMYFUNCTION("""COMPUTED_VALUE"""),0.0)</f>
        <v>0</v>
      </c>
    </row>
    <row r="7638">
      <c r="A7638" s="2">
        <f>IFERROR(__xludf.DUMMYFUNCTION("""COMPUTED_VALUE"""),42436.66666666667)</f>
        <v>42436.66667</v>
      </c>
      <c r="B7638" s="1">
        <f>IFERROR(__xludf.DUMMYFUNCTION("""COMPUTED_VALUE"""),1996.11)</f>
        <v>1996.11</v>
      </c>
      <c r="C7638" s="1">
        <f>IFERROR(__xludf.DUMMYFUNCTION("""COMPUTED_VALUE"""),2006.12)</f>
        <v>2006.12</v>
      </c>
      <c r="D7638" s="1">
        <f>IFERROR(__xludf.DUMMYFUNCTION("""COMPUTED_VALUE"""),1989.38)</f>
        <v>1989.38</v>
      </c>
      <c r="E7638" s="1">
        <f>IFERROR(__xludf.DUMMYFUNCTION("""COMPUTED_VALUE"""),2001.76)</f>
        <v>2001.76</v>
      </c>
      <c r="F7638" s="1">
        <f>IFERROR(__xludf.DUMMYFUNCTION("""COMPUTED_VALUE"""),0.0)</f>
        <v>0</v>
      </c>
    </row>
    <row r="7639">
      <c r="A7639" s="2">
        <f>IFERROR(__xludf.DUMMYFUNCTION("""COMPUTED_VALUE"""),42437.66666666667)</f>
        <v>42437.66667</v>
      </c>
      <c r="B7639" s="1">
        <f>IFERROR(__xludf.DUMMYFUNCTION("""COMPUTED_VALUE"""),1996.88)</f>
        <v>1996.88</v>
      </c>
      <c r="C7639" s="1">
        <f>IFERROR(__xludf.DUMMYFUNCTION("""COMPUTED_VALUE"""),1996.88)</f>
        <v>1996.88</v>
      </c>
      <c r="D7639" s="1">
        <f>IFERROR(__xludf.DUMMYFUNCTION("""COMPUTED_VALUE"""),1977.43)</f>
        <v>1977.43</v>
      </c>
      <c r="E7639" s="1">
        <f>IFERROR(__xludf.DUMMYFUNCTION("""COMPUTED_VALUE"""),1979.26)</f>
        <v>1979.26</v>
      </c>
      <c r="F7639" s="1">
        <f>IFERROR(__xludf.DUMMYFUNCTION("""COMPUTED_VALUE"""),0.0)</f>
        <v>0</v>
      </c>
    </row>
    <row r="7640">
      <c r="A7640" s="2">
        <f>IFERROR(__xludf.DUMMYFUNCTION("""COMPUTED_VALUE"""),42438.66666666667)</f>
        <v>42438.66667</v>
      </c>
      <c r="B7640" s="1">
        <f>IFERROR(__xludf.DUMMYFUNCTION("""COMPUTED_VALUE"""),1981.44)</f>
        <v>1981.44</v>
      </c>
      <c r="C7640" s="1">
        <f>IFERROR(__xludf.DUMMYFUNCTION("""COMPUTED_VALUE"""),1992.69)</f>
        <v>1992.69</v>
      </c>
      <c r="D7640" s="1">
        <f>IFERROR(__xludf.DUMMYFUNCTION("""COMPUTED_VALUE"""),1979.84)</f>
        <v>1979.84</v>
      </c>
      <c r="E7640" s="1">
        <f>IFERROR(__xludf.DUMMYFUNCTION("""COMPUTED_VALUE"""),1989.26)</f>
        <v>1989.26</v>
      </c>
      <c r="F7640" s="1">
        <f>IFERROR(__xludf.DUMMYFUNCTION("""COMPUTED_VALUE"""),0.0)</f>
        <v>0</v>
      </c>
    </row>
    <row r="7641">
      <c r="A7641" s="2">
        <f>IFERROR(__xludf.DUMMYFUNCTION("""COMPUTED_VALUE"""),42439.66666666667)</f>
        <v>42439.66667</v>
      </c>
      <c r="B7641" s="1">
        <f>IFERROR(__xludf.DUMMYFUNCTION("""COMPUTED_VALUE"""),1990.97)</f>
        <v>1990.97</v>
      </c>
      <c r="C7641" s="1">
        <f>IFERROR(__xludf.DUMMYFUNCTION("""COMPUTED_VALUE"""),2005.08)</f>
        <v>2005.08</v>
      </c>
      <c r="D7641" s="1">
        <f>IFERROR(__xludf.DUMMYFUNCTION("""COMPUTED_VALUE"""),1969.25)</f>
        <v>1969.25</v>
      </c>
      <c r="E7641" s="1">
        <f>IFERROR(__xludf.DUMMYFUNCTION("""COMPUTED_VALUE"""),1989.57)</f>
        <v>1989.57</v>
      </c>
      <c r="F7641" s="1">
        <f>IFERROR(__xludf.DUMMYFUNCTION("""COMPUTED_VALUE"""),0.0)</f>
        <v>0</v>
      </c>
    </row>
    <row r="7642">
      <c r="A7642" s="2">
        <f>IFERROR(__xludf.DUMMYFUNCTION("""COMPUTED_VALUE"""),42440.66666666667)</f>
        <v>42440.66667</v>
      </c>
      <c r="B7642" s="1">
        <f>IFERROR(__xludf.DUMMYFUNCTION("""COMPUTED_VALUE"""),1994.71)</f>
        <v>1994.71</v>
      </c>
      <c r="C7642" s="1">
        <f>IFERROR(__xludf.DUMMYFUNCTION("""COMPUTED_VALUE"""),2022.37)</f>
        <v>2022.37</v>
      </c>
      <c r="D7642" s="1">
        <f>IFERROR(__xludf.DUMMYFUNCTION("""COMPUTED_VALUE"""),1994.71)</f>
        <v>1994.71</v>
      </c>
      <c r="E7642" s="1">
        <f>IFERROR(__xludf.DUMMYFUNCTION("""COMPUTED_VALUE"""),2022.19)</f>
        <v>2022.19</v>
      </c>
      <c r="F7642" s="1">
        <f>IFERROR(__xludf.DUMMYFUNCTION("""COMPUTED_VALUE"""),0.0)</f>
        <v>0</v>
      </c>
    </row>
    <row r="7643">
      <c r="A7643" s="2">
        <f>IFERROR(__xludf.DUMMYFUNCTION("""COMPUTED_VALUE"""),42443.66666666667)</f>
        <v>42443.66667</v>
      </c>
      <c r="B7643" s="1">
        <f>IFERROR(__xludf.DUMMYFUNCTION("""COMPUTED_VALUE"""),2019.27)</f>
        <v>2019.27</v>
      </c>
      <c r="C7643" s="1">
        <f>IFERROR(__xludf.DUMMYFUNCTION("""COMPUTED_VALUE"""),2024.57)</f>
        <v>2024.57</v>
      </c>
      <c r="D7643" s="1">
        <f>IFERROR(__xludf.DUMMYFUNCTION("""COMPUTED_VALUE"""),2012.05)</f>
        <v>2012.05</v>
      </c>
      <c r="E7643" s="1">
        <f>IFERROR(__xludf.DUMMYFUNCTION("""COMPUTED_VALUE"""),2019.64)</f>
        <v>2019.64</v>
      </c>
      <c r="F7643" s="1">
        <f>IFERROR(__xludf.DUMMYFUNCTION("""COMPUTED_VALUE"""),0.0)</f>
        <v>0</v>
      </c>
    </row>
    <row r="7644">
      <c r="A7644" s="2">
        <f>IFERROR(__xludf.DUMMYFUNCTION("""COMPUTED_VALUE"""),42444.66666666667)</f>
        <v>42444.66667</v>
      </c>
      <c r="B7644" s="1">
        <f>IFERROR(__xludf.DUMMYFUNCTION("""COMPUTED_VALUE"""),2015.27)</f>
        <v>2015.27</v>
      </c>
      <c r="C7644" s="1">
        <f>IFERROR(__xludf.DUMMYFUNCTION("""COMPUTED_VALUE"""),2015.94)</f>
        <v>2015.94</v>
      </c>
      <c r="D7644" s="1">
        <f>IFERROR(__xludf.DUMMYFUNCTION("""COMPUTED_VALUE"""),2005.23)</f>
        <v>2005.23</v>
      </c>
      <c r="E7644" s="1">
        <f>IFERROR(__xludf.DUMMYFUNCTION("""COMPUTED_VALUE"""),2015.93)</f>
        <v>2015.93</v>
      </c>
      <c r="F7644" s="1">
        <f>IFERROR(__xludf.DUMMYFUNCTION("""COMPUTED_VALUE"""),0.0)</f>
        <v>0</v>
      </c>
    </row>
    <row r="7645">
      <c r="A7645" s="2">
        <f>IFERROR(__xludf.DUMMYFUNCTION("""COMPUTED_VALUE"""),42445.66666666667)</f>
        <v>42445.66667</v>
      </c>
      <c r="B7645" s="1">
        <f>IFERROR(__xludf.DUMMYFUNCTION("""COMPUTED_VALUE"""),2014.24)</f>
        <v>2014.24</v>
      </c>
      <c r="C7645" s="1">
        <f>IFERROR(__xludf.DUMMYFUNCTION("""COMPUTED_VALUE"""),2032.02)</f>
        <v>2032.02</v>
      </c>
      <c r="D7645" s="1">
        <f>IFERROR(__xludf.DUMMYFUNCTION("""COMPUTED_VALUE"""),2010.04)</f>
        <v>2010.04</v>
      </c>
      <c r="E7645" s="1">
        <f>IFERROR(__xludf.DUMMYFUNCTION("""COMPUTED_VALUE"""),2027.22)</f>
        <v>2027.22</v>
      </c>
      <c r="F7645" s="1">
        <f>IFERROR(__xludf.DUMMYFUNCTION("""COMPUTED_VALUE"""),0.0)</f>
        <v>0</v>
      </c>
    </row>
    <row r="7646">
      <c r="A7646" s="2">
        <f>IFERROR(__xludf.DUMMYFUNCTION("""COMPUTED_VALUE"""),42446.66666666667)</f>
        <v>42446.66667</v>
      </c>
      <c r="B7646" s="1">
        <f>IFERROR(__xludf.DUMMYFUNCTION("""COMPUTED_VALUE"""),2026.9)</f>
        <v>2026.9</v>
      </c>
      <c r="C7646" s="1">
        <f>IFERROR(__xludf.DUMMYFUNCTION("""COMPUTED_VALUE"""),2046.24)</f>
        <v>2046.24</v>
      </c>
      <c r="D7646" s="1">
        <f>IFERROR(__xludf.DUMMYFUNCTION("""COMPUTED_VALUE"""),2022.16)</f>
        <v>2022.16</v>
      </c>
      <c r="E7646" s="1">
        <f>IFERROR(__xludf.DUMMYFUNCTION("""COMPUTED_VALUE"""),2040.59)</f>
        <v>2040.59</v>
      </c>
      <c r="F7646" s="1">
        <f>IFERROR(__xludf.DUMMYFUNCTION("""COMPUTED_VALUE"""),0.0)</f>
        <v>0</v>
      </c>
    </row>
    <row r="7647">
      <c r="A7647" s="2">
        <f>IFERROR(__xludf.DUMMYFUNCTION("""COMPUTED_VALUE"""),42447.66666666667)</f>
        <v>42447.66667</v>
      </c>
      <c r="B7647" s="1">
        <f>IFERROR(__xludf.DUMMYFUNCTION("""COMPUTED_VALUE"""),2041.16)</f>
        <v>2041.16</v>
      </c>
      <c r="C7647" s="1">
        <f>IFERROR(__xludf.DUMMYFUNCTION("""COMPUTED_VALUE"""),2052.36)</f>
        <v>2052.36</v>
      </c>
      <c r="D7647" s="1">
        <f>IFERROR(__xludf.DUMMYFUNCTION("""COMPUTED_VALUE"""),2041.16)</f>
        <v>2041.16</v>
      </c>
      <c r="E7647" s="1">
        <f>IFERROR(__xludf.DUMMYFUNCTION("""COMPUTED_VALUE"""),2049.58)</f>
        <v>2049.58</v>
      </c>
      <c r="F7647" s="1">
        <f>IFERROR(__xludf.DUMMYFUNCTION("""COMPUTED_VALUE"""),0.0)</f>
        <v>0</v>
      </c>
    </row>
    <row r="7648">
      <c r="A7648" s="2">
        <f>IFERROR(__xludf.DUMMYFUNCTION("""COMPUTED_VALUE"""),42450.66666666667)</f>
        <v>42450.66667</v>
      </c>
      <c r="B7648" s="1">
        <f>IFERROR(__xludf.DUMMYFUNCTION("""COMPUTED_VALUE"""),2047.88)</f>
        <v>2047.88</v>
      </c>
      <c r="C7648" s="1">
        <f>IFERROR(__xludf.DUMMYFUNCTION("""COMPUTED_VALUE"""),2053.91)</f>
        <v>2053.91</v>
      </c>
      <c r="D7648" s="1">
        <f>IFERROR(__xludf.DUMMYFUNCTION("""COMPUTED_VALUE"""),2043.14)</f>
        <v>2043.14</v>
      </c>
      <c r="E7648" s="1">
        <f>IFERROR(__xludf.DUMMYFUNCTION("""COMPUTED_VALUE"""),2051.6)</f>
        <v>2051.6</v>
      </c>
      <c r="F7648" s="1">
        <f>IFERROR(__xludf.DUMMYFUNCTION("""COMPUTED_VALUE"""),0.0)</f>
        <v>0</v>
      </c>
    </row>
    <row r="7649">
      <c r="A7649" s="2">
        <f>IFERROR(__xludf.DUMMYFUNCTION("""COMPUTED_VALUE"""),42451.66666666667)</f>
        <v>42451.66667</v>
      </c>
      <c r="B7649" s="1">
        <f>IFERROR(__xludf.DUMMYFUNCTION("""COMPUTED_VALUE"""),2048.64)</f>
        <v>2048.64</v>
      </c>
      <c r="C7649" s="1">
        <f>IFERROR(__xludf.DUMMYFUNCTION("""COMPUTED_VALUE"""),2056.6)</f>
        <v>2056.6</v>
      </c>
      <c r="D7649" s="1">
        <f>IFERROR(__xludf.DUMMYFUNCTION("""COMPUTED_VALUE"""),2040.57)</f>
        <v>2040.57</v>
      </c>
      <c r="E7649" s="1">
        <f>IFERROR(__xludf.DUMMYFUNCTION("""COMPUTED_VALUE"""),2049.8)</f>
        <v>2049.8</v>
      </c>
      <c r="F7649" s="1">
        <f>IFERROR(__xludf.DUMMYFUNCTION("""COMPUTED_VALUE"""),0.0)</f>
        <v>0</v>
      </c>
    </row>
    <row r="7650">
      <c r="A7650" s="2">
        <f>IFERROR(__xludf.DUMMYFUNCTION("""COMPUTED_VALUE"""),42452.66666666667)</f>
        <v>42452.66667</v>
      </c>
      <c r="B7650" s="1">
        <f>IFERROR(__xludf.DUMMYFUNCTION("""COMPUTED_VALUE"""),2048.55)</f>
        <v>2048.55</v>
      </c>
      <c r="C7650" s="1">
        <f>IFERROR(__xludf.DUMMYFUNCTION("""COMPUTED_VALUE"""),2048.55)</f>
        <v>2048.55</v>
      </c>
      <c r="D7650" s="1">
        <f>IFERROR(__xludf.DUMMYFUNCTION("""COMPUTED_VALUE"""),2034.86)</f>
        <v>2034.86</v>
      </c>
      <c r="E7650" s="1">
        <f>IFERROR(__xludf.DUMMYFUNCTION("""COMPUTED_VALUE"""),2036.71)</f>
        <v>2036.71</v>
      </c>
      <c r="F7650" s="1">
        <f>IFERROR(__xludf.DUMMYFUNCTION("""COMPUTED_VALUE"""),0.0)</f>
        <v>0</v>
      </c>
    </row>
    <row r="7651">
      <c r="A7651" s="2">
        <f>IFERROR(__xludf.DUMMYFUNCTION("""COMPUTED_VALUE"""),42453.66666666667)</f>
        <v>42453.66667</v>
      </c>
      <c r="B7651" s="1">
        <f>IFERROR(__xludf.DUMMYFUNCTION("""COMPUTED_VALUE"""),2032.48)</f>
        <v>2032.48</v>
      </c>
      <c r="C7651" s="1">
        <f>IFERROR(__xludf.DUMMYFUNCTION("""COMPUTED_VALUE"""),2036.04)</f>
        <v>2036.04</v>
      </c>
      <c r="D7651" s="1">
        <f>IFERROR(__xludf.DUMMYFUNCTION("""COMPUTED_VALUE"""),2022.49)</f>
        <v>2022.49</v>
      </c>
      <c r="E7651" s="1">
        <f>IFERROR(__xludf.DUMMYFUNCTION("""COMPUTED_VALUE"""),2035.94)</f>
        <v>2035.94</v>
      </c>
      <c r="F7651" s="1">
        <f>IFERROR(__xludf.DUMMYFUNCTION("""COMPUTED_VALUE"""),0.0)</f>
        <v>0</v>
      </c>
    </row>
    <row r="7652">
      <c r="A7652" s="2">
        <f>IFERROR(__xludf.DUMMYFUNCTION("""COMPUTED_VALUE"""),42457.66666666667)</f>
        <v>42457.66667</v>
      </c>
      <c r="B7652" s="1">
        <f>IFERROR(__xludf.DUMMYFUNCTION("""COMPUTED_VALUE"""),2037.89)</f>
        <v>2037.89</v>
      </c>
      <c r="C7652" s="1">
        <f>IFERROR(__xludf.DUMMYFUNCTION("""COMPUTED_VALUE"""),2042.67)</f>
        <v>2042.67</v>
      </c>
      <c r="D7652" s="1">
        <f>IFERROR(__xludf.DUMMYFUNCTION("""COMPUTED_VALUE"""),2031.96)</f>
        <v>2031.96</v>
      </c>
      <c r="E7652" s="1">
        <f>IFERROR(__xludf.DUMMYFUNCTION("""COMPUTED_VALUE"""),2037.05)</f>
        <v>2037.05</v>
      </c>
      <c r="F7652" s="1">
        <f>IFERROR(__xludf.DUMMYFUNCTION("""COMPUTED_VALUE"""),0.0)</f>
        <v>0</v>
      </c>
    </row>
    <row r="7653">
      <c r="A7653" s="2">
        <f>IFERROR(__xludf.DUMMYFUNCTION("""COMPUTED_VALUE"""),42458.66666666667)</f>
        <v>42458.66667</v>
      </c>
      <c r="B7653" s="1">
        <f>IFERROR(__xludf.DUMMYFUNCTION("""COMPUTED_VALUE"""),2035.75)</f>
        <v>2035.75</v>
      </c>
      <c r="C7653" s="1">
        <f>IFERROR(__xludf.DUMMYFUNCTION("""COMPUTED_VALUE"""),2055.91)</f>
        <v>2055.91</v>
      </c>
      <c r="D7653" s="1">
        <f>IFERROR(__xludf.DUMMYFUNCTION("""COMPUTED_VALUE"""),2028.31)</f>
        <v>2028.31</v>
      </c>
      <c r="E7653" s="1">
        <f>IFERROR(__xludf.DUMMYFUNCTION("""COMPUTED_VALUE"""),2055.01)</f>
        <v>2055.01</v>
      </c>
      <c r="F7653" s="1">
        <f>IFERROR(__xludf.DUMMYFUNCTION("""COMPUTED_VALUE"""),0.0)</f>
        <v>0</v>
      </c>
    </row>
    <row r="7654">
      <c r="A7654" s="2">
        <f>IFERROR(__xludf.DUMMYFUNCTION("""COMPUTED_VALUE"""),42459.66666666667)</f>
        <v>42459.66667</v>
      </c>
      <c r="B7654" s="1">
        <f>IFERROR(__xludf.DUMMYFUNCTION("""COMPUTED_VALUE"""),2058.27)</f>
        <v>2058.27</v>
      </c>
      <c r="C7654" s="1">
        <f>IFERROR(__xludf.DUMMYFUNCTION("""COMPUTED_VALUE"""),2072.21)</f>
        <v>2072.21</v>
      </c>
      <c r="D7654" s="1">
        <f>IFERROR(__xludf.DUMMYFUNCTION("""COMPUTED_VALUE"""),2058.27)</f>
        <v>2058.27</v>
      </c>
      <c r="E7654" s="1">
        <f>IFERROR(__xludf.DUMMYFUNCTION("""COMPUTED_VALUE"""),2063.95)</f>
        <v>2063.95</v>
      </c>
      <c r="F7654" s="1">
        <f>IFERROR(__xludf.DUMMYFUNCTION("""COMPUTED_VALUE"""),0.0)</f>
        <v>0</v>
      </c>
    </row>
    <row r="7655">
      <c r="A7655" s="2">
        <f>IFERROR(__xludf.DUMMYFUNCTION("""COMPUTED_VALUE"""),42460.66666666667)</f>
        <v>42460.66667</v>
      </c>
      <c r="B7655" s="1">
        <f>IFERROR(__xludf.DUMMYFUNCTION("""COMPUTED_VALUE"""),2063.77)</f>
        <v>2063.77</v>
      </c>
      <c r="C7655" s="1">
        <f>IFERROR(__xludf.DUMMYFUNCTION("""COMPUTED_VALUE"""),2067.92)</f>
        <v>2067.92</v>
      </c>
      <c r="D7655" s="1">
        <f>IFERROR(__xludf.DUMMYFUNCTION("""COMPUTED_VALUE"""),2057.46)</f>
        <v>2057.46</v>
      </c>
      <c r="E7655" s="1">
        <f>IFERROR(__xludf.DUMMYFUNCTION("""COMPUTED_VALUE"""),2059.74)</f>
        <v>2059.74</v>
      </c>
      <c r="F7655" s="1">
        <f>IFERROR(__xludf.DUMMYFUNCTION("""COMPUTED_VALUE"""),0.0)</f>
        <v>0</v>
      </c>
    </row>
    <row r="7656">
      <c r="A7656" s="2">
        <f>IFERROR(__xludf.DUMMYFUNCTION("""COMPUTED_VALUE"""),42461.66666666667)</f>
        <v>42461.66667</v>
      </c>
      <c r="B7656" s="1">
        <f>IFERROR(__xludf.DUMMYFUNCTION("""COMPUTED_VALUE"""),2056.62)</f>
        <v>2056.62</v>
      </c>
      <c r="C7656" s="1">
        <f>IFERROR(__xludf.DUMMYFUNCTION("""COMPUTED_VALUE"""),2075.07)</f>
        <v>2075.07</v>
      </c>
      <c r="D7656" s="1">
        <f>IFERROR(__xludf.DUMMYFUNCTION("""COMPUTED_VALUE"""),2043.98)</f>
        <v>2043.98</v>
      </c>
      <c r="E7656" s="1">
        <f>IFERROR(__xludf.DUMMYFUNCTION("""COMPUTED_VALUE"""),2072.78)</f>
        <v>2072.78</v>
      </c>
      <c r="F7656" s="1">
        <f>IFERROR(__xludf.DUMMYFUNCTION("""COMPUTED_VALUE"""),0.0)</f>
        <v>0</v>
      </c>
    </row>
    <row r="7657">
      <c r="A7657" s="2">
        <f>IFERROR(__xludf.DUMMYFUNCTION("""COMPUTED_VALUE"""),42464.66666666667)</f>
        <v>42464.66667</v>
      </c>
      <c r="B7657" s="1">
        <f>IFERROR(__xludf.DUMMYFUNCTION("""COMPUTED_VALUE"""),2073.19)</f>
        <v>2073.19</v>
      </c>
      <c r="C7657" s="1">
        <f>IFERROR(__xludf.DUMMYFUNCTION("""COMPUTED_VALUE"""),2074.02)</f>
        <v>2074.02</v>
      </c>
      <c r="D7657" s="1">
        <f>IFERROR(__xludf.DUMMYFUNCTION("""COMPUTED_VALUE"""),2062.57)</f>
        <v>2062.57</v>
      </c>
      <c r="E7657" s="1">
        <f>IFERROR(__xludf.DUMMYFUNCTION("""COMPUTED_VALUE"""),2066.13)</f>
        <v>2066.13</v>
      </c>
      <c r="F7657" s="1">
        <f>IFERROR(__xludf.DUMMYFUNCTION("""COMPUTED_VALUE"""),0.0)</f>
        <v>0</v>
      </c>
    </row>
    <row r="7658">
      <c r="A7658" s="2">
        <f>IFERROR(__xludf.DUMMYFUNCTION("""COMPUTED_VALUE"""),42465.66666666667)</f>
        <v>42465.66667</v>
      </c>
      <c r="B7658" s="1">
        <f>IFERROR(__xludf.DUMMYFUNCTION("""COMPUTED_VALUE"""),2062.5)</f>
        <v>2062.5</v>
      </c>
      <c r="C7658" s="1">
        <f>IFERROR(__xludf.DUMMYFUNCTION("""COMPUTED_VALUE"""),2062.5)</f>
        <v>2062.5</v>
      </c>
      <c r="D7658" s="1">
        <f>IFERROR(__xludf.DUMMYFUNCTION("""COMPUTED_VALUE"""),2042.56)</f>
        <v>2042.56</v>
      </c>
      <c r="E7658" s="1">
        <f>IFERROR(__xludf.DUMMYFUNCTION("""COMPUTED_VALUE"""),2045.17)</f>
        <v>2045.17</v>
      </c>
      <c r="F7658" s="1">
        <f>IFERROR(__xludf.DUMMYFUNCTION("""COMPUTED_VALUE"""),0.0)</f>
        <v>0</v>
      </c>
    </row>
    <row r="7659">
      <c r="A7659" s="2">
        <f>IFERROR(__xludf.DUMMYFUNCTION("""COMPUTED_VALUE"""),42466.66666666667)</f>
        <v>42466.66667</v>
      </c>
      <c r="B7659" s="1">
        <f>IFERROR(__xludf.DUMMYFUNCTION("""COMPUTED_VALUE"""),2045.56)</f>
        <v>2045.56</v>
      </c>
      <c r="C7659" s="1">
        <f>IFERROR(__xludf.DUMMYFUNCTION("""COMPUTED_VALUE"""),2067.33)</f>
        <v>2067.33</v>
      </c>
      <c r="D7659" s="1">
        <f>IFERROR(__xludf.DUMMYFUNCTION("""COMPUTED_VALUE"""),2043.09)</f>
        <v>2043.09</v>
      </c>
      <c r="E7659" s="1">
        <f>IFERROR(__xludf.DUMMYFUNCTION("""COMPUTED_VALUE"""),2066.66)</f>
        <v>2066.66</v>
      </c>
      <c r="F7659" s="1">
        <f>IFERROR(__xludf.DUMMYFUNCTION("""COMPUTED_VALUE"""),0.0)</f>
        <v>0</v>
      </c>
    </row>
    <row r="7660">
      <c r="A7660" s="2">
        <f>IFERROR(__xludf.DUMMYFUNCTION("""COMPUTED_VALUE"""),42467.66666666667)</f>
        <v>42467.66667</v>
      </c>
      <c r="B7660" s="1">
        <f>IFERROR(__xludf.DUMMYFUNCTION("""COMPUTED_VALUE"""),2063.01)</f>
        <v>2063.01</v>
      </c>
      <c r="C7660" s="1">
        <f>IFERROR(__xludf.DUMMYFUNCTION("""COMPUTED_VALUE"""),2063.01)</f>
        <v>2063.01</v>
      </c>
      <c r="D7660" s="1">
        <f>IFERROR(__xludf.DUMMYFUNCTION("""COMPUTED_VALUE"""),2033.8)</f>
        <v>2033.8</v>
      </c>
      <c r="E7660" s="1">
        <f>IFERROR(__xludf.DUMMYFUNCTION("""COMPUTED_VALUE"""),2041.91)</f>
        <v>2041.91</v>
      </c>
      <c r="F7660" s="1">
        <f>IFERROR(__xludf.DUMMYFUNCTION("""COMPUTED_VALUE"""),0.0)</f>
        <v>0</v>
      </c>
    </row>
    <row r="7661">
      <c r="A7661" s="2">
        <f>IFERROR(__xludf.DUMMYFUNCTION("""COMPUTED_VALUE"""),42468.66666666667)</f>
        <v>42468.66667</v>
      </c>
      <c r="B7661" s="1">
        <f>IFERROR(__xludf.DUMMYFUNCTION("""COMPUTED_VALUE"""),2045.54)</f>
        <v>2045.54</v>
      </c>
      <c r="C7661" s="1">
        <f>IFERROR(__xludf.DUMMYFUNCTION("""COMPUTED_VALUE"""),2060.63)</f>
        <v>2060.63</v>
      </c>
      <c r="D7661" s="1">
        <f>IFERROR(__xludf.DUMMYFUNCTION("""COMPUTED_VALUE"""),2041.69)</f>
        <v>2041.69</v>
      </c>
      <c r="E7661" s="1">
        <f>IFERROR(__xludf.DUMMYFUNCTION("""COMPUTED_VALUE"""),2047.6)</f>
        <v>2047.6</v>
      </c>
      <c r="F7661" s="1">
        <f>IFERROR(__xludf.DUMMYFUNCTION("""COMPUTED_VALUE"""),0.0)</f>
        <v>0</v>
      </c>
    </row>
    <row r="7662">
      <c r="A7662" s="2">
        <f>IFERROR(__xludf.DUMMYFUNCTION("""COMPUTED_VALUE"""),42471.66666666667)</f>
        <v>42471.66667</v>
      </c>
      <c r="B7662" s="1">
        <f>IFERROR(__xludf.DUMMYFUNCTION("""COMPUTED_VALUE"""),2050.23)</f>
        <v>2050.23</v>
      </c>
      <c r="C7662" s="1">
        <f>IFERROR(__xludf.DUMMYFUNCTION("""COMPUTED_VALUE"""),2062.93)</f>
        <v>2062.93</v>
      </c>
      <c r="D7662" s="1">
        <f>IFERROR(__xludf.DUMMYFUNCTION("""COMPUTED_VALUE"""),2041.88)</f>
        <v>2041.88</v>
      </c>
      <c r="E7662" s="1">
        <f>IFERROR(__xludf.DUMMYFUNCTION("""COMPUTED_VALUE"""),2041.99)</f>
        <v>2041.99</v>
      </c>
      <c r="F7662" s="1">
        <f>IFERROR(__xludf.DUMMYFUNCTION("""COMPUTED_VALUE"""),0.0)</f>
        <v>0</v>
      </c>
    </row>
    <row r="7663">
      <c r="A7663" s="2">
        <f>IFERROR(__xludf.DUMMYFUNCTION("""COMPUTED_VALUE"""),42472.66666666667)</f>
        <v>42472.66667</v>
      </c>
      <c r="B7663" s="1">
        <f>IFERROR(__xludf.DUMMYFUNCTION("""COMPUTED_VALUE"""),2043.72)</f>
        <v>2043.72</v>
      </c>
      <c r="C7663" s="1">
        <f>IFERROR(__xludf.DUMMYFUNCTION("""COMPUTED_VALUE"""),2065.05)</f>
        <v>2065.05</v>
      </c>
      <c r="D7663" s="1">
        <f>IFERROR(__xludf.DUMMYFUNCTION("""COMPUTED_VALUE"""),2039.74)</f>
        <v>2039.74</v>
      </c>
      <c r="E7663" s="1">
        <f>IFERROR(__xludf.DUMMYFUNCTION("""COMPUTED_VALUE"""),2061.72)</f>
        <v>2061.72</v>
      </c>
      <c r="F7663" s="1">
        <f>IFERROR(__xludf.DUMMYFUNCTION("""COMPUTED_VALUE"""),0.0)</f>
        <v>0</v>
      </c>
    </row>
    <row r="7664">
      <c r="A7664" s="2">
        <f>IFERROR(__xludf.DUMMYFUNCTION("""COMPUTED_VALUE"""),42473.66666666667)</f>
        <v>42473.66667</v>
      </c>
      <c r="B7664" s="1">
        <f>IFERROR(__xludf.DUMMYFUNCTION("""COMPUTED_VALUE"""),2065.92)</f>
        <v>2065.92</v>
      </c>
      <c r="C7664" s="1">
        <f>IFERROR(__xludf.DUMMYFUNCTION("""COMPUTED_VALUE"""),2083.18)</f>
        <v>2083.18</v>
      </c>
      <c r="D7664" s="1">
        <f>IFERROR(__xludf.DUMMYFUNCTION("""COMPUTED_VALUE"""),2065.92)</f>
        <v>2065.92</v>
      </c>
      <c r="E7664" s="1">
        <f>IFERROR(__xludf.DUMMYFUNCTION("""COMPUTED_VALUE"""),2082.42)</f>
        <v>2082.42</v>
      </c>
      <c r="F7664" s="1">
        <f>IFERROR(__xludf.DUMMYFUNCTION("""COMPUTED_VALUE"""),0.0)</f>
        <v>0</v>
      </c>
    </row>
    <row r="7665">
      <c r="A7665" s="2">
        <f>IFERROR(__xludf.DUMMYFUNCTION("""COMPUTED_VALUE"""),42474.66666666667)</f>
        <v>42474.66667</v>
      </c>
      <c r="B7665" s="1">
        <f>IFERROR(__xludf.DUMMYFUNCTION("""COMPUTED_VALUE"""),2082.89)</f>
        <v>2082.89</v>
      </c>
      <c r="C7665" s="1">
        <f>IFERROR(__xludf.DUMMYFUNCTION("""COMPUTED_VALUE"""),2087.84)</f>
        <v>2087.84</v>
      </c>
      <c r="D7665" s="1">
        <f>IFERROR(__xludf.DUMMYFUNCTION("""COMPUTED_VALUE"""),2078.13)</f>
        <v>2078.13</v>
      </c>
      <c r="E7665" s="1">
        <f>IFERROR(__xludf.DUMMYFUNCTION("""COMPUTED_VALUE"""),2082.78)</f>
        <v>2082.78</v>
      </c>
      <c r="F7665" s="1">
        <f>IFERROR(__xludf.DUMMYFUNCTION("""COMPUTED_VALUE"""),0.0)</f>
        <v>0</v>
      </c>
    </row>
    <row r="7666">
      <c r="A7666" s="2">
        <f>IFERROR(__xludf.DUMMYFUNCTION("""COMPUTED_VALUE"""),42475.66666666667)</f>
        <v>42475.66667</v>
      </c>
      <c r="B7666" s="1">
        <f>IFERROR(__xludf.DUMMYFUNCTION("""COMPUTED_VALUE"""),2083.1)</f>
        <v>2083.1</v>
      </c>
      <c r="C7666" s="1">
        <f>IFERROR(__xludf.DUMMYFUNCTION("""COMPUTED_VALUE"""),2083.22)</f>
        <v>2083.22</v>
      </c>
      <c r="D7666" s="1">
        <f>IFERROR(__xludf.DUMMYFUNCTION("""COMPUTED_VALUE"""),2076.31)</f>
        <v>2076.31</v>
      </c>
      <c r="E7666" s="1">
        <f>IFERROR(__xludf.DUMMYFUNCTION("""COMPUTED_VALUE"""),2080.73)</f>
        <v>2080.73</v>
      </c>
      <c r="F7666" s="1">
        <f>IFERROR(__xludf.DUMMYFUNCTION("""COMPUTED_VALUE"""),0.0)</f>
        <v>0</v>
      </c>
    </row>
    <row r="7667">
      <c r="A7667" s="2">
        <f>IFERROR(__xludf.DUMMYFUNCTION("""COMPUTED_VALUE"""),42478.66666666667)</f>
        <v>42478.66667</v>
      </c>
      <c r="B7667" s="1">
        <f>IFERROR(__xludf.DUMMYFUNCTION("""COMPUTED_VALUE"""),2078.83)</f>
        <v>2078.83</v>
      </c>
      <c r="C7667" s="1">
        <f>IFERROR(__xludf.DUMMYFUNCTION("""COMPUTED_VALUE"""),2094.66)</f>
        <v>2094.66</v>
      </c>
      <c r="D7667" s="1">
        <f>IFERROR(__xludf.DUMMYFUNCTION("""COMPUTED_VALUE"""),2073.65)</f>
        <v>2073.65</v>
      </c>
      <c r="E7667" s="1">
        <f>IFERROR(__xludf.DUMMYFUNCTION("""COMPUTED_VALUE"""),2094.34)</f>
        <v>2094.34</v>
      </c>
      <c r="F7667" s="1">
        <f>IFERROR(__xludf.DUMMYFUNCTION("""COMPUTED_VALUE"""),0.0)</f>
        <v>0</v>
      </c>
    </row>
    <row r="7668">
      <c r="A7668" s="2">
        <f>IFERROR(__xludf.DUMMYFUNCTION("""COMPUTED_VALUE"""),42479.66666666667)</f>
        <v>42479.66667</v>
      </c>
      <c r="B7668" s="1">
        <f>IFERROR(__xludf.DUMMYFUNCTION("""COMPUTED_VALUE"""),2096.05)</f>
        <v>2096.05</v>
      </c>
      <c r="C7668" s="1">
        <f>IFERROR(__xludf.DUMMYFUNCTION("""COMPUTED_VALUE"""),2104.05)</f>
        <v>2104.05</v>
      </c>
      <c r="D7668" s="1">
        <f>IFERROR(__xludf.DUMMYFUNCTION("""COMPUTED_VALUE"""),2091.68)</f>
        <v>2091.68</v>
      </c>
      <c r="E7668" s="1">
        <f>IFERROR(__xludf.DUMMYFUNCTION("""COMPUTED_VALUE"""),2100.8)</f>
        <v>2100.8</v>
      </c>
      <c r="F7668" s="1">
        <f>IFERROR(__xludf.DUMMYFUNCTION("""COMPUTED_VALUE"""),0.0)</f>
        <v>0</v>
      </c>
    </row>
    <row r="7669">
      <c r="A7669" s="2">
        <f>IFERROR(__xludf.DUMMYFUNCTION("""COMPUTED_VALUE"""),42480.66666666667)</f>
        <v>42480.66667</v>
      </c>
      <c r="B7669" s="1">
        <f>IFERROR(__xludf.DUMMYFUNCTION("""COMPUTED_VALUE"""),2101.52)</f>
        <v>2101.52</v>
      </c>
      <c r="C7669" s="1">
        <f>IFERROR(__xludf.DUMMYFUNCTION("""COMPUTED_VALUE"""),2111.05)</f>
        <v>2111.05</v>
      </c>
      <c r="D7669" s="1">
        <f>IFERROR(__xludf.DUMMYFUNCTION("""COMPUTED_VALUE"""),2096.32)</f>
        <v>2096.32</v>
      </c>
      <c r="E7669" s="1">
        <f>IFERROR(__xludf.DUMMYFUNCTION("""COMPUTED_VALUE"""),2102.4)</f>
        <v>2102.4</v>
      </c>
      <c r="F7669" s="1">
        <f>IFERROR(__xludf.DUMMYFUNCTION("""COMPUTED_VALUE"""),0.0)</f>
        <v>0</v>
      </c>
    </row>
    <row r="7670">
      <c r="A7670" s="2">
        <f>IFERROR(__xludf.DUMMYFUNCTION("""COMPUTED_VALUE"""),42481.66666666667)</f>
        <v>42481.66667</v>
      </c>
      <c r="B7670" s="1">
        <f>IFERROR(__xludf.DUMMYFUNCTION("""COMPUTED_VALUE"""),2102.09)</f>
        <v>2102.09</v>
      </c>
      <c r="C7670" s="1">
        <f>IFERROR(__xludf.DUMMYFUNCTION("""COMPUTED_VALUE"""),2103.78)</f>
        <v>2103.78</v>
      </c>
      <c r="D7670" s="1">
        <f>IFERROR(__xludf.DUMMYFUNCTION("""COMPUTED_VALUE"""),2088.52)</f>
        <v>2088.52</v>
      </c>
      <c r="E7670" s="1">
        <f>IFERROR(__xludf.DUMMYFUNCTION("""COMPUTED_VALUE"""),2091.48)</f>
        <v>2091.48</v>
      </c>
      <c r="F7670" s="1">
        <f>IFERROR(__xludf.DUMMYFUNCTION("""COMPUTED_VALUE"""),0.0)</f>
        <v>0</v>
      </c>
    </row>
    <row r="7671">
      <c r="A7671" s="2">
        <f>IFERROR(__xludf.DUMMYFUNCTION("""COMPUTED_VALUE"""),42482.66666666667)</f>
        <v>42482.66667</v>
      </c>
      <c r="B7671" s="1">
        <f>IFERROR(__xludf.DUMMYFUNCTION("""COMPUTED_VALUE"""),2091.49)</f>
        <v>2091.49</v>
      </c>
      <c r="C7671" s="1">
        <f>IFERROR(__xludf.DUMMYFUNCTION("""COMPUTED_VALUE"""),2094.32)</f>
        <v>2094.32</v>
      </c>
      <c r="D7671" s="1">
        <f>IFERROR(__xludf.DUMMYFUNCTION("""COMPUTED_VALUE"""),2081.2)</f>
        <v>2081.2</v>
      </c>
      <c r="E7671" s="1">
        <f>IFERROR(__xludf.DUMMYFUNCTION("""COMPUTED_VALUE"""),2091.58)</f>
        <v>2091.58</v>
      </c>
      <c r="F7671" s="1">
        <f>IFERROR(__xludf.DUMMYFUNCTION("""COMPUTED_VALUE"""),0.0)</f>
        <v>0</v>
      </c>
    </row>
    <row r="7672">
      <c r="A7672" s="2">
        <f>IFERROR(__xludf.DUMMYFUNCTION("""COMPUTED_VALUE"""),42485.66666666667)</f>
        <v>42485.66667</v>
      </c>
      <c r="B7672" s="1">
        <f>IFERROR(__xludf.DUMMYFUNCTION("""COMPUTED_VALUE"""),2089.37)</f>
        <v>2089.37</v>
      </c>
      <c r="C7672" s="1">
        <f>IFERROR(__xludf.DUMMYFUNCTION("""COMPUTED_VALUE"""),2089.37)</f>
        <v>2089.37</v>
      </c>
      <c r="D7672" s="1">
        <f>IFERROR(__xludf.DUMMYFUNCTION("""COMPUTED_VALUE"""),2077.52)</f>
        <v>2077.52</v>
      </c>
      <c r="E7672" s="1">
        <f>IFERROR(__xludf.DUMMYFUNCTION("""COMPUTED_VALUE"""),2087.79)</f>
        <v>2087.79</v>
      </c>
      <c r="F7672" s="1">
        <f>IFERROR(__xludf.DUMMYFUNCTION("""COMPUTED_VALUE"""),0.0)</f>
        <v>0</v>
      </c>
    </row>
    <row r="7673">
      <c r="A7673" s="2">
        <f>IFERROR(__xludf.DUMMYFUNCTION("""COMPUTED_VALUE"""),42486.66666666667)</f>
        <v>42486.66667</v>
      </c>
      <c r="B7673" s="1">
        <f>IFERROR(__xludf.DUMMYFUNCTION("""COMPUTED_VALUE"""),2089.84)</f>
        <v>2089.84</v>
      </c>
      <c r="C7673" s="1">
        <f>IFERROR(__xludf.DUMMYFUNCTION("""COMPUTED_VALUE"""),2096.87)</f>
        <v>2096.87</v>
      </c>
      <c r="D7673" s="1">
        <f>IFERROR(__xludf.DUMMYFUNCTION("""COMPUTED_VALUE"""),2085.8)</f>
        <v>2085.8</v>
      </c>
      <c r="E7673" s="1">
        <f>IFERROR(__xludf.DUMMYFUNCTION("""COMPUTED_VALUE"""),2091.7)</f>
        <v>2091.7</v>
      </c>
      <c r="F7673" s="1">
        <f>IFERROR(__xludf.DUMMYFUNCTION("""COMPUTED_VALUE"""),0.0)</f>
        <v>0</v>
      </c>
    </row>
    <row r="7674">
      <c r="A7674" s="2">
        <f>IFERROR(__xludf.DUMMYFUNCTION("""COMPUTED_VALUE"""),42487.66666666667)</f>
        <v>42487.66667</v>
      </c>
      <c r="B7674" s="1">
        <f>IFERROR(__xludf.DUMMYFUNCTION("""COMPUTED_VALUE"""),2092.33)</f>
        <v>2092.33</v>
      </c>
      <c r="C7674" s="1">
        <f>IFERROR(__xludf.DUMMYFUNCTION("""COMPUTED_VALUE"""),2099.89)</f>
        <v>2099.89</v>
      </c>
      <c r="D7674" s="1">
        <f>IFERROR(__xludf.DUMMYFUNCTION("""COMPUTED_VALUE"""),2082.31)</f>
        <v>2082.31</v>
      </c>
      <c r="E7674" s="1">
        <f>IFERROR(__xludf.DUMMYFUNCTION("""COMPUTED_VALUE"""),2095.15)</f>
        <v>2095.15</v>
      </c>
      <c r="F7674" s="1">
        <f>IFERROR(__xludf.DUMMYFUNCTION("""COMPUTED_VALUE"""),0.0)</f>
        <v>0</v>
      </c>
    </row>
    <row r="7675">
      <c r="A7675" s="2">
        <f>IFERROR(__xludf.DUMMYFUNCTION("""COMPUTED_VALUE"""),42488.66666666667)</f>
        <v>42488.66667</v>
      </c>
      <c r="B7675" s="1">
        <f>IFERROR(__xludf.DUMMYFUNCTION("""COMPUTED_VALUE"""),2090.93)</f>
        <v>2090.93</v>
      </c>
      <c r="C7675" s="1">
        <f>IFERROR(__xludf.DUMMYFUNCTION("""COMPUTED_VALUE"""),2099.3)</f>
        <v>2099.3</v>
      </c>
      <c r="D7675" s="1">
        <f>IFERROR(__xludf.DUMMYFUNCTION("""COMPUTED_VALUE"""),2071.62)</f>
        <v>2071.62</v>
      </c>
      <c r="E7675" s="1">
        <f>IFERROR(__xludf.DUMMYFUNCTION("""COMPUTED_VALUE"""),2075.81)</f>
        <v>2075.81</v>
      </c>
      <c r="F7675" s="1">
        <f>IFERROR(__xludf.DUMMYFUNCTION("""COMPUTED_VALUE"""),0.0)</f>
        <v>0</v>
      </c>
    </row>
    <row r="7676">
      <c r="A7676" s="2">
        <f>IFERROR(__xludf.DUMMYFUNCTION("""COMPUTED_VALUE"""),42489.66666666667)</f>
        <v>42489.66667</v>
      </c>
      <c r="B7676" s="1">
        <f>IFERROR(__xludf.DUMMYFUNCTION("""COMPUTED_VALUE"""),2071.82)</f>
        <v>2071.82</v>
      </c>
      <c r="C7676" s="1">
        <f>IFERROR(__xludf.DUMMYFUNCTION("""COMPUTED_VALUE"""),2073.85)</f>
        <v>2073.85</v>
      </c>
      <c r="D7676" s="1">
        <f>IFERROR(__xludf.DUMMYFUNCTION("""COMPUTED_VALUE"""),2052.28)</f>
        <v>2052.28</v>
      </c>
      <c r="E7676" s="1">
        <f>IFERROR(__xludf.DUMMYFUNCTION("""COMPUTED_VALUE"""),2065.3)</f>
        <v>2065.3</v>
      </c>
      <c r="F7676" s="1">
        <f>IFERROR(__xludf.DUMMYFUNCTION("""COMPUTED_VALUE"""),0.0)</f>
        <v>0</v>
      </c>
    </row>
    <row r="7677">
      <c r="A7677" s="2">
        <f>IFERROR(__xludf.DUMMYFUNCTION("""COMPUTED_VALUE"""),42492.66666666667)</f>
        <v>42492.66667</v>
      </c>
      <c r="B7677" s="1">
        <f>IFERROR(__xludf.DUMMYFUNCTION("""COMPUTED_VALUE"""),2067.17)</f>
        <v>2067.17</v>
      </c>
      <c r="C7677" s="1">
        <f>IFERROR(__xludf.DUMMYFUNCTION("""COMPUTED_VALUE"""),2083.42)</f>
        <v>2083.42</v>
      </c>
      <c r="D7677" s="1">
        <f>IFERROR(__xludf.DUMMYFUNCTION("""COMPUTED_VALUE"""),2066.11)</f>
        <v>2066.11</v>
      </c>
      <c r="E7677" s="1">
        <f>IFERROR(__xludf.DUMMYFUNCTION("""COMPUTED_VALUE"""),2081.43)</f>
        <v>2081.43</v>
      </c>
      <c r="F7677" s="1">
        <f>IFERROR(__xludf.DUMMYFUNCTION("""COMPUTED_VALUE"""),0.0)</f>
        <v>0</v>
      </c>
    </row>
    <row r="7678">
      <c r="A7678" s="2">
        <f>IFERROR(__xludf.DUMMYFUNCTION("""COMPUTED_VALUE"""),42493.66666666667)</f>
        <v>42493.66667</v>
      </c>
      <c r="B7678" s="1">
        <f>IFERROR(__xludf.DUMMYFUNCTION("""COMPUTED_VALUE"""),2077.18)</f>
        <v>2077.18</v>
      </c>
      <c r="C7678" s="1">
        <f>IFERROR(__xludf.DUMMYFUNCTION("""COMPUTED_VALUE"""),2077.18)</f>
        <v>2077.18</v>
      </c>
      <c r="D7678" s="1">
        <f>IFERROR(__xludf.DUMMYFUNCTION("""COMPUTED_VALUE"""),2054.89)</f>
        <v>2054.89</v>
      </c>
      <c r="E7678" s="1">
        <f>IFERROR(__xludf.DUMMYFUNCTION("""COMPUTED_VALUE"""),2063.37)</f>
        <v>2063.37</v>
      </c>
      <c r="F7678" s="1">
        <f>IFERROR(__xludf.DUMMYFUNCTION("""COMPUTED_VALUE"""),0.0)</f>
        <v>0</v>
      </c>
    </row>
    <row r="7679">
      <c r="A7679" s="2">
        <f>IFERROR(__xludf.DUMMYFUNCTION("""COMPUTED_VALUE"""),42494.66666666667)</f>
        <v>42494.66667</v>
      </c>
      <c r="B7679" s="1">
        <f>IFERROR(__xludf.DUMMYFUNCTION("""COMPUTED_VALUE"""),2060.3)</f>
        <v>2060.3</v>
      </c>
      <c r="C7679" s="1">
        <f>IFERROR(__xludf.DUMMYFUNCTION("""COMPUTED_VALUE"""),2060.3)</f>
        <v>2060.3</v>
      </c>
      <c r="D7679" s="1">
        <f>IFERROR(__xludf.DUMMYFUNCTION("""COMPUTED_VALUE"""),2045.55)</f>
        <v>2045.55</v>
      </c>
      <c r="E7679" s="1">
        <f>IFERROR(__xludf.DUMMYFUNCTION("""COMPUTED_VALUE"""),2051.12)</f>
        <v>2051.12</v>
      </c>
      <c r="F7679" s="1">
        <f>IFERROR(__xludf.DUMMYFUNCTION("""COMPUTED_VALUE"""),0.0)</f>
        <v>0</v>
      </c>
    </row>
    <row r="7680">
      <c r="A7680" s="2">
        <f>IFERROR(__xludf.DUMMYFUNCTION("""COMPUTED_VALUE"""),42495.66666666667)</f>
        <v>42495.66667</v>
      </c>
      <c r="B7680" s="1">
        <f>IFERROR(__xludf.DUMMYFUNCTION("""COMPUTED_VALUE"""),2052.95)</f>
        <v>2052.95</v>
      </c>
      <c r="C7680" s="1">
        <f>IFERROR(__xludf.DUMMYFUNCTION("""COMPUTED_VALUE"""),2060.23)</f>
        <v>2060.23</v>
      </c>
      <c r="D7680" s="1">
        <f>IFERROR(__xludf.DUMMYFUNCTION("""COMPUTED_VALUE"""),2045.77)</f>
        <v>2045.77</v>
      </c>
      <c r="E7680" s="1">
        <f>IFERROR(__xludf.DUMMYFUNCTION("""COMPUTED_VALUE"""),2050.63)</f>
        <v>2050.63</v>
      </c>
      <c r="F7680" s="1">
        <f>IFERROR(__xludf.DUMMYFUNCTION("""COMPUTED_VALUE"""),0.0)</f>
        <v>0</v>
      </c>
    </row>
    <row r="7681">
      <c r="A7681" s="2">
        <f>IFERROR(__xludf.DUMMYFUNCTION("""COMPUTED_VALUE"""),42496.66666666667)</f>
        <v>42496.66667</v>
      </c>
      <c r="B7681" s="1">
        <f>IFERROR(__xludf.DUMMYFUNCTION("""COMPUTED_VALUE"""),2047.77)</f>
        <v>2047.77</v>
      </c>
      <c r="C7681" s="1">
        <f>IFERROR(__xludf.DUMMYFUNCTION("""COMPUTED_VALUE"""),2057.72)</f>
        <v>2057.72</v>
      </c>
      <c r="D7681" s="1">
        <f>IFERROR(__xludf.DUMMYFUNCTION("""COMPUTED_VALUE"""),2039.45)</f>
        <v>2039.45</v>
      </c>
      <c r="E7681" s="1">
        <f>IFERROR(__xludf.DUMMYFUNCTION("""COMPUTED_VALUE"""),2057.14)</f>
        <v>2057.14</v>
      </c>
      <c r="F7681" s="1">
        <f>IFERROR(__xludf.DUMMYFUNCTION("""COMPUTED_VALUE"""),0.0)</f>
        <v>0</v>
      </c>
    </row>
    <row r="7682">
      <c r="A7682" s="2">
        <f>IFERROR(__xludf.DUMMYFUNCTION("""COMPUTED_VALUE"""),42499.66666666667)</f>
        <v>42499.66667</v>
      </c>
      <c r="B7682" s="1">
        <f>IFERROR(__xludf.DUMMYFUNCTION("""COMPUTED_VALUE"""),2057.55)</f>
        <v>2057.55</v>
      </c>
      <c r="C7682" s="1">
        <f>IFERROR(__xludf.DUMMYFUNCTION("""COMPUTED_VALUE"""),2064.15)</f>
        <v>2064.15</v>
      </c>
      <c r="D7682" s="1">
        <f>IFERROR(__xludf.DUMMYFUNCTION("""COMPUTED_VALUE"""),2054.31)</f>
        <v>2054.31</v>
      </c>
      <c r="E7682" s="1">
        <f>IFERROR(__xludf.DUMMYFUNCTION("""COMPUTED_VALUE"""),2058.69)</f>
        <v>2058.69</v>
      </c>
      <c r="F7682" s="1">
        <f>IFERROR(__xludf.DUMMYFUNCTION("""COMPUTED_VALUE"""),0.0)</f>
        <v>0</v>
      </c>
    </row>
    <row r="7683">
      <c r="A7683" s="2">
        <f>IFERROR(__xludf.DUMMYFUNCTION("""COMPUTED_VALUE"""),42500.66666666667)</f>
        <v>42500.66667</v>
      </c>
      <c r="B7683" s="1">
        <f>IFERROR(__xludf.DUMMYFUNCTION("""COMPUTED_VALUE"""),2062.63)</f>
        <v>2062.63</v>
      </c>
      <c r="C7683" s="1">
        <f>IFERROR(__xludf.DUMMYFUNCTION("""COMPUTED_VALUE"""),2084.87)</f>
        <v>2084.87</v>
      </c>
      <c r="D7683" s="1">
        <f>IFERROR(__xludf.DUMMYFUNCTION("""COMPUTED_VALUE"""),2062.63)</f>
        <v>2062.63</v>
      </c>
      <c r="E7683" s="1">
        <f>IFERROR(__xludf.DUMMYFUNCTION("""COMPUTED_VALUE"""),2084.39)</f>
        <v>2084.39</v>
      </c>
      <c r="F7683" s="1">
        <f>IFERROR(__xludf.DUMMYFUNCTION("""COMPUTED_VALUE"""),0.0)</f>
        <v>0</v>
      </c>
    </row>
    <row r="7684">
      <c r="A7684" s="2">
        <f>IFERROR(__xludf.DUMMYFUNCTION("""COMPUTED_VALUE"""),42501.66666666667)</f>
        <v>42501.66667</v>
      </c>
      <c r="B7684" s="1">
        <f>IFERROR(__xludf.DUMMYFUNCTION("""COMPUTED_VALUE"""),2083.29)</f>
        <v>2083.29</v>
      </c>
      <c r="C7684" s="1">
        <f>IFERROR(__xludf.DUMMYFUNCTION("""COMPUTED_VALUE"""),2083.29)</f>
        <v>2083.29</v>
      </c>
      <c r="D7684" s="1">
        <f>IFERROR(__xludf.DUMMYFUNCTION("""COMPUTED_VALUE"""),2064.46)</f>
        <v>2064.46</v>
      </c>
      <c r="E7684" s="1">
        <f>IFERROR(__xludf.DUMMYFUNCTION("""COMPUTED_VALUE"""),2064.46)</f>
        <v>2064.46</v>
      </c>
      <c r="F7684" s="1">
        <f>IFERROR(__xludf.DUMMYFUNCTION("""COMPUTED_VALUE"""),0.0)</f>
        <v>0</v>
      </c>
    </row>
    <row r="7685">
      <c r="A7685" s="2">
        <f>IFERROR(__xludf.DUMMYFUNCTION("""COMPUTED_VALUE"""),42502.66666666667)</f>
        <v>42502.66667</v>
      </c>
      <c r="B7685" s="1">
        <f>IFERROR(__xludf.DUMMYFUNCTION("""COMPUTED_VALUE"""),2067.17)</f>
        <v>2067.17</v>
      </c>
      <c r="C7685" s="1">
        <f>IFERROR(__xludf.DUMMYFUNCTION("""COMPUTED_VALUE"""),2073.99)</f>
        <v>2073.99</v>
      </c>
      <c r="D7685" s="1">
        <f>IFERROR(__xludf.DUMMYFUNCTION("""COMPUTED_VALUE"""),2053.13)</f>
        <v>2053.13</v>
      </c>
      <c r="E7685" s="1">
        <f>IFERROR(__xludf.DUMMYFUNCTION("""COMPUTED_VALUE"""),2064.11)</f>
        <v>2064.11</v>
      </c>
      <c r="F7685" s="1">
        <f>IFERROR(__xludf.DUMMYFUNCTION("""COMPUTED_VALUE"""),0.0)</f>
        <v>0</v>
      </c>
    </row>
    <row r="7686">
      <c r="A7686" s="2">
        <f>IFERROR(__xludf.DUMMYFUNCTION("""COMPUTED_VALUE"""),42503.66666666667)</f>
        <v>42503.66667</v>
      </c>
      <c r="B7686" s="1">
        <f>IFERROR(__xludf.DUMMYFUNCTION("""COMPUTED_VALUE"""),2062.5)</f>
        <v>2062.5</v>
      </c>
      <c r="C7686" s="1">
        <f>IFERROR(__xludf.DUMMYFUNCTION("""COMPUTED_VALUE"""),2066.79)</f>
        <v>2066.79</v>
      </c>
      <c r="D7686" s="1">
        <f>IFERROR(__xludf.DUMMYFUNCTION("""COMPUTED_VALUE"""),2043.13)</f>
        <v>2043.13</v>
      </c>
      <c r="E7686" s="1">
        <f>IFERROR(__xludf.DUMMYFUNCTION("""COMPUTED_VALUE"""),2046.61)</f>
        <v>2046.61</v>
      </c>
      <c r="F7686" s="1">
        <f>IFERROR(__xludf.DUMMYFUNCTION("""COMPUTED_VALUE"""),0.0)</f>
        <v>0</v>
      </c>
    </row>
    <row r="7687">
      <c r="A7687" s="2">
        <f>IFERROR(__xludf.DUMMYFUNCTION("""COMPUTED_VALUE"""),42506.66666666667)</f>
        <v>42506.66667</v>
      </c>
      <c r="B7687" s="1">
        <f>IFERROR(__xludf.DUMMYFUNCTION("""COMPUTED_VALUE"""),2046.53)</f>
        <v>2046.53</v>
      </c>
      <c r="C7687" s="1">
        <f>IFERROR(__xludf.DUMMYFUNCTION("""COMPUTED_VALUE"""),2071.88)</f>
        <v>2071.88</v>
      </c>
      <c r="D7687" s="1">
        <f>IFERROR(__xludf.DUMMYFUNCTION("""COMPUTED_VALUE"""),2046.53)</f>
        <v>2046.53</v>
      </c>
      <c r="E7687" s="1">
        <f>IFERROR(__xludf.DUMMYFUNCTION("""COMPUTED_VALUE"""),2066.66)</f>
        <v>2066.66</v>
      </c>
      <c r="F7687" s="1">
        <f>IFERROR(__xludf.DUMMYFUNCTION("""COMPUTED_VALUE"""),0.0)</f>
        <v>0</v>
      </c>
    </row>
    <row r="7688">
      <c r="A7688" s="2">
        <f>IFERROR(__xludf.DUMMYFUNCTION("""COMPUTED_VALUE"""),42507.66666666667)</f>
        <v>42507.66667</v>
      </c>
      <c r="B7688" s="1">
        <f>IFERROR(__xludf.DUMMYFUNCTION("""COMPUTED_VALUE"""),2065.04)</f>
        <v>2065.04</v>
      </c>
      <c r="C7688" s="1">
        <f>IFERROR(__xludf.DUMMYFUNCTION("""COMPUTED_VALUE"""),2065.69)</f>
        <v>2065.69</v>
      </c>
      <c r="D7688" s="1">
        <f>IFERROR(__xludf.DUMMYFUNCTION("""COMPUTED_VALUE"""),2040.82)</f>
        <v>2040.82</v>
      </c>
      <c r="E7688" s="1">
        <f>IFERROR(__xludf.DUMMYFUNCTION("""COMPUTED_VALUE"""),2047.21)</f>
        <v>2047.21</v>
      </c>
      <c r="F7688" s="1">
        <f>IFERROR(__xludf.DUMMYFUNCTION("""COMPUTED_VALUE"""),0.0)</f>
        <v>0</v>
      </c>
    </row>
    <row r="7689">
      <c r="A7689" s="2">
        <f>IFERROR(__xludf.DUMMYFUNCTION("""COMPUTED_VALUE"""),42508.66666666667)</f>
        <v>42508.66667</v>
      </c>
      <c r="B7689" s="1">
        <f>IFERROR(__xludf.DUMMYFUNCTION("""COMPUTED_VALUE"""),2044.38)</f>
        <v>2044.38</v>
      </c>
      <c r="C7689" s="1">
        <f>IFERROR(__xludf.DUMMYFUNCTION("""COMPUTED_VALUE"""),2060.61)</f>
        <v>2060.61</v>
      </c>
      <c r="D7689" s="1">
        <f>IFERROR(__xludf.DUMMYFUNCTION("""COMPUTED_VALUE"""),2034.49)</f>
        <v>2034.49</v>
      </c>
      <c r="E7689" s="1">
        <f>IFERROR(__xludf.DUMMYFUNCTION("""COMPUTED_VALUE"""),2047.63)</f>
        <v>2047.63</v>
      </c>
      <c r="F7689" s="1">
        <f>IFERROR(__xludf.DUMMYFUNCTION("""COMPUTED_VALUE"""),0.0)</f>
        <v>0</v>
      </c>
    </row>
    <row r="7690">
      <c r="A7690" s="2">
        <f>IFERROR(__xludf.DUMMYFUNCTION("""COMPUTED_VALUE"""),42509.66666666667)</f>
        <v>42509.66667</v>
      </c>
      <c r="B7690" s="1">
        <f>IFERROR(__xludf.DUMMYFUNCTION("""COMPUTED_VALUE"""),2044.21)</f>
        <v>2044.21</v>
      </c>
      <c r="C7690" s="1">
        <f>IFERROR(__xludf.DUMMYFUNCTION("""COMPUTED_VALUE"""),2044.21)</f>
        <v>2044.21</v>
      </c>
      <c r="D7690" s="1">
        <f>IFERROR(__xludf.DUMMYFUNCTION("""COMPUTED_VALUE"""),2025.91)</f>
        <v>2025.91</v>
      </c>
      <c r="E7690" s="1">
        <f>IFERROR(__xludf.DUMMYFUNCTION("""COMPUTED_VALUE"""),2040.04)</f>
        <v>2040.04</v>
      </c>
      <c r="F7690" s="1">
        <f>IFERROR(__xludf.DUMMYFUNCTION("""COMPUTED_VALUE"""),0.0)</f>
        <v>0</v>
      </c>
    </row>
    <row r="7691">
      <c r="A7691" s="2">
        <f>IFERROR(__xludf.DUMMYFUNCTION("""COMPUTED_VALUE"""),42510.66666666667)</f>
        <v>42510.66667</v>
      </c>
      <c r="B7691" s="1">
        <f>IFERROR(__xludf.DUMMYFUNCTION("""COMPUTED_VALUE"""),2041.88)</f>
        <v>2041.88</v>
      </c>
      <c r="C7691" s="1">
        <f>IFERROR(__xludf.DUMMYFUNCTION("""COMPUTED_VALUE"""),2058.35)</f>
        <v>2058.35</v>
      </c>
      <c r="D7691" s="1">
        <f>IFERROR(__xludf.DUMMYFUNCTION("""COMPUTED_VALUE"""),2041.88)</f>
        <v>2041.88</v>
      </c>
      <c r="E7691" s="1">
        <f>IFERROR(__xludf.DUMMYFUNCTION("""COMPUTED_VALUE"""),2052.32)</f>
        <v>2052.32</v>
      </c>
      <c r="F7691" s="1">
        <f>IFERROR(__xludf.DUMMYFUNCTION("""COMPUTED_VALUE"""),0.0)</f>
        <v>0</v>
      </c>
    </row>
    <row r="7692">
      <c r="A7692" s="2">
        <f>IFERROR(__xludf.DUMMYFUNCTION("""COMPUTED_VALUE"""),42513.66666666667)</f>
        <v>42513.66667</v>
      </c>
      <c r="B7692" s="1">
        <f>IFERROR(__xludf.DUMMYFUNCTION("""COMPUTED_VALUE"""),2052.23)</f>
        <v>2052.23</v>
      </c>
      <c r="C7692" s="1">
        <f>IFERROR(__xludf.DUMMYFUNCTION("""COMPUTED_VALUE"""),2055.58)</f>
        <v>2055.58</v>
      </c>
      <c r="D7692" s="1">
        <f>IFERROR(__xludf.DUMMYFUNCTION("""COMPUTED_VALUE"""),2047.26)</f>
        <v>2047.26</v>
      </c>
      <c r="E7692" s="1">
        <f>IFERROR(__xludf.DUMMYFUNCTION("""COMPUTED_VALUE"""),2048.04)</f>
        <v>2048.04</v>
      </c>
      <c r="F7692" s="1">
        <f>IFERROR(__xludf.DUMMYFUNCTION("""COMPUTED_VALUE"""),0.0)</f>
        <v>0</v>
      </c>
    </row>
    <row r="7693">
      <c r="A7693" s="2">
        <f>IFERROR(__xludf.DUMMYFUNCTION("""COMPUTED_VALUE"""),42514.66666666667)</f>
        <v>42514.66667</v>
      </c>
      <c r="B7693" s="1">
        <f>IFERROR(__xludf.DUMMYFUNCTION("""COMPUTED_VALUE"""),2052.65)</f>
        <v>2052.65</v>
      </c>
      <c r="C7693" s="1">
        <f>IFERROR(__xludf.DUMMYFUNCTION("""COMPUTED_VALUE"""),2079.67)</f>
        <v>2079.67</v>
      </c>
      <c r="D7693" s="1">
        <f>IFERROR(__xludf.DUMMYFUNCTION("""COMPUTED_VALUE"""),2052.65)</f>
        <v>2052.65</v>
      </c>
      <c r="E7693" s="1">
        <f>IFERROR(__xludf.DUMMYFUNCTION("""COMPUTED_VALUE"""),2076.06)</f>
        <v>2076.06</v>
      </c>
      <c r="F7693" s="1">
        <f>IFERROR(__xludf.DUMMYFUNCTION("""COMPUTED_VALUE"""),0.0)</f>
        <v>0</v>
      </c>
    </row>
    <row r="7694">
      <c r="A7694" s="2">
        <f>IFERROR(__xludf.DUMMYFUNCTION("""COMPUTED_VALUE"""),42515.66666666667)</f>
        <v>42515.66667</v>
      </c>
      <c r="B7694" s="1">
        <f>IFERROR(__xludf.DUMMYFUNCTION("""COMPUTED_VALUE"""),2078.93)</f>
        <v>2078.93</v>
      </c>
      <c r="C7694" s="1">
        <f>IFERROR(__xludf.DUMMYFUNCTION("""COMPUTED_VALUE"""),2094.73)</f>
        <v>2094.73</v>
      </c>
      <c r="D7694" s="1">
        <f>IFERROR(__xludf.DUMMYFUNCTION("""COMPUTED_VALUE"""),2078.93)</f>
        <v>2078.93</v>
      </c>
      <c r="E7694" s="1">
        <f>IFERROR(__xludf.DUMMYFUNCTION("""COMPUTED_VALUE"""),2090.54)</f>
        <v>2090.54</v>
      </c>
      <c r="F7694" s="1">
        <f>IFERROR(__xludf.DUMMYFUNCTION("""COMPUTED_VALUE"""),0.0)</f>
        <v>0</v>
      </c>
    </row>
    <row r="7695">
      <c r="A7695" s="2">
        <f>IFERROR(__xludf.DUMMYFUNCTION("""COMPUTED_VALUE"""),42516.66666666667)</f>
        <v>42516.66667</v>
      </c>
      <c r="B7695" s="1">
        <f>IFERROR(__xludf.DUMMYFUNCTION("""COMPUTED_VALUE"""),2091.44)</f>
        <v>2091.44</v>
      </c>
      <c r="C7695" s="1">
        <f>IFERROR(__xludf.DUMMYFUNCTION("""COMPUTED_VALUE"""),2094.3)</f>
        <v>2094.3</v>
      </c>
      <c r="D7695" s="1">
        <f>IFERROR(__xludf.DUMMYFUNCTION("""COMPUTED_VALUE"""),2087.08)</f>
        <v>2087.08</v>
      </c>
      <c r="E7695" s="1">
        <f>IFERROR(__xludf.DUMMYFUNCTION("""COMPUTED_VALUE"""),2090.1)</f>
        <v>2090.1</v>
      </c>
      <c r="F7695" s="1">
        <f>IFERROR(__xludf.DUMMYFUNCTION("""COMPUTED_VALUE"""),0.0)</f>
        <v>0</v>
      </c>
    </row>
    <row r="7696">
      <c r="A7696" s="2">
        <f>IFERROR(__xludf.DUMMYFUNCTION("""COMPUTED_VALUE"""),42517.66666666667)</f>
        <v>42517.66667</v>
      </c>
      <c r="B7696" s="1">
        <f>IFERROR(__xludf.DUMMYFUNCTION("""COMPUTED_VALUE"""),2090.06)</f>
        <v>2090.06</v>
      </c>
      <c r="C7696" s="1">
        <f>IFERROR(__xludf.DUMMYFUNCTION("""COMPUTED_VALUE"""),2099.06)</f>
        <v>2099.06</v>
      </c>
      <c r="D7696" s="1">
        <f>IFERROR(__xludf.DUMMYFUNCTION("""COMPUTED_VALUE"""),2090.06)</f>
        <v>2090.06</v>
      </c>
      <c r="E7696" s="1">
        <f>IFERROR(__xludf.DUMMYFUNCTION("""COMPUTED_VALUE"""),2099.06)</f>
        <v>2099.06</v>
      </c>
      <c r="F7696" s="1">
        <f>IFERROR(__xludf.DUMMYFUNCTION("""COMPUTED_VALUE"""),0.0)</f>
        <v>0</v>
      </c>
    </row>
    <row r="7697">
      <c r="A7697" s="2">
        <f>IFERROR(__xludf.DUMMYFUNCTION("""COMPUTED_VALUE"""),42521.66666666667)</f>
        <v>42521.66667</v>
      </c>
      <c r="B7697" s="1">
        <f>IFERROR(__xludf.DUMMYFUNCTION("""COMPUTED_VALUE"""),2100.13)</f>
        <v>2100.13</v>
      </c>
      <c r="C7697" s="1">
        <f>IFERROR(__xludf.DUMMYFUNCTION("""COMPUTED_VALUE"""),2103.48)</f>
        <v>2103.48</v>
      </c>
      <c r="D7697" s="1">
        <f>IFERROR(__xludf.DUMMYFUNCTION("""COMPUTED_VALUE"""),2088.66)</f>
        <v>2088.66</v>
      </c>
      <c r="E7697" s="1">
        <f>IFERROR(__xludf.DUMMYFUNCTION("""COMPUTED_VALUE"""),2096.96)</f>
        <v>2096.96</v>
      </c>
      <c r="F7697" s="1">
        <f>IFERROR(__xludf.DUMMYFUNCTION("""COMPUTED_VALUE"""),0.0)</f>
        <v>0</v>
      </c>
    </row>
    <row r="7698">
      <c r="A7698" s="2">
        <f>IFERROR(__xludf.DUMMYFUNCTION("""COMPUTED_VALUE"""),42522.66666666667)</f>
        <v>42522.66667</v>
      </c>
      <c r="B7698" s="1">
        <f>IFERROR(__xludf.DUMMYFUNCTION("""COMPUTED_VALUE"""),2093.94)</f>
        <v>2093.94</v>
      </c>
      <c r="C7698" s="1">
        <f>IFERROR(__xludf.DUMMYFUNCTION("""COMPUTED_VALUE"""),2100.97)</f>
        <v>2100.97</v>
      </c>
      <c r="D7698" s="1">
        <f>IFERROR(__xludf.DUMMYFUNCTION("""COMPUTED_VALUE"""),2085.1)</f>
        <v>2085.1</v>
      </c>
      <c r="E7698" s="1">
        <f>IFERROR(__xludf.DUMMYFUNCTION("""COMPUTED_VALUE"""),2099.33)</f>
        <v>2099.33</v>
      </c>
      <c r="F7698" s="1">
        <f>IFERROR(__xludf.DUMMYFUNCTION("""COMPUTED_VALUE"""),0.0)</f>
        <v>0</v>
      </c>
    </row>
    <row r="7699">
      <c r="A7699" s="2">
        <f>IFERROR(__xludf.DUMMYFUNCTION("""COMPUTED_VALUE"""),42523.66666666667)</f>
        <v>42523.66667</v>
      </c>
      <c r="B7699" s="1">
        <f>IFERROR(__xludf.DUMMYFUNCTION("""COMPUTED_VALUE"""),2097.71)</f>
        <v>2097.71</v>
      </c>
      <c r="C7699" s="1">
        <f>IFERROR(__xludf.DUMMYFUNCTION("""COMPUTED_VALUE"""),2105.26)</f>
        <v>2105.26</v>
      </c>
      <c r="D7699" s="1">
        <f>IFERROR(__xludf.DUMMYFUNCTION("""COMPUTED_VALUE"""),2088.59)</f>
        <v>2088.59</v>
      </c>
      <c r="E7699" s="1">
        <f>IFERROR(__xludf.DUMMYFUNCTION("""COMPUTED_VALUE"""),2105.26)</f>
        <v>2105.26</v>
      </c>
      <c r="F7699" s="1">
        <f>IFERROR(__xludf.DUMMYFUNCTION("""COMPUTED_VALUE"""),0.0)</f>
        <v>0</v>
      </c>
    </row>
    <row r="7700">
      <c r="A7700" s="2">
        <f>IFERROR(__xludf.DUMMYFUNCTION("""COMPUTED_VALUE"""),42524.66666666667)</f>
        <v>42524.66667</v>
      </c>
      <c r="B7700" s="1">
        <f>IFERROR(__xludf.DUMMYFUNCTION("""COMPUTED_VALUE"""),2104.07)</f>
        <v>2104.07</v>
      </c>
      <c r="C7700" s="1">
        <f>IFERROR(__xludf.DUMMYFUNCTION("""COMPUTED_VALUE"""),2104.07)</f>
        <v>2104.07</v>
      </c>
      <c r="D7700" s="1">
        <f>IFERROR(__xludf.DUMMYFUNCTION("""COMPUTED_VALUE"""),2085.36)</f>
        <v>2085.36</v>
      </c>
      <c r="E7700" s="1">
        <f>IFERROR(__xludf.DUMMYFUNCTION("""COMPUTED_VALUE"""),2099.13)</f>
        <v>2099.13</v>
      </c>
      <c r="F7700" s="1">
        <f>IFERROR(__xludf.DUMMYFUNCTION("""COMPUTED_VALUE"""),0.0)</f>
        <v>0</v>
      </c>
    </row>
    <row r="7701">
      <c r="A7701" s="2">
        <f>IFERROR(__xludf.DUMMYFUNCTION("""COMPUTED_VALUE"""),42527.66666666667)</f>
        <v>42527.66667</v>
      </c>
      <c r="B7701" s="1">
        <f>IFERROR(__xludf.DUMMYFUNCTION("""COMPUTED_VALUE"""),2100.83)</f>
        <v>2100.83</v>
      </c>
      <c r="C7701" s="1">
        <f>IFERROR(__xludf.DUMMYFUNCTION("""COMPUTED_VALUE"""),2113.36)</f>
        <v>2113.36</v>
      </c>
      <c r="D7701" s="1">
        <f>IFERROR(__xludf.DUMMYFUNCTION("""COMPUTED_VALUE"""),2100.83)</f>
        <v>2100.83</v>
      </c>
      <c r="E7701" s="1">
        <f>IFERROR(__xludf.DUMMYFUNCTION("""COMPUTED_VALUE"""),2109.41)</f>
        <v>2109.41</v>
      </c>
      <c r="F7701" s="1">
        <f>IFERROR(__xludf.DUMMYFUNCTION("""COMPUTED_VALUE"""),0.0)</f>
        <v>0</v>
      </c>
    </row>
    <row r="7702">
      <c r="A7702" s="2">
        <f>IFERROR(__xludf.DUMMYFUNCTION("""COMPUTED_VALUE"""),42528.66666666667)</f>
        <v>42528.66667</v>
      </c>
      <c r="B7702" s="1">
        <f>IFERROR(__xludf.DUMMYFUNCTION("""COMPUTED_VALUE"""),2110.18)</f>
        <v>2110.18</v>
      </c>
      <c r="C7702" s="1">
        <f>IFERROR(__xludf.DUMMYFUNCTION("""COMPUTED_VALUE"""),2119.22)</f>
        <v>2119.22</v>
      </c>
      <c r="D7702" s="1">
        <f>IFERROR(__xludf.DUMMYFUNCTION("""COMPUTED_VALUE"""),2110.18)</f>
        <v>2110.18</v>
      </c>
      <c r="E7702" s="1">
        <f>IFERROR(__xludf.DUMMYFUNCTION("""COMPUTED_VALUE"""),2112.13)</f>
        <v>2112.13</v>
      </c>
      <c r="F7702" s="1">
        <f>IFERROR(__xludf.DUMMYFUNCTION("""COMPUTED_VALUE"""),0.0)</f>
        <v>0</v>
      </c>
    </row>
    <row r="7703">
      <c r="A7703" s="2">
        <f>IFERROR(__xludf.DUMMYFUNCTION("""COMPUTED_VALUE"""),42529.66666666667)</f>
        <v>42529.66667</v>
      </c>
      <c r="B7703" s="1">
        <f>IFERROR(__xludf.DUMMYFUNCTION("""COMPUTED_VALUE"""),2112.71)</f>
        <v>2112.71</v>
      </c>
      <c r="C7703" s="1">
        <f>IFERROR(__xludf.DUMMYFUNCTION("""COMPUTED_VALUE"""),2120.55)</f>
        <v>2120.55</v>
      </c>
      <c r="D7703" s="1">
        <f>IFERROR(__xludf.DUMMYFUNCTION("""COMPUTED_VALUE"""),2112.71)</f>
        <v>2112.71</v>
      </c>
      <c r="E7703" s="1">
        <f>IFERROR(__xludf.DUMMYFUNCTION("""COMPUTED_VALUE"""),2119.12)</f>
        <v>2119.12</v>
      </c>
      <c r="F7703" s="1">
        <f>IFERROR(__xludf.DUMMYFUNCTION("""COMPUTED_VALUE"""),0.0)</f>
        <v>0</v>
      </c>
    </row>
    <row r="7704">
      <c r="A7704" s="2">
        <f>IFERROR(__xludf.DUMMYFUNCTION("""COMPUTED_VALUE"""),42530.66666666667)</f>
        <v>42530.66667</v>
      </c>
      <c r="B7704" s="1">
        <f>IFERROR(__xludf.DUMMYFUNCTION("""COMPUTED_VALUE"""),2115.65)</f>
        <v>2115.65</v>
      </c>
      <c r="C7704" s="1">
        <f>IFERROR(__xludf.DUMMYFUNCTION("""COMPUTED_VALUE"""),2117.64)</f>
        <v>2117.64</v>
      </c>
      <c r="D7704" s="1">
        <f>IFERROR(__xludf.DUMMYFUNCTION("""COMPUTED_VALUE"""),2107.73)</f>
        <v>2107.73</v>
      </c>
      <c r="E7704" s="1">
        <f>IFERROR(__xludf.DUMMYFUNCTION("""COMPUTED_VALUE"""),2115.48)</f>
        <v>2115.48</v>
      </c>
      <c r="F7704" s="1">
        <f>IFERROR(__xludf.DUMMYFUNCTION("""COMPUTED_VALUE"""),0.0)</f>
        <v>0</v>
      </c>
    </row>
    <row r="7705">
      <c r="A7705" s="2">
        <f>IFERROR(__xludf.DUMMYFUNCTION("""COMPUTED_VALUE"""),42531.66666666667)</f>
        <v>42531.66667</v>
      </c>
      <c r="B7705" s="1">
        <f>IFERROR(__xludf.DUMMYFUNCTION("""COMPUTED_VALUE"""),2109.57)</f>
        <v>2109.57</v>
      </c>
      <c r="C7705" s="1">
        <f>IFERROR(__xludf.DUMMYFUNCTION("""COMPUTED_VALUE"""),2109.57)</f>
        <v>2109.57</v>
      </c>
      <c r="D7705" s="1">
        <f>IFERROR(__xludf.DUMMYFUNCTION("""COMPUTED_VALUE"""),2089.96)</f>
        <v>2089.96</v>
      </c>
      <c r="E7705" s="1">
        <f>IFERROR(__xludf.DUMMYFUNCTION("""COMPUTED_VALUE"""),2096.07)</f>
        <v>2096.07</v>
      </c>
      <c r="F7705" s="1">
        <f>IFERROR(__xludf.DUMMYFUNCTION("""COMPUTED_VALUE"""),0.0)</f>
        <v>0</v>
      </c>
    </row>
    <row r="7706">
      <c r="A7706" s="2">
        <f>IFERROR(__xludf.DUMMYFUNCTION("""COMPUTED_VALUE"""),42534.66666666667)</f>
        <v>42534.66667</v>
      </c>
      <c r="B7706" s="1">
        <f>IFERROR(__xludf.DUMMYFUNCTION("""COMPUTED_VALUE"""),2091.75)</f>
        <v>2091.75</v>
      </c>
      <c r="C7706" s="1">
        <f>IFERROR(__xludf.DUMMYFUNCTION("""COMPUTED_VALUE"""),2098.12)</f>
        <v>2098.12</v>
      </c>
      <c r="D7706" s="1">
        <f>IFERROR(__xludf.DUMMYFUNCTION("""COMPUTED_VALUE"""),2078.46)</f>
        <v>2078.46</v>
      </c>
      <c r="E7706" s="1">
        <f>IFERROR(__xludf.DUMMYFUNCTION("""COMPUTED_VALUE"""),2079.06)</f>
        <v>2079.06</v>
      </c>
      <c r="F7706" s="1">
        <f>IFERROR(__xludf.DUMMYFUNCTION("""COMPUTED_VALUE"""),0.0)</f>
        <v>0</v>
      </c>
    </row>
    <row r="7707">
      <c r="A7707" s="2">
        <f>IFERROR(__xludf.DUMMYFUNCTION("""COMPUTED_VALUE"""),42535.66666666667)</f>
        <v>42535.66667</v>
      </c>
      <c r="B7707" s="1">
        <f>IFERROR(__xludf.DUMMYFUNCTION("""COMPUTED_VALUE"""),2076.65)</f>
        <v>2076.65</v>
      </c>
      <c r="C7707" s="1">
        <f>IFERROR(__xludf.DUMMYFUNCTION("""COMPUTED_VALUE"""),2081.3)</f>
        <v>2081.3</v>
      </c>
      <c r="D7707" s="1">
        <f>IFERROR(__xludf.DUMMYFUNCTION("""COMPUTED_VALUE"""),2064.1)</f>
        <v>2064.1</v>
      </c>
      <c r="E7707" s="1">
        <f>IFERROR(__xludf.DUMMYFUNCTION("""COMPUTED_VALUE"""),2075.32)</f>
        <v>2075.32</v>
      </c>
      <c r="F7707" s="1">
        <f>IFERROR(__xludf.DUMMYFUNCTION("""COMPUTED_VALUE"""),0.0)</f>
        <v>0</v>
      </c>
    </row>
    <row r="7708">
      <c r="A7708" s="2">
        <f>IFERROR(__xludf.DUMMYFUNCTION("""COMPUTED_VALUE"""),42536.66666666667)</f>
        <v>42536.66667</v>
      </c>
      <c r="B7708" s="1">
        <f>IFERROR(__xludf.DUMMYFUNCTION("""COMPUTED_VALUE"""),2078.62)</f>
        <v>2078.62</v>
      </c>
      <c r="C7708" s="1">
        <f>IFERROR(__xludf.DUMMYFUNCTION("""COMPUTED_VALUE"""),2085.65)</f>
        <v>2085.65</v>
      </c>
      <c r="D7708" s="1">
        <f>IFERROR(__xludf.DUMMYFUNCTION("""COMPUTED_VALUE"""),2069.8)</f>
        <v>2069.8</v>
      </c>
      <c r="E7708" s="1">
        <f>IFERROR(__xludf.DUMMYFUNCTION("""COMPUTED_VALUE"""),2071.5)</f>
        <v>2071.5</v>
      </c>
      <c r="F7708" s="1">
        <f>IFERROR(__xludf.DUMMYFUNCTION("""COMPUTED_VALUE"""),0.0)</f>
        <v>0</v>
      </c>
    </row>
    <row r="7709">
      <c r="A7709" s="2">
        <f>IFERROR(__xludf.DUMMYFUNCTION("""COMPUTED_VALUE"""),42537.66666666667)</f>
        <v>42537.66667</v>
      </c>
      <c r="B7709" s="1">
        <f>IFERROR(__xludf.DUMMYFUNCTION("""COMPUTED_VALUE"""),2066.36)</f>
        <v>2066.36</v>
      </c>
      <c r="C7709" s="1">
        <f>IFERROR(__xludf.DUMMYFUNCTION("""COMPUTED_VALUE"""),2079.62)</f>
        <v>2079.62</v>
      </c>
      <c r="D7709" s="1">
        <f>IFERROR(__xludf.DUMMYFUNCTION("""COMPUTED_VALUE"""),2050.37)</f>
        <v>2050.37</v>
      </c>
      <c r="E7709" s="1">
        <f>IFERROR(__xludf.DUMMYFUNCTION("""COMPUTED_VALUE"""),2077.99)</f>
        <v>2077.99</v>
      </c>
      <c r="F7709" s="1">
        <f>IFERROR(__xludf.DUMMYFUNCTION("""COMPUTED_VALUE"""),0.0)</f>
        <v>0</v>
      </c>
    </row>
    <row r="7710">
      <c r="A7710" s="2">
        <f>IFERROR(__xludf.DUMMYFUNCTION("""COMPUTED_VALUE"""),42538.66666666667)</f>
        <v>42538.66667</v>
      </c>
      <c r="B7710" s="1">
        <f>IFERROR(__xludf.DUMMYFUNCTION("""COMPUTED_VALUE"""),2078.2)</f>
        <v>2078.2</v>
      </c>
      <c r="C7710" s="1">
        <f>IFERROR(__xludf.DUMMYFUNCTION("""COMPUTED_VALUE"""),2078.2)</f>
        <v>2078.2</v>
      </c>
      <c r="D7710" s="1">
        <f>IFERROR(__xludf.DUMMYFUNCTION("""COMPUTED_VALUE"""),2062.84)</f>
        <v>2062.84</v>
      </c>
      <c r="E7710" s="1">
        <f>IFERROR(__xludf.DUMMYFUNCTION("""COMPUTED_VALUE"""),2071.22)</f>
        <v>2071.22</v>
      </c>
      <c r="F7710" s="1">
        <f>IFERROR(__xludf.DUMMYFUNCTION("""COMPUTED_VALUE"""),0.0)</f>
        <v>0</v>
      </c>
    </row>
    <row r="7711">
      <c r="A7711" s="2">
        <f>IFERROR(__xludf.DUMMYFUNCTION("""COMPUTED_VALUE"""),42541.66666666667)</f>
        <v>42541.66667</v>
      </c>
      <c r="B7711" s="1">
        <f>IFERROR(__xludf.DUMMYFUNCTION("""COMPUTED_VALUE"""),2075.58)</f>
        <v>2075.58</v>
      </c>
      <c r="C7711" s="1">
        <f>IFERROR(__xludf.DUMMYFUNCTION("""COMPUTED_VALUE"""),2100.66)</f>
        <v>2100.66</v>
      </c>
      <c r="D7711" s="1">
        <f>IFERROR(__xludf.DUMMYFUNCTION("""COMPUTED_VALUE"""),2075.58)</f>
        <v>2075.58</v>
      </c>
      <c r="E7711" s="1">
        <f>IFERROR(__xludf.DUMMYFUNCTION("""COMPUTED_VALUE"""),2083.25)</f>
        <v>2083.25</v>
      </c>
      <c r="F7711" s="1">
        <f>IFERROR(__xludf.DUMMYFUNCTION("""COMPUTED_VALUE"""),0.0)</f>
        <v>0</v>
      </c>
    </row>
    <row r="7712">
      <c r="A7712" s="2">
        <f>IFERROR(__xludf.DUMMYFUNCTION("""COMPUTED_VALUE"""),42542.66666666667)</f>
        <v>42542.66667</v>
      </c>
      <c r="B7712" s="1">
        <f>IFERROR(__xludf.DUMMYFUNCTION("""COMPUTED_VALUE"""),2085.19)</f>
        <v>2085.19</v>
      </c>
      <c r="C7712" s="1">
        <f>IFERROR(__xludf.DUMMYFUNCTION("""COMPUTED_VALUE"""),2093.66)</f>
        <v>2093.66</v>
      </c>
      <c r="D7712" s="1">
        <f>IFERROR(__xludf.DUMMYFUNCTION("""COMPUTED_VALUE"""),2083.02)</f>
        <v>2083.02</v>
      </c>
      <c r="E7712" s="1">
        <f>IFERROR(__xludf.DUMMYFUNCTION("""COMPUTED_VALUE"""),2088.9)</f>
        <v>2088.9</v>
      </c>
      <c r="F7712" s="1">
        <f>IFERROR(__xludf.DUMMYFUNCTION("""COMPUTED_VALUE"""),0.0)</f>
        <v>0</v>
      </c>
    </row>
    <row r="7713">
      <c r="A7713" s="2">
        <f>IFERROR(__xludf.DUMMYFUNCTION("""COMPUTED_VALUE"""),42543.66666666667)</f>
        <v>42543.66667</v>
      </c>
      <c r="B7713" s="1">
        <f>IFERROR(__xludf.DUMMYFUNCTION("""COMPUTED_VALUE"""),2089.75)</f>
        <v>2089.75</v>
      </c>
      <c r="C7713" s="1">
        <f>IFERROR(__xludf.DUMMYFUNCTION("""COMPUTED_VALUE"""),2099.71)</f>
        <v>2099.71</v>
      </c>
      <c r="D7713" s="1">
        <f>IFERROR(__xludf.DUMMYFUNCTION("""COMPUTED_VALUE"""),2084.36)</f>
        <v>2084.36</v>
      </c>
      <c r="E7713" s="1">
        <f>IFERROR(__xludf.DUMMYFUNCTION("""COMPUTED_VALUE"""),2085.45)</f>
        <v>2085.45</v>
      </c>
      <c r="F7713" s="1">
        <f>IFERROR(__xludf.DUMMYFUNCTION("""COMPUTED_VALUE"""),0.0)</f>
        <v>0</v>
      </c>
    </row>
    <row r="7714">
      <c r="A7714" s="2">
        <f>IFERROR(__xludf.DUMMYFUNCTION("""COMPUTED_VALUE"""),42544.66666666667)</f>
        <v>42544.66667</v>
      </c>
      <c r="B7714" s="1">
        <f>IFERROR(__xludf.DUMMYFUNCTION("""COMPUTED_VALUE"""),2092.8)</f>
        <v>2092.8</v>
      </c>
      <c r="C7714" s="1">
        <f>IFERROR(__xludf.DUMMYFUNCTION("""COMPUTED_VALUE"""),2113.32)</f>
        <v>2113.32</v>
      </c>
      <c r="D7714" s="1">
        <f>IFERROR(__xludf.DUMMYFUNCTION("""COMPUTED_VALUE"""),2092.8)</f>
        <v>2092.8</v>
      </c>
      <c r="E7714" s="1">
        <f>IFERROR(__xludf.DUMMYFUNCTION("""COMPUTED_VALUE"""),2113.32)</f>
        <v>2113.32</v>
      </c>
      <c r="F7714" s="1">
        <f>IFERROR(__xludf.DUMMYFUNCTION("""COMPUTED_VALUE"""),0.0)</f>
        <v>0</v>
      </c>
    </row>
    <row r="7715">
      <c r="A7715" s="2">
        <f>IFERROR(__xludf.DUMMYFUNCTION("""COMPUTED_VALUE"""),42545.66666666667)</f>
        <v>42545.66667</v>
      </c>
      <c r="B7715" s="1">
        <f>IFERROR(__xludf.DUMMYFUNCTION("""COMPUTED_VALUE"""),2103.81)</f>
        <v>2103.81</v>
      </c>
      <c r="C7715" s="1">
        <f>IFERROR(__xludf.DUMMYFUNCTION("""COMPUTED_VALUE"""),2103.81)</f>
        <v>2103.81</v>
      </c>
      <c r="D7715" s="1">
        <f>IFERROR(__xludf.DUMMYFUNCTION("""COMPUTED_VALUE"""),2032.57)</f>
        <v>2032.57</v>
      </c>
      <c r="E7715" s="1">
        <f>IFERROR(__xludf.DUMMYFUNCTION("""COMPUTED_VALUE"""),2037.41)</f>
        <v>2037.41</v>
      </c>
      <c r="F7715" s="1">
        <f>IFERROR(__xludf.DUMMYFUNCTION("""COMPUTED_VALUE"""),0.0)</f>
        <v>0</v>
      </c>
    </row>
    <row r="7716">
      <c r="A7716" s="2">
        <f>IFERROR(__xludf.DUMMYFUNCTION("""COMPUTED_VALUE"""),42548.66666666667)</f>
        <v>42548.66667</v>
      </c>
      <c r="B7716" s="1">
        <f>IFERROR(__xludf.DUMMYFUNCTION("""COMPUTED_VALUE"""),2031.45)</f>
        <v>2031.45</v>
      </c>
      <c r="C7716" s="1">
        <f>IFERROR(__xludf.DUMMYFUNCTION("""COMPUTED_VALUE"""),2031.45)</f>
        <v>2031.45</v>
      </c>
      <c r="D7716" s="1">
        <f>IFERROR(__xludf.DUMMYFUNCTION("""COMPUTED_VALUE"""),1991.68)</f>
        <v>1991.68</v>
      </c>
      <c r="E7716" s="1">
        <f>IFERROR(__xludf.DUMMYFUNCTION("""COMPUTED_VALUE"""),2000.54)</f>
        <v>2000.54</v>
      </c>
      <c r="F7716" s="1">
        <f>IFERROR(__xludf.DUMMYFUNCTION("""COMPUTED_VALUE"""),0.0)</f>
        <v>0</v>
      </c>
    </row>
    <row r="7717">
      <c r="A7717" s="2">
        <f>IFERROR(__xludf.DUMMYFUNCTION("""COMPUTED_VALUE"""),42549.66666666667)</f>
        <v>42549.66667</v>
      </c>
      <c r="B7717" s="1">
        <f>IFERROR(__xludf.DUMMYFUNCTION("""COMPUTED_VALUE"""),2006.67)</f>
        <v>2006.67</v>
      </c>
      <c r="C7717" s="1">
        <f>IFERROR(__xludf.DUMMYFUNCTION("""COMPUTED_VALUE"""),2036.09)</f>
        <v>2036.09</v>
      </c>
      <c r="D7717" s="1">
        <f>IFERROR(__xludf.DUMMYFUNCTION("""COMPUTED_VALUE"""),2006.67)</f>
        <v>2006.67</v>
      </c>
      <c r="E7717" s="1">
        <f>IFERROR(__xludf.DUMMYFUNCTION("""COMPUTED_VALUE"""),2036.09)</f>
        <v>2036.09</v>
      </c>
      <c r="F7717" s="1">
        <f>IFERROR(__xludf.DUMMYFUNCTION("""COMPUTED_VALUE"""),0.0)</f>
        <v>0</v>
      </c>
    </row>
    <row r="7718">
      <c r="A7718" s="2">
        <f>IFERROR(__xludf.DUMMYFUNCTION("""COMPUTED_VALUE"""),42550.66666666667)</f>
        <v>42550.66667</v>
      </c>
      <c r="B7718" s="1">
        <f>IFERROR(__xludf.DUMMYFUNCTION("""COMPUTED_VALUE"""),2042.69)</f>
        <v>2042.69</v>
      </c>
      <c r="C7718" s="1">
        <f>IFERROR(__xludf.DUMMYFUNCTION("""COMPUTED_VALUE"""),2073.13)</f>
        <v>2073.13</v>
      </c>
      <c r="D7718" s="1">
        <f>IFERROR(__xludf.DUMMYFUNCTION("""COMPUTED_VALUE"""),2042.69)</f>
        <v>2042.69</v>
      </c>
      <c r="E7718" s="1">
        <f>IFERROR(__xludf.DUMMYFUNCTION("""COMPUTED_VALUE"""),2070.77)</f>
        <v>2070.77</v>
      </c>
      <c r="F7718" s="1">
        <f>IFERROR(__xludf.DUMMYFUNCTION("""COMPUTED_VALUE"""),0.0)</f>
        <v>0</v>
      </c>
    </row>
    <row r="7719">
      <c r="A7719" s="2">
        <f>IFERROR(__xludf.DUMMYFUNCTION("""COMPUTED_VALUE"""),42551.66666666667)</f>
        <v>42551.66667</v>
      </c>
      <c r="B7719" s="1">
        <f>IFERROR(__xludf.DUMMYFUNCTION("""COMPUTED_VALUE"""),2073.17)</f>
        <v>2073.17</v>
      </c>
      <c r="C7719" s="1">
        <f>IFERROR(__xludf.DUMMYFUNCTION("""COMPUTED_VALUE"""),2098.94)</f>
        <v>2098.94</v>
      </c>
      <c r="D7719" s="1">
        <f>IFERROR(__xludf.DUMMYFUNCTION("""COMPUTED_VALUE"""),2070.0)</f>
        <v>2070</v>
      </c>
      <c r="E7719" s="1">
        <f>IFERROR(__xludf.DUMMYFUNCTION("""COMPUTED_VALUE"""),2098.86)</f>
        <v>2098.86</v>
      </c>
      <c r="F7719" s="1">
        <f>IFERROR(__xludf.DUMMYFUNCTION("""COMPUTED_VALUE"""),0.0)</f>
        <v>0</v>
      </c>
    </row>
    <row r="7720">
      <c r="A7720" s="2">
        <f>IFERROR(__xludf.DUMMYFUNCTION("""COMPUTED_VALUE"""),42552.66666666667)</f>
        <v>42552.66667</v>
      </c>
      <c r="B7720" s="1">
        <f>IFERROR(__xludf.DUMMYFUNCTION("""COMPUTED_VALUE"""),2099.34)</f>
        <v>2099.34</v>
      </c>
      <c r="C7720" s="1">
        <f>IFERROR(__xludf.DUMMYFUNCTION("""COMPUTED_VALUE"""),2108.71)</f>
        <v>2108.71</v>
      </c>
      <c r="D7720" s="1">
        <f>IFERROR(__xludf.DUMMYFUNCTION("""COMPUTED_VALUE"""),2097.9)</f>
        <v>2097.9</v>
      </c>
      <c r="E7720" s="1">
        <f>IFERROR(__xludf.DUMMYFUNCTION("""COMPUTED_VALUE"""),2102.95)</f>
        <v>2102.95</v>
      </c>
      <c r="F7720" s="1">
        <f>IFERROR(__xludf.DUMMYFUNCTION("""COMPUTED_VALUE"""),0.0)</f>
        <v>0</v>
      </c>
    </row>
    <row r="7721">
      <c r="A7721" s="2">
        <f>IFERROR(__xludf.DUMMYFUNCTION("""COMPUTED_VALUE"""),42556.66666666667)</f>
        <v>42556.66667</v>
      </c>
      <c r="B7721" s="1">
        <f>IFERROR(__xludf.DUMMYFUNCTION("""COMPUTED_VALUE"""),2095.05)</f>
        <v>2095.05</v>
      </c>
      <c r="C7721" s="1">
        <f>IFERROR(__xludf.DUMMYFUNCTION("""COMPUTED_VALUE"""),2095.05)</f>
        <v>2095.05</v>
      </c>
      <c r="D7721" s="1">
        <f>IFERROR(__xludf.DUMMYFUNCTION("""COMPUTED_VALUE"""),2080.86)</f>
        <v>2080.86</v>
      </c>
      <c r="E7721" s="1">
        <f>IFERROR(__xludf.DUMMYFUNCTION("""COMPUTED_VALUE"""),2088.55)</f>
        <v>2088.55</v>
      </c>
      <c r="F7721" s="1">
        <f>IFERROR(__xludf.DUMMYFUNCTION("""COMPUTED_VALUE"""),0.0)</f>
        <v>0</v>
      </c>
    </row>
    <row r="7722">
      <c r="A7722" s="2">
        <f>IFERROR(__xludf.DUMMYFUNCTION("""COMPUTED_VALUE"""),42557.66666666667)</f>
        <v>42557.66667</v>
      </c>
      <c r="B7722" s="1">
        <f>IFERROR(__xludf.DUMMYFUNCTION("""COMPUTED_VALUE"""),2084.43)</f>
        <v>2084.43</v>
      </c>
      <c r="C7722" s="1">
        <f>IFERROR(__xludf.DUMMYFUNCTION("""COMPUTED_VALUE"""),2100.72)</f>
        <v>2100.72</v>
      </c>
      <c r="D7722" s="1">
        <f>IFERROR(__xludf.DUMMYFUNCTION("""COMPUTED_VALUE"""),2074.02)</f>
        <v>2074.02</v>
      </c>
      <c r="E7722" s="1">
        <f>IFERROR(__xludf.DUMMYFUNCTION("""COMPUTED_VALUE"""),2099.73)</f>
        <v>2099.73</v>
      </c>
      <c r="F7722" s="1">
        <f>IFERROR(__xludf.DUMMYFUNCTION("""COMPUTED_VALUE"""),0.0)</f>
        <v>0</v>
      </c>
    </row>
    <row r="7723">
      <c r="A7723" s="2">
        <f>IFERROR(__xludf.DUMMYFUNCTION("""COMPUTED_VALUE"""),42558.66666666667)</f>
        <v>42558.66667</v>
      </c>
      <c r="B7723" s="1">
        <f>IFERROR(__xludf.DUMMYFUNCTION("""COMPUTED_VALUE"""),2100.42)</f>
        <v>2100.42</v>
      </c>
      <c r="C7723" s="1">
        <f>IFERROR(__xludf.DUMMYFUNCTION("""COMPUTED_VALUE"""),2109.08)</f>
        <v>2109.08</v>
      </c>
      <c r="D7723" s="1">
        <f>IFERROR(__xludf.DUMMYFUNCTION("""COMPUTED_VALUE"""),2089.39)</f>
        <v>2089.39</v>
      </c>
      <c r="E7723" s="1">
        <f>IFERROR(__xludf.DUMMYFUNCTION("""COMPUTED_VALUE"""),2097.9)</f>
        <v>2097.9</v>
      </c>
      <c r="F7723" s="1">
        <f>IFERROR(__xludf.DUMMYFUNCTION("""COMPUTED_VALUE"""),0.0)</f>
        <v>0</v>
      </c>
    </row>
    <row r="7724">
      <c r="A7724" s="2">
        <f>IFERROR(__xludf.DUMMYFUNCTION("""COMPUTED_VALUE"""),42559.66666666667)</f>
        <v>42559.66667</v>
      </c>
      <c r="B7724" s="1">
        <f>IFERROR(__xludf.DUMMYFUNCTION("""COMPUTED_VALUE"""),2106.97)</f>
        <v>2106.97</v>
      </c>
      <c r="C7724" s="1">
        <f>IFERROR(__xludf.DUMMYFUNCTION("""COMPUTED_VALUE"""),2131.71)</f>
        <v>2131.71</v>
      </c>
      <c r="D7724" s="1">
        <f>IFERROR(__xludf.DUMMYFUNCTION("""COMPUTED_VALUE"""),2106.97)</f>
        <v>2106.97</v>
      </c>
      <c r="E7724" s="1">
        <f>IFERROR(__xludf.DUMMYFUNCTION("""COMPUTED_VALUE"""),2129.9)</f>
        <v>2129.9</v>
      </c>
      <c r="F7724" s="1">
        <f>IFERROR(__xludf.DUMMYFUNCTION("""COMPUTED_VALUE"""),0.0)</f>
        <v>0</v>
      </c>
    </row>
    <row r="7725">
      <c r="A7725" s="2">
        <f>IFERROR(__xludf.DUMMYFUNCTION("""COMPUTED_VALUE"""),42562.66666666667)</f>
        <v>42562.66667</v>
      </c>
      <c r="B7725" s="1">
        <f>IFERROR(__xludf.DUMMYFUNCTION("""COMPUTED_VALUE"""),2131.72)</f>
        <v>2131.72</v>
      </c>
      <c r="C7725" s="1">
        <f>IFERROR(__xludf.DUMMYFUNCTION("""COMPUTED_VALUE"""),2143.16)</f>
        <v>2143.16</v>
      </c>
      <c r="D7725" s="1">
        <f>IFERROR(__xludf.DUMMYFUNCTION("""COMPUTED_VALUE"""),2131.72)</f>
        <v>2131.72</v>
      </c>
      <c r="E7725" s="1">
        <f>IFERROR(__xludf.DUMMYFUNCTION("""COMPUTED_VALUE"""),2137.16)</f>
        <v>2137.16</v>
      </c>
      <c r="F7725" s="1">
        <f>IFERROR(__xludf.DUMMYFUNCTION("""COMPUTED_VALUE"""),0.0)</f>
        <v>0</v>
      </c>
    </row>
    <row r="7726">
      <c r="A7726" s="2">
        <f>IFERROR(__xludf.DUMMYFUNCTION("""COMPUTED_VALUE"""),42563.66666666667)</f>
        <v>42563.66667</v>
      </c>
      <c r="B7726" s="1">
        <f>IFERROR(__xludf.DUMMYFUNCTION("""COMPUTED_VALUE"""),2139.5)</f>
        <v>2139.5</v>
      </c>
      <c r="C7726" s="1">
        <f>IFERROR(__xludf.DUMMYFUNCTION("""COMPUTED_VALUE"""),2155.4)</f>
        <v>2155.4</v>
      </c>
      <c r="D7726" s="1">
        <f>IFERROR(__xludf.DUMMYFUNCTION("""COMPUTED_VALUE"""),2139.5)</f>
        <v>2139.5</v>
      </c>
      <c r="E7726" s="1">
        <f>IFERROR(__xludf.DUMMYFUNCTION("""COMPUTED_VALUE"""),2152.14)</f>
        <v>2152.14</v>
      </c>
      <c r="F7726" s="1">
        <f>IFERROR(__xludf.DUMMYFUNCTION("""COMPUTED_VALUE"""),0.0)</f>
        <v>0</v>
      </c>
    </row>
    <row r="7727">
      <c r="A7727" s="2">
        <f>IFERROR(__xludf.DUMMYFUNCTION("""COMPUTED_VALUE"""),42564.66666666667)</f>
        <v>42564.66667</v>
      </c>
      <c r="B7727" s="1">
        <f>IFERROR(__xludf.DUMMYFUNCTION("""COMPUTED_VALUE"""),2153.81)</f>
        <v>2153.81</v>
      </c>
      <c r="C7727" s="1">
        <f>IFERROR(__xludf.DUMMYFUNCTION("""COMPUTED_VALUE"""),2156.45)</f>
        <v>2156.45</v>
      </c>
      <c r="D7727" s="1">
        <f>IFERROR(__xludf.DUMMYFUNCTION("""COMPUTED_VALUE"""),2146.21)</f>
        <v>2146.21</v>
      </c>
      <c r="E7727" s="1">
        <f>IFERROR(__xludf.DUMMYFUNCTION("""COMPUTED_VALUE"""),2152.43)</f>
        <v>2152.43</v>
      </c>
      <c r="F7727" s="1">
        <f>IFERROR(__xludf.DUMMYFUNCTION("""COMPUTED_VALUE"""),0.0)</f>
        <v>0</v>
      </c>
    </row>
    <row r="7728">
      <c r="A7728" s="2">
        <f>IFERROR(__xludf.DUMMYFUNCTION("""COMPUTED_VALUE"""),42565.66666666667)</f>
        <v>42565.66667</v>
      </c>
      <c r="B7728" s="1">
        <f>IFERROR(__xludf.DUMMYFUNCTION("""COMPUTED_VALUE"""),2157.88)</f>
        <v>2157.88</v>
      </c>
      <c r="C7728" s="1">
        <f>IFERROR(__xludf.DUMMYFUNCTION("""COMPUTED_VALUE"""),2168.99)</f>
        <v>2168.99</v>
      </c>
      <c r="D7728" s="1">
        <f>IFERROR(__xludf.DUMMYFUNCTION("""COMPUTED_VALUE"""),2157.88)</f>
        <v>2157.88</v>
      </c>
      <c r="E7728" s="1">
        <f>IFERROR(__xludf.DUMMYFUNCTION("""COMPUTED_VALUE"""),2163.75)</f>
        <v>2163.75</v>
      </c>
      <c r="F7728" s="1">
        <f>IFERROR(__xludf.DUMMYFUNCTION("""COMPUTED_VALUE"""),0.0)</f>
        <v>0</v>
      </c>
    </row>
    <row r="7729">
      <c r="A7729" s="2">
        <f>IFERROR(__xludf.DUMMYFUNCTION("""COMPUTED_VALUE"""),42566.66666666667)</f>
        <v>42566.66667</v>
      </c>
      <c r="B7729" s="1">
        <f>IFERROR(__xludf.DUMMYFUNCTION("""COMPUTED_VALUE"""),2165.13)</f>
        <v>2165.13</v>
      </c>
      <c r="C7729" s="1">
        <f>IFERROR(__xludf.DUMMYFUNCTION("""COMPUTED_VALUE"""),2169.05)</f>
        <v>2169.05</v>
      </c>
      <c r="D7729" s="1">
        <f>IFERROR(__xludf.DUMMYFUNCTION("""COMPUTED_VALUE"""),2155.79)</f>
        <v>2155.79</v>
      </c>
      <c r="E7729" s="1">
        <f>IFERROR(__xludf.DUMMYFUNCTION("""COMPUTED_VALUE"""),2161.74)</f>
        <v>2161.74</v>
      </c>
      <c r="F7729" s="1">
        <f>IFERROR(__xludf.DUMMYFUNCTION("""COMPUTED_VALUE"""),0.0)</f>
        <v>0</v>
      </c>
    </row>
    <row r="7730">
      <c r="A7730" s="2">
        <f>IFERROR(__xludf.DUMMYFUNCTION("""COMPUTED_VALUE"""),42569.66666666667)</f>
        <v>42569.66667</v>
      </c>
      <c r="B7730" s="1">
        <f>IFERROR(__xludf.DUMMYFUNCTION("""COMPUTED_VALUE"""),2162.04)</f>
        <v>2162.04</v>
      </c>
      <c r="C7730" s="1">
        <f>IFERROR(__xludf.DUMMYFUNCTION("""COMPUTED_VALUE"""),2168.35)</f>
        <v>2168.35</v>
      </c>
      <c r="D7730" s="1">
        <f>IFERROR(__xludf.DUMMYFUNCTION("""COMPUTED_VALUE"""),2159.63)</f>
        <v>2159.63</v>
      </c>
      <c r="E7730" s="1">
        <f>IFERROR(__xludf.DUMMYFUNCTION("""COMPUTED_VALUE"""),2166.89)</f>
        <v>2166.89</v>
      </c>
      <c r="F7730" s="1">
        <f>IFERROR(__xludf.DUMMYFUNCTION("""COMPUTED_VALUE"""),0.0)</f>
        <v>0</v>
      </c>
    </row>
    <row r="7731">
      <c r="A7731" s="2">
        <f>IFERROR(__xludf.DUMMYFUNCTION("""COMPUTED_VALUE"""),42570.66666666667)</f>
        <v>42570.66667</v>
      </c>
      <c r="B7731" s="1">
        <f>IFERROR(__xludf.DUMMYFUNCTION("""COMPUTED_VALUE"""),2163.79)</f>
        <v>2163.79</v>
      </c>
      <c r="C7731" s="1">
        <f>IFERROR(__xludf.DUMMYFUNCTION("""COMPUTED_VALUE"""),2164.63)</f>
        <v>2164.63</v>
      </c>
      <c r="D7731" s="1">
        <f>IFERROR(__xludf.DUMMYFUNCTION("""COMPUTED_VALUE"""),2159.01)</f>
        <v>2159.01</v>
      </c>
      <c r="E7731" s="1">
        <f>IFERROR(__xludf.DUMMYFUNCTION("""COMPUTED_VALUE"""),2163.78)</f>
        <v>2163.78</v>
      </c>
      <c r="F7731" s="1">
        <f>IFERROR(__xludf.DUMMYFUNCTION("""COMPUTED_VALUE"""),0.0)</f>
        <v>0</v>
      </c>
    </row>
    <row r="7732">
      <c r="A7732" s="2">
        <f>IFERROR(__xludf.DUMMYFUNCTION("""COMPUTED_VALUE"""),42571.66666666667)</f>
        <v>42571.66667</v>
      </c>
      <c r="B7732" s="1">
        <f>IFERROR(__xludf.DUMMYFUNCTION("""COMPUTED_VALUE"""),2166.1)</f>
        <v>2166.1</v>
      </c>
      <c r="C7732" s="1">
        <f>IFERROR(__xludf.DUMMYFUNCTION("""COMPUTED_VALUE"""),2175.63)</f>
        <v>2175.63</v>
      </c>
      <c r="D7732" s="1">
        <f>IFERROR(__xludf.DUMMYFUNCTION("""COMPUTED_VALUE"""),2164.89)</f>
        <v>2164.89</v>
      </c>
      <c r="E7732" s="1">
        <f>IFERROR(__xludf.DUMMYFUNCTION("""COMPUTED_VALUE"""),2173.02)</f>
        <v>2173.02</v>
      </c>
      <c r="F7732" s="1">
        <f>IFERROR(__xludf.DUMMYFUNCTION("""COMPUTED_VALUE"""),0.0)</f>
        <v>0</v>
      </c>
    </row>
    <row r="7733">
      <c r="A7733" s="2">
        <f>IFERROR(__xludf.DUMMYFUNCTION("""COMPUTED_VALUE"""),42572.66666666667)</f>
        <v>42572.66667</v>
      </c>
      <c r="B7733" s="1">
        <f>IFERROR(__xludf.DUMMYFUNCTION("""COMPUTED_VALUE"""),2172.91)</f>
        <v>2172.91</v>
      </c>
      <c r="C7733" s="1">
        <f>IFERROR(__xludf.DUMMYFUNCTION("""COMPUTED_VALUE"""),2174.56)</f>
        <v>2174.56</v>
      </c>
      <c r="D7733" s="1">
        <f>IFERROR(__xludf.DUMMYFUNCTION("""COMPUTED_VALUE"""),2159.75)</f>
        <v>2159.75</v>
      </c>
      <c r="E7733" s="1">
        <f>IFERROR(__xludf.DUMMYFUNCTION("""COMPUTED_VALUE"""),2165.17)</f>
        <v>2165.17</v>
      </c>
      <c r="F7733" s="1">
        <f>IFERROR(__xludf.DUMMYFUNCTION("""COMPUTED_VALUE"""),0.0)</f>
        <v>0</v>
      </c>
    </row>
    <row r="7734">
      <c r="A7734" s="2">
        <f>IFERROR(__xludf.DUMMYFUNCTION("""COMPUTED_VALUE"""),42573.66666666667)</f>
        <v>42573.66667</v>
      </c>
      <c r="B7734" s="1">
        <f>IFERROR(__xludf.DUMMYFUNCTION("""COMPUTED_VALUE"""),2166.47)</f>
        <v>2166.47</v>
      </c>
      <c r="C7734" s="1">
        <f>IFERROR(__xludf.DUMMYFUNCTION("""COMPUTED_VALUE"""),2175.11)</f>
        <v>2175.11</v>
      </c>
      <c r="D7734" s="1">
        <f>IFERROR(__xludf.DUMMYFUNCTION("""COMPUTED_VALUE"""),2163.24)</f>
        <v>2163.24</v>
      </c>
      <c r="E7734" s="1">
        <f>IFERROR(__xludf.DUMMYFUNCTION("""COMPUTED_VALUE"""),2175.03)</f>
        <v>2175.03</v>
      </c>
      <c r="F7734" s="1">
        <f>IFERROR(__xludf.DUMMYFUNCTION("""COMPUTED_VALUE"""),0.0)</f>
        <v>0</v>
      </c>
    </row>
    <row r="7735">
      <c r="A7735" s="2">
        <f>IFERROR(__xludf.DUMMYFUNCTION("""COMPUTED_VALUE"""),42576.66666666667)</f>
        <v>42576.66667</v>
      </c>
      <c r="B7735" s="1">
        <f>IFERROR(__xludf.DUMMYFUNCTION("""COMPUTED_VALUE"""),2173.71)</f>
        <v>2173.71</v>
      </c>
      <c r="C7735" s="1">
        <f>IFERROR(__xludf.DUMMYFUNCTION("""COMPUTED_VALUE"""),2173.71)</f>
        <v>2173.71</v>
      </c>
      <c r="D7735" s="1">
        <f>IFERROR(__xludf.DUMMYFUNCTION("""COMPUTED_VALUE"""),2161.95)</f>
        <v>2161.95</v>
      </c>
      <c r="E7735" s="1">
        <f>IFERROR(__xludf.DUMMYFUNCTION("""COMPUTED_VALUE"""),2168.48)</f>
        <v>2168.48</v>
      </c>
      <c r="F7735" s="1">
        <f>IFERROR(__xludf.DUMMYFUNCTION("""COMPUTED_VALUE"""),0.0)</f>
        <v>0</v>
      </c>
    </row>
    <row r="7736">
      <c r="A7736" s="2">
        <f>IFERROR(__xludf.DUMMYFUNCTION("""COMPUTED_VALUE"""),42577.66666666667)</f>
        <v>42577.66667</v>
      </c>
      <c r="B7736" s="1">
        <f>IFERROR(__xludf.DUMMYFUNCTION("""COMPUTED_VALUE"""),2168.97)</f>
        <v>2168.97</v>
      </c>
      <c r="C7736" s="1">
        <f>IFERROR(__xludf.DUMMYFUNCTION("""COMPUTED_VALUE"""),2173.54)</f>
        <v>2173.54</v>
      </c>
      <c r="D7736" s="1">
        <f>IFERROR(__xludf.DUMMYFUNCTION("""COMPUTED_VALUE"""),2160.18)</f>
        <v>2160.18</v>
      </c>
      <c r="E7736" s="1">
        <f>IFERROR(__xludf.DUMMYFUNCTION("""COMPUTED_VALUE"""),2169.18)</f>
        <v>2169.18</v>
      </c>
      <c r="F7736" s="1">
        <f>IFERROR(__xludf.DUMMYFUNCTION("""COMPUTED_VALUE"""),0.0)</f>
        <v>0</v>
      </c>
    </row>
    <row r="7737">
      <c r="A7737" s="2">
        <f>IFERROR(__xludf.DUMMYFUNCTION("""COMPUTED_VALUE"""),42578.66666666667)</f>
        <v>42578.66667</v>
      </c>
      <c r="B7737" s="1">
        <f>IFERROR(__xludf.DUMMYFUNCTION("""COMPUTED_VALUE"""),2169.81)</f>
        <v>2169.81</v>
      </c>
      <c r="C7737" s="1">
        <f>IFERROR(__xludf.DUMMYFUNCTION("""COMPUTED_VALUE"""),2174.98)</f>
        <v>2174.98</v>
      </c>
      <c r="D7737" s="1">
        <f>IFERROR(__xludf.DUMMYFUNCTION("""COMPUTED_VALUE"""),2159.07)</f>
        <v>2159.07</v>
      </c>
      <c r="E7737" s="1">
        <f>IFERROR(__xludf.DUMMYFUNCTION("""COMPUTED_VALUE"""),2166.58)</f>
        <v>2166.58</v>
      </c>
      <c r="F7737" s="1">
        <f>IFERROR(__xludf.DUMMYFUNCTION("""COMPUTED_VALUE"""),0.0)</f>
        <v>0</v>
      </c>
    </row>
    <row r="7738">
      <c r="A7738" s="2">
        <f>IFERROR(__xludf.DUMMYFUNCTION("""COMPUTED_VALUE"""),42579.66666666667)</f>
        <v>42579.66667</v>
      </c>
      <c r="B7738" s="1">
        <f>IFERROR(__xludf.DUMMYFUNCTION("""COMPUTED_VALUE"""),2166.05)</f>
        <v>2166.05</v>
      </c>
      <c r="C7738" s="1">
        <f>IFERROR(__xludf.DUMMYFUNCTION("""COMPUTED_VALUE"""),2172.85)</f>
        <v>2172.85</v>
      </c>
      <c r="D7738" s="1">
        <f>IFERROR(__xludf.DUMMYFUNCTION("""COMPUTED_VALUE"""),2159.74)</f>
        <v>2159.74</v>
      </c>
      <c r="E7738" s="1">
        <f>IFERROR(__xludf.DUMMYFUNCTION("""COMPUTED_VALUE"""),2170.06)</f>
        <v>2170.06</v>
      </c>
      <c r="F7738" s="1">
        <f>IFERROR(__xludf.DUMMYFUNCTION("""COMPUTED_VALUE"""),0.0)</f>
        <v>0</v>
      </c>
    </row>
    <row r="7739">
      <c r="A7739" s="2">
        <f>IFERROR(__xludf.DUMMYFUNCTION("""COMPUTED_VALUE"""),42580.66666666667)</f>
        <v>42580.66667</v>
      </c>
      <c r="B7739" s="1">
        <f>IFERROR(__xludf.DUMMYFUNCTION("""COMPUTED_VALUE"""),2168.83)</f>
        <v>2168.83</v>
      </c>
      <c r="C7739" s="1">
        <f>IFERROR(__xludf.DUMMYFUNCTION("""COMPUTED_VALUE"""),2177.09)</f>
        <v>2177.09</v>
      </c>
      <c r="D7739" s="1">
        <f>IFERROR(__xludf.DUMMYFUNCTION("""COMPUTED_VALUE"""),2163.49)</f>
        <v>2163.49</v>
      </c>
      <c r="E7739" s="1">
        <f>IFERROR(__xludf.DUMMYFUNCTION("""COMPUTED_VALUE"""),2173.6)</f>
        <v>2173.6</v>
      </c>
      <c r="F7739" s="1">
        <f>IFERROR(__xludf.DUMMYFUNCTION("""COMPUTED_VALUE"""),0.0)</f>
        <v>0</v>
      </c>
    </row>
    <row r="7740">
      <c r="A7740" s="2">
        <f>IFERROR(__xludf.DUMMYFUNCTION("""COMPUTED_VALUE"""),42583.66666666667)</f>
        <v>42583.66667</v>
      </c>
      <c r="B7740" s="1">
        <f>IFERROR(__xludf.DUMMYFUNCTION("""COMPUTED_VALUE"""),2173.15)</f>
        <v>2173.15</v>
      </c>
      <c r="C7740" s="1">
        <f>IFERROR(__xludf.DUMMYFUNCTION("""COMPUTED_VALUE"""),2178.29)</f>
        <v>2178.29</v>
      </c>
      <c r="D7740" s="1">
        <f>IFERROR(__xludf.DUMMYFUNCTION("""COMPUTED_VALUE"""),2166.21)</f>
        <v>2166.21</v>
      </c>
      <c r="E7740" s="1">
        <f>IFERROR(__xludf.DUMMYFUNCTION("""COMPUTED_VALUE"""),2170.84)</f>
        <v>2170.84</v>
      </c>
      <c r="F7740" s="1">
        <f>IFERROR(__xludf.DUMMYFUNCTION("""COMPUTED_VALUE"""),0.0)</f>
        <v>0</v>
      </c>
    </row>
    <row r="7741">
      <c r="A7741" s="2">
        <f>IFERROR(__xludf.DUMMYFUNCTION("""COMPUTED_VALUE"""),42584.66666666667)</f>
        <v>42584.66667</v>
      </c>
      <c r="B7741" s="1">
        <f>IFERROR(__xludf.DUMMYFUNCTION("""COMPUTED_VALUE"""),2169.94)</f>
        <v>2169.94</v>
      </c>
      <c r="C7741" s="1">
        <f>IFERROR(__xludf.DUMMYFUNCTION("""COMPUTED_VALUE"""),2170.2)</f>
        <v>2170.2</v>
      </c>
      <c r="D7741" s="1">
        <f>IFERROR(__xludf.DUMMYFUNCTION("""COMPUTED_VALUE"""),2147.58)</f>
        <v>2147.58</v>
      </c>
      <c r="E7741" s="1">
        <f>IFERROR(__xludf.DUMMYFUNCTION("""COMPUTED_VALUE"""),2157.03)</f>
        <v>2157.03</v>
      </c>
      <c r="F7741" s="1">
        <f>IFERROR(__xludf.DUMMYFUNCTION("""COMPUTED_VALUE"""),0.0)</f>
        <v>0</v>
      </c>
    </row>
    <row r="7742">
      <c r="A7742" s="2">
        <f>IFERROR(__xludf.DUMMYFUNCTION("""COMPUTED_VALUE"""),42585.66666666667)</f>
        <v>42585.66667</v>
      </c>
      <c r="B7742" s="1">
        <f>IFERROR(__xludf.DUMMYFUNCTION("""COMPUTED_VALUE"""),2156.81)</f>
        <v>2156.81</v>
      </c>
      <c r="C7742" s="1">
        <f>IFERROR(__xludf.DUMMYFUNCTION("""COMPUTED_VALUE"""),2163.79)</f>
        <v>2163.79</v>
      </c>
      <c r="D7742" s="1">
        <f>IFERROR(__xludf.DUMMYFUNCTION("""COMPUTED_VALUE"""),2152.56)</f>
        <v>2152.56</v>
      </c>
      <c r="E7742" s="1">
        <f>IFERROR(__xludf.DUMMYFUNCTION("""COMPUTED_VALUE"""),2163.79)</f>
        <v>2163.79</v>
      </c>
      <c r="F7742" s="1">
        <f>IFERROR(__xludf.DUMMYFUNCTION("""COMPUTED_VALUE"""),0.0)</f>
        <v>0</v>
      </c>
    </row>
    <row r="7743">
      <c r="A7743" s="2">
        <f>IFERROR(__xludf.DUMMYFUNCTION("""COMPUTED_VALUE"""),42586.66666666667)</f>
        <v>42586.66667</v>
      </c>
      <c r="B7743" s="1">
        <f>IFERROR(__xludf.DUMMYFUNCTION("""COMPUTED_VALUE"""),2163.51)</f>
        <v>2163.51</v>
      </c>
      <c r="C7743" s="1">
        <f>IFERROR(__xludf.DUMMYFUNCTION("""COMPUTED_VALUE"""),2168.19)</f>
        <v>2168.19</v>
      </c>
      <c r="D7743" s="1">
        <f>IFERROR(__xludf.DUMMYFUNCTION("""COMPUTED_VALUE"""),2159.07)</f>
        <v>2159.07</v>
      </c>
      <c r="E7743" s="1">
        <f>IFERROR(__xludf.DUMMYFUNCTION("""COMPUTED_VALUE"""),2164.25)</f>
        <v>2164.25</v>
      </c>
      <c r="F7743" s="1">
        <f>IFERROR(__xludf.DUMMYFUNCTION("""COMPUTED_VALUE"""),0.0)</f>
        <v>0</v>
      </c>
    </row>
    <row r="7744">
      <c r="A7744" s="2">
        <f>IFERROR(__xludf.DUMMYFUNCTION("""COMPUTED_VALUE"""),42587.66666666667)</f>
        <v>42587.66667</v>
      </c>
      <c r="B7744" s="1">
        <f>IFERROR(__xludf.DUMMYFUNCTION("""COMPUTED_VALUE"""),2168.79)</f>
        <v>2168.79</v>
      </c>
      <c r="C7744" s="1">
        <f>IFERROR(__xludf.DUMMYFUNCTION("""COMPUTED_VALUE"""),2182.87)</f>
        <v>2182.87</v>
      </c>
      <c r="D7744" s="1">
        <f>IFERROR(__xludf.DUMMYFUNCTION("""COMPUTED_VALUE"""),2168.79)</f>
        <v>2168.79</v>
      </c>
      <c r="E7744" s="1">
        <f>IFERROR(__xludf.DUMMYFUNCTION("""COMPUTED_VALUE"""),2182.87)</f>
        <v>2182.87</v>
      </c>
      <c r="F7744" s="1">
        <f>IFERROR(__xludf.DUMMYFUNCTION("""COMPUTED_VALUE"""),0.0)</f>
        <v>0</v>
      </c>
    </row>
    <row r="7745">
      <c r="A7745" s="2">
        <f>IFERROR(__xludf.DUMMYFUNCTION("""COMPUTED_VALUE"""),42590.66666666667)</f>
        <v>42590.66667</v>
      </c>
      <c r="B7745" s="1">
        <f>IFERROR(__xludf.DUMMYFUNCTION("""COMPUTED_VALUE"""),2183.76)</f>
        <v>2183.76</v>
      </c>
      <c r="C7745" s="1">
        <f>IFERROR(__xludf.DUMMYFUNCTION("""COMPUTED_VALUE"""),2185.44)</f>
        <v>2185.44</v>
      </c>
      <c r="D7745" s="1">
        <f>IFERROR(__xludf.DUMMYFUNCTION("""COMPUTED_VALUE"""),2177.85)</f>
        <v>2177.85</v>
      </c>
      <c r="E7745" s="1">
        <f>IFERROR(__xludf.DUMMYFUNCTION("""COMPUTED_VALUE"""),2180.89)</f>
        <v>2180.89</v>
      </c>
      <c r="F7745" s="1">
        <f>IFERROR(__xludf.DUMMYFUNCTION("""COMPUTED_VALUE"""),0.0)</f>
        <v>0</v>
      </c>
    </row>
    <row r="7746">
      <c r="A7746" s="2">
        <f>IFERROR(__xludf.DUMMYFUNCTION("""COMPUTED_VALUE"""),42591.66666666667)</f>
        <v>42591.66667</v>
      </c>
      <c r="B7746" s="1">
        <f>IFERROR(__xludf.DUMMYFUNCTION("""COMPUTED_VALUE"""),2182.24)</f>
        <v>2182.24</v>
      </c>
      <c r="C7746" s="1">
        <f>IFERROR(__xludf.DUMMYFUNCTION("""COMPUTED_VALUE"""),2187.66)</f>
        <v>2187.66</v>
      </c>
      <c r="D7746" s="1">
        <f>IFERROR(__xludf.DUMMYFUNCTION("""COMPUTED_VALUE"""),2178.61)</f>
        <v>2178.61</v>
      </c>
      <c r="E7746" s="1">
        <f>IFERROR(__xludf.DUMMYFUNCTION("""COMPUTED_VALUE"""),2181.74)</f>
        <v>2181.74</v>
      </c>
      <c r="F7746" s="1">
        <f>IFERROR(__xludf.DUMMYFUNCTION("""COMPUTED_VALUE"""),0.0)</f>
        <v>0</v>
      </c>
    </row>
    <row r="7747">
      <c r="A7747" s="2">
        <f>IFERROR(__xludf.DUMMYFUNCTION("""COMPUTED_VALUE"""),42592.66666666667)</f>
        <v>42592.66667</v>
      </c>
      <c r="B7747" s="1">
        <f>IFERROR(__xludf.DUMMYFUNCTION("""COMPUTED_VALUE"""),2182.81)</f>
        <v>2182.81</v>
      </c>
      <c r="C7747" s="1">
        <f>IFERROR(__xludf.DUMMYFUNCTION("""COMPUTED_VALUE"""),2183.41)</f>
        <v>2183.41</v>
      </c>
      <c r="D7747" s="1">
        <f>IFERROR(__xludf.DUMMYFUNCTION("""COMPUTED_VALUE"""),2172.0)</f>
        <v>2172</v>
      </c>
      <c r="E7747" s="1">
        <f>IFERROR(__xludf.DUMMYFUNCTION("""COMPUTED_VALUE"""),2175.49)</f>
        <v>2175.49</v>
      </c>
      <c r="F7747" s="1">
        <f>IFERROR(__xludf.DUMMYFUNCTION("""COMPUTED_VALUE"""),0.0)</f>
        <v>0</v>
      </c>
    </row>
    <row r="7748">
      <c r="A7748" s="2">
        <f>IFERROR(__xludf.DUMMYFUNCTION("""COMPUTED_VALUE"""),42593.66666666667)</f>
        <v>42593.66667</v>
      </c>
      <c r="B7748" s="1">
        <f>IFERROR(__xludf.DUMMYFUNCTION("""COMPUTED_VALUE"""),2177.97)</f>
        <v>2177.97</v>
      </c>
      <c r="C7748" s="1">
        <f>IFERROR(__xludf.DUMMYFUNCTION("""COMPUTED_VALUE"""),2188.45)</f>
        <v>2188.45</v>
      </c>
      <c r="D7748" s="1">
        <f>IFERROR(__xludf.DUMMYFUNCTION("""COMPUTED_VALUE"""),2177.97)</f>
        <v>2177.97</v>
      </c>
      <c r="E7748" s="1">
        <f>IFERROR(__xludf.DUMMYFUNCTION("""COMPUTED_VALUE"""),2185.79)</f>
        <v>2185.79</v>
      </c>
      <c r="F7748" s="1">
        <f>IFERROR(__xludf.DUMMYFUNCTION("""COMPUTED_VALUE"""),0.0)</f>
        <v>0</v>
      </c>
    </row>
    <row r="7749">
      <c r="A7749" s="2">
        <f>IFERROR(__xludf.DUMMYFUNCTION("""COMPUTED_VALUE"""),42594.66666666667)</f>
        <v>42594.66667</v>
      </c>
      <c r="B7749" s="1">
        <f>IFERROR(__xludf.DUMMYFUNCTION("""COMPUTED_VALUE"""),2183.74)</f>
        <v>2183.74</v>
      </c>
      <c r="C7749" s="1">
        <f>IFERROR(__xludf.DUMMYFUNCTION("""COMPUTED_VALUE"""),2186.28)</f>
        <v>2186.28</v>
      </c>
      <c r="D7749" s="1">
        <f>IFERROR(__xludf.DUMMYFUNCTION("""COMPUTED_VALUE"""),2179.42)</f>
        <v>2179.42</v>
      </c>
      <c r="E7749" s="1">
        <f>IFERROR(__xludf.DUMMYFUNCTION("""COMPUTED_VALUE"""),2184.05)</f>
        <v>2184.05</v>
      </c>
      <c r="F7749" s="1">
        <f>IFERROR(__xludf.DUMMYFUNCTION("""COMPUTED_VALUE"""),0.0)</f>
        <v>0</v>
      </c>
    </row>
    <row r="7750">
      <c r="A7750" s="2">
        <f>IFERROR(__xludf.DUMMYFUNCTION("""COMPUTED_VALUE"""),42597.66666666667)</f>
        <v>42597.66667</v>
      </c>
      <c r="B7750" s="1">
        <f>IFERROR(__xludf.DUMMYFUNCTION("""COMPUTED_VALUE"""),2186.08)</f>
        <v>2186.08</v>
      </c>
      <c r="C7750" s="1">
        <f>IFERROR(__xludf.DUMMYFUNCTION("""COMPUTED_VALUE"""),2193.81)</f>
        <v>2193.81</v>
      </c>
      <c r="D7750" s="1">
        <f>IFERROR(__xludf.DUMMYFUNCTION("""COMPUTED_VALUE"""),2186.08)</f>
        <v>2186.08</v>
      </c>
      <c r="E7750" s="1">
        <f>IFERROR(__xludf.DUMMYFUNCTION("""COMPUTED_VALUE"""),2190.15)</f>
        <v>2190.15</v>
      </c>
      <c r="F7750" s="1">
        <f>IFERROR(__xludf.DUMMYFUNCTION("""COMPUTED_VALUE"""),0.0)</f>
        <v>0</v>
      </c>
    </row>
    <row r="7751">
      <c r="A7751" s="2">
        <f>IFERROR(__xludf.DUMMYFUNCTION("""COMPUTED_VALUE"""),42598.66666666667)</f>
        <v>42598.66667</v>
      </c>
      <c r="B7751" s="1">
        <f>IFERROR(__xludf.DUMMYFUNCTION("""COMPUTED_VALUE"""),2186.24)</f>
        <v>2186.24</v>
      </c>
      <c r="C7751" s="1">
        <f>IFERROR(__xludf.DUMMYFUNCTION("""COMPUTED_VALUE"""),2186.24)</f>
        <v>2186.24</v>
      </c>
      <c r="D7751" s="1">
        <f>IFERROR(__xludf.DUMMYFUNCTION("""COMPUTED_VALUE"""),2178.14)</f>
        <v>2178.14</v>
      </c>
      <c r="E7751" s="1">
        <f>IFERROR(__xludf.DUMMYFUNCTION("""COMPUTED_VALUE"""),2178.15)</f>
        <v>2178.15</v>
      </c>
      <c r="F7751" s="1">
        <f>IFERROR(__xludf.DUMMYFUNCTION("""COMPUTED_VALUE"""),0.0)</f>
        <v>0</v>
      </c>
    </row>
    <row r="7752">
      <c r="A7752" s="2">
        <f>IFERROR(__xludf.DUMMYFUNCTION("""COMPUTED_VALUE"""),42599.66666666667)</f>
        <v>42599.66667</v>
      </c>
      <c r="B7752" s="1">
        <f>IFERROR(__xludf.DUMMYFUNCTION("""COMPUTED_VALUE"""),2177.84)</f>
        <v>2177.84</v>
      </c>
      <c r="C7752" s="1">
        <f>IFERROR(__xludf.DUMMYFUNCTION("""COMPUTED_VALUE"""),2183.08)</f>
        <v>2183.08</v>
      </c>
      <c r="D7752" s="1">
        <f>IFERROR(__xludf.DUMMYFUNCTION("""COMPUTED_VALUE"""),2168.5)</f>
        <v>2168.5</v>
      </c>
      <c r="E7752" s="1">
        <f>IFERROR(__xludf.DUMMYFUNCTION("""COMPUTED_VALUE"""),2182.22)</f>
        <v>2182.22</v>
      </c>
      <c r="F7752" s="1">
        <f>IFERROR(__xludf.DUMMYFUNCTION("""COMPUTED_VALUE"""),0.0)</f>
        <v>0</v>
      </c>
    </row>
    <row r="7753">
      <c r="A7753" s="2">
        <f>IFERROR(__xludf.DUMMYFUNCTION("""COMPUTED_VALUE"""),42600.66666666667)</f>
        <v>42600.66667</v>
      </c>
      <c r="B7753" s="1">
        <f>IFERROR(__xludf.DUMMYFUNCTION("""COMPUTED_VALUE"""),2181.9)</f>
        <v>2181.9</v>
      </c>
      <c r="C7753" s="1">
        <f>IFERROR(__xludf.DUMMYFUNCTION("""COMPUTED_VALUE"""),2187.03)</f>
        <v>2187.03</v>
      </c>
      <c r="D7753" s="1">
        <f>IFERROR(__xludf.DUMMYFUNCTION("""COMPUTED_VALUE"""),2180.46)</f>
        <v>2180.46</v>
      </c>
      <c r="E7753" s="1">
        <f>IFERROR(__xludf.DUMMYFUNCTION("""COMPUTED_VALUE"""),2187.02)</f>
        <v>2187.02</v>
      </c>
      <c r="F7753" s="1">
        <f>IFERROR(__xludf.DUMMYFUNCTION("""COMPUTED_VALUE"""),0.0)</f>
        <v>0</v>
      </c>
    </row>
    <row r="7754">
      <c r="A7754" s="2">
        <f>IFERROR(__xludf.DUMMYFUNCTION("""COMPUTED_VALUE"""),42601.66666666667)</f>
        <v>42601.66667</v>
      </c>
      <c r="B7754" s="1">
        <f>IFERROR(__xludf.DUMMYFUNCTION("""COMPUTED_VALUE"""),2184.24)</f>
        <v>2184.24</v>
      </c>
      <c r="C7754" s="1">
        <f>IFERROR(__xludf.DUMMYFUNCTION("""COMPUTED_VALUE"""),2185.0)</f>
        <v>2185</v>
      </c>
      <c r="D7754" s="1">
        <f>IFERROR(__xludf.DUMMYFUNCTION("""COMPUTED_VALUE"""),2175.13)</f>
        <v>2175.13</v>
      </c>
      <c r="E7754" s="1">
        <f>IFERROR(__xludf.DUMMYFUNCTION("""COMPUTED_VALUE"""),2183.87)</f>
        <v>2183.87</v>
      </c>
      <c r="F7754" s="1">
        <f>IFERROR(__xludf.DUMMYFUNCTION("""COMPUTED_VALUE"""),0.0)</f>
        <v>0</v>
      </c>
    </row>
    <row r="7755">
      <c r="A7755" s="2">
        <f>IFERROR(__xludf.DUMMYFUNCTION("""COMPUTED_VALUE"""),42604.66666666667)</f>
        <v>42604.66667</v>
      </c>
      <c r="B7755" s="1">
        <f>IFERROR(__xludf.DUMMYFUNCTION("""COMPUTED_VALUE"""),2181.58)</f>
        <v>2181.58</v>
      </c>
      <c r="C7755" s="1">
        <f>IFERROR(__xludf.DUMMYFUNCTION("""COMPUTED_VALUE"""),2185.15)</f>
        <v>2185.15</v>
      </c>
      <c r="D7755" s="1">
        <f>IFERROR(__xludf.DUMMYFUNCTION("""COMPUTED_VALUE"""),2175.96)</f>
        <v>2175.96</v>
      </c>
      <c r="E7755" s="1">
        <f>IFERROR(__xludf.DUMMYFUNCTION("""COMPUTED_VALUE"""),2182.64)</f>
        <v>2182.64</v>
      </c>
      <c r="F7755" s="1">
        <f>IFERROR(__xludf.DUMMYFUNCTION("""COMPUTED_VALUE"""),0.0)</f>
        <v>0</v>
      </c>
    </row>
    <row r="7756">
      <c r="A7756" s="2">
        <f>IFERROR(__xludf.DUMMYFUNCTION("""COMPUTED_VALUE"""),42605.66666666667)</f>
        <v>42605.66667</v>
      </c>
      <c r="B7756" s="1">
        <f>IFERROR(__xludf.DUMMYFUNCTION("""COMPUTED_VALUE"""),2187.81)</f>
        <v>2187.81</v>
      </c>
      <c r="C7756" s="1">
        <f>IFERROR(__xludf.DUMMYFUNCTION("""COMPUTED_VALUE"""),2193.42)</f>
        <v>2193.42</v>
      </c>
      <c r="D7756" s="1">
        <f>IFERROR(__xludf.DUMMYFUNCTION("""COMPUTED_VALUE"""),2186.8)</f>
        <v>2186.8</v>
      </c>
      <c r="E7756" s="1">
        <f>IFERROR(__xludf.DUMMYFUNCTION("""COMPUTED_VALUE"""),2186.9)</f>
        <v>2186.9</v>
      </c>
      <c r="F7756" s="1">
        <f>IFERROR(__xludf.DUMMYFUNCTION("""COMPUTED_VALUE"""),0.0)</f>
        <v>0</v>
      </c>
    </row>
    <row r="7757">
      <c r="A7757" s="2">
        <f>IFERROR(__xludf.DUMMYFUNCTION("""COMPUTED_VALUE"""),42606.66666666667)</f>
        <v>42606.66667</v>
      </c>
      <c r="B7757" s="1">
        <f>IFERROR(__xludf.DUMMYFUNCTION("""COMPUTED_VALUE"""),2185.09)</f>
        <v>2185.09</v>
      </c>
      <c r="C7757" s="1">
        <f>IFERROR(__xludf.DUMMYFUNCTION("""COMPUTED_VALUE"""),2186.66)</f>
        <v>2186.66</v>
      </c>
      <c r="D7757" s="1">
        <f>IFERROR(__xludf.DUMMYFUNCTION("""COMPUTED_VALUE"""),2171.25)</f>
        <v>2171.25</v>
      </c>
      <c r="E7757" s="1">
        <f>IFERROR(__xludf.DUMMYFUNCTION("""COMPUTED_VALUE"""),2175.44)</f>
        <v>2175.44</v>
      </c>
      <c r="F7757" s="1">
        <f>IFERROR(__xludf.DUMMYFUNCTION("""COMPUTED_VALUE"""),0.0)</f>
        <v>0</v>
      </c>
    </row>
    <row r="7758">
      <c r="A7758" s="2">
        <f>IFERROR(__xludf.DUMMYFUNCTION("""COMPUTED_VALUE"""),42607.66666666667)</f>
        <v>42607.66667</v>
      </c>
      <c r="B7758" s="1">
        <f>IFERROR(__xludf.DUMMYFUNCTION("""COMPUTED_VALUE"""),2173.29)</f>
        <v>2173.29</v>
      </c>
      <c r="C7758" s="1">
        <f>IFERROR(__xludf.DUMMYFUNCTION("""COMPUTED_VALUE"""),2179.0)</f>
        <v>2179</v>
      </c>
      <c r="D7758" s="1">
        <f>IFERROR(__xludf.DUMMYFUNCTION("""COMPUTED_VALUE"""),2169.74)</f>
        <v>2169.74</v>
      </c>
      <c r="E7758" s="1">
        <f>IFERROR(__xludf.DUMMYFUNCTION("""COMPUTED_VALUE"""),2172.47)</f>
        <v>2172.47</v>
      </c>
      <c r="F7758" s="1">
        <f>IFERROR(__xludf.DUMMYFUNCTION("""COMPUTED_VALUE"""),0.0)</f>
        <v>0</v>
      </c>
    </row>
    <row r="7759">
      <c r="A7759" s="2">
        <f>IFERROR(__xludf.DUMMYFUNCTION("""COMPUTED_VALUE"""),42608.66666666667)</f>
        <v>42608.66667</v>
      </c>
      <c r="B7759" s="1">
        <f>IFERROR(__xludf.DUMMYFUNCTION("""COMPUTED_VALUE"""),2175.1)</f>
        <v>2175.1</v>
      </c>
      <c r="C7759" s="1">
        <f>IFERROR(__xludf.DUMMYFUNCTION("""COMPUTED_VALUE"""),2187.85)</f>
        <v>2187.85</v>
      </c>
      <c r="D7759" s="1">
        <f>IFERROR(__xludf.DUMMYFUNCTION("""COMPUTED_VALUE"""),2160.39)</f>
        <v>2160.39</v>
      </c>
      <c r="E7759" s="1">
        <f>IFERROR(__xludf.DUMMYFUNCTION("""COMPUTED_VALUE"""),2169.04)</f>
        <v>2169.04</v>
      </c>
      <c r="F7759" s="1">
        <f>IFERROR(__xludf.DUMMYFUNCTION("""COMPUTED_VALUE"""),0.0)</f>
        <v>0</v>
      </c>
    </row>
    <row r="7760">
      <c r="A7760" s="2">
        <f>IFERROR(__xludf.DUMMYFUNCTION("""COMPUTED_VALUE"""),42611.66666666667)</f>
        <v>42611.66667</v>
      </c>
      <c r="B7760" s="1">
        <f>IFERROR(__xludf.DUMMYFUNCTION("""COMPUTED_VALUE"""),2170.19)</f>
        <v>2170.19</v>
      </c>
      <c r="C7760" s="1">
        <f>IFERROR(__xludf.DUMMYFUNCTION("""COMPUTED_VALUE"""),2183.48)</f>
        <v>2183.48</v>
      </c>
      <c r="D7760" s="1">
        <f>IFERROR(__xludf.DUMMYFUNCTION("""COMPUTED_VALUE"""),2170.19)</f>
        <v>2170.19</v>
      </c>
      <c r="E7760" s="1">
        <f>IFERROR(__xludf.DUMMYFUNCTION("""COMPUTED_VALUE"""),2180.38)</f>
        <v>2180.38</v>
      </c>
      <c r="F7760" s="1">
        <f>IFERROR(__xludf.DUMMYFUNCTION("""COMPUTED_VALUE"""),0.0)</f>
        <v>0</v>
      </c>
    </row>
    <row r="7761">
      <c r="A7761" s="2">
        <f>IFERROR(__xludf.DUMMYFUNCTION("""COMPUTED_VALUE"""),42612.66666666667)</f>
        <v>42612.66667</v>
      </c>
      <c r="B7761" s="1">
        <f>IFERROR(__xludf.DUMMYFUNCTION("""COMPUTED_VALUE"""),2179.45)</f>
        <v>2179.45</v>
      </c>
      <c r="C7761" s="1">
        <f>IFERROR(__xludf.DUMMYFUNCTION("""COMPUTED_VALUE"""),2182.27)</f>
        <v>2182.27</v>
      </c>
      <c r="D7761" s="1">
        <f>IFERROR(__xludf.DUMMYFUNCTION("""COMPUTED_VALUE"""),2170.41)</f>
        <v>2170.41</v>
      </c>
      <c r="E7761" s="1">
        <f>IFERROR(__xludf.DUMMYFUNCTION("""COMPUTED_VALUE"""),2176.12)</f>
        <v>2176.12</v>
      </c>
      <c r="F7761" s="1">
        <f>IFERROR(__xludf.DUMMYFUNCTION("""COMPUTED_VALUE"""),0.0)</f>
        <v>0</v>
      </c>
    </row>
    <row r="7762">
      <c r="A7762" s="2">
        <f>IFERROR(__xludf.DUMMYFUNCTION("""COMPUTED_VALUE"""),42613.66666666667)</f>
        <v>42613.66667</v>
      </c>
      <c r="B7762" s="1">
        <f>IFERROR(__xludf.DUMMYFUNCTION("""COMPUTED_VALUE"""),2173.56)</f>
        <v>2173.56</v>
      </c>
      <c r="C7762" s="1">
        <f>IFERROR(__xludf.DUMMYFUNCTION("""COMPUTED_VALUE"""),2173.79)</f>
        <v>2173.79</v>
      </c>
      <c r="D7762" s="1">
        <f>IFERROR(__xludf.DUMMYFUNCTION("""COMPUTED_VALUE"""),2161.35)</f>
        <v>2161.35</v>
      </c>
      <c r="E7762" s="1">
        <f>IFERROR(__xludf.DUMMYFUNCTION("""COMPUTED_VALUE"""),2170.95)</f>
        <v>2170.95</v>
      </c>
      <c r="F7762" s="1">
        <f>IFERROR(__xludf.DUMMYFUNCTION("""COMPUTED_VALUE"""),0.0)</f>
        <v>0</v>
      </c>
    </row>
    <row r="7763">
      <c r="A7763" s="2">
        <f>IFERROR(__xludf.DUMMYFUNCTION("""COMPUTED_VALUE"""),42614.66666666667)</f>
        <v>42614.66667</v>
      </c>
      <c r="B7763" s="1">
        <f>IFERROR(__xludf.DUMMYFUNCTION("""COMPUTED_VALUE"""),2171.33)</f>
        <v>2171.33</v>
      </c>
      <c r="C7763" s="1">
        <f>IFERROR(__xludf.DUMMYFUNCTION("""COMPUTED_VALUE"""),2173.56)</f>
        <v>2173.56</v>
      </c>
      <c r="D7763" s="1">
        <f>IFERROR(__xludf.DUMMYFUNCTION("""COMPUTED_VALUE"""),2157.09)</f>
        <v>2157.09</v>
      </c>
      <c r="E7763" s="1">
        <f>IFERROR(__xludf.DUMMYFUNCTION("""COMPUTED_VALUE"""),2170.86)</f>
        <v>2170.86</v>
      </c>
      <c r="F7763" s="1">
        <f>IFERROR(__xludf.DUMMYFUNCTION("""COMPUTED_VALUE"""),0.0)</f>
        <v>0</v>
      </c>
    </row>
    <row r="7764">
      <c r="A7764" s="2">
        <f>IFERROR(__xludf.DUMMYFUNCTION("""COMPUTED_VALUE"""),42615.66666666667)</f>
        <v>42615.66667</v>
      </c>
      <c r="B7764" s="1">
        <f>IFERROR(__xludf.DUMMYFUNCTION("""COMPUTED_VALUE"""),2177.49)</f>
        <v>2177.49</v>
      </c>
      <c r="C7764" s="1">
        <f>IFERROR(__xludf.DUMMYFUNCTION("""COMPUTED_VALUE"""),2184.87)</f>
        <v>2184.87</v>
      </c>
      <c r="D7764" s="1">
        <f>IFERROR(__xludf.DUMMYFUNCTION("""COMPUTED_VALUE"""),2173.59)</f>
        <v>2173.59</v>
      </c>
      <c r="E7764" s="1">
        <f>IFERROR(__xludf.DUMMYFUNCTION("""COMPUTED_VALUE"""),2179.98)</f>
        <v>2179.98</v>
      </c>
      <c r="F7764" s="1">
        <f>IFERROR(__xludf.DUMMYFUNCTION("""COMPUTED_VALUE"""),0.0)</f>
        <v>0</v>
      </c>
    </row>
    <row r="7765">
      <c r="A7765" s="2">
        <f>IFERROR(__xludf.DUMMYFUNCTION("""COMPUTED_VALUE"""),42619.66666666667)</f>
        <v>42619.66667</v>
      </c>
      <c r="B7765" s="1">
        <f>IFERROR(__xludf.DUMMYFUNCTION("""COMPUTED_VALUE"""),2181.61)</f>
        <v>2181.61</v>
      </c>
      <c r="C7765" s="1">
        <f>IFERROR(__xludf.DUMMYFUNCTION("""COMPUTED_VALUE"""),2186.57)</f>
        <v>2186.57</v>
      </c>
      <c r="D7765" s="1">
        <f>IFERROR(__xludf.DUMMYFUNCTION("""COMPUTED_VALUE"""),2175.1)</f>
        <v>2175.1</v>
      </c>
      <c r="E7765" s="1">
        <f>IFERROR(__xludf.DUMMYFUNCTION("""COMPUTED_VALUE"""),2186.48)</f>
        <v>2186.48</v>
      </c>
      <c r="F7765" s="1">
        <f>IFERROR(__xludf.DUMMYFUNCTION("""COMPUTED_VALUE"""),0.0)</f>
        <v>0</v>
      </c>
    </row>
    <row r="7766">
      <c r="A7766" s="2">
        <f>IFERROR(__xludf.DUMMYFUNCTION("""COMPUTED_VALUE"""),42620.66666666667)</f>
        <v>42620.66667</v>
      </c>
      <c r="B7766" s="1">
        <f>IFERROR(__xludf.DUMMYFUNCTION("""COMPUTED_VALUE"""),2185.17)</f>
        <v>2185.17</v>
      </c>
      <c r="C7766" s="1">
        <f>IFERROR(__xludf.DUMMYFUNCTION("""COMPUTED_VALUE"""),2187.87)</f>
        <v>2187.87</v>
      </c>
      <c r="D7766" s="1">
        <f>IFERROR(__xludf.DUMMYFUNCTION("""COMPUTED_VALUE"""),2179.07)</f>
        <v>2179.07</v>
      </c>
      <c r="E7766" s="1">
        <f>IFERROR(__xludf.DUMMYFUNCTION("""COMPUTED_VALUE"""),2186.16)</f>
        <v>2186.16</v>
      </c>
      <c r="F7766" s="1">
        <f>IFERROR(__xludf.DUMMYFUNCTION("""COMPUTED_VALUE"""),0.0)</f>
        <v>0</v>
      </c>
    </row>
    <row r="7767">
      <c r="A7767" s="2">
        <f>IFERROR(__xludf.DUMMYFUNCTION("""COMPUTED_VALUE"""),42621.66666666667)</f>
        <v>42621.66667</v>
      </c>
      <c r="B7767" s="1">
        <f>IFERROR(__xludf.DUMMYFUNCTION("""COMPUTED_VALUE"""),2182.76)</f>
        <v>2182.76</v>
      </c>
      <c r="C7767" s="1">
        <f>IFERROR(__xludf.DUMMYFUNCTION("""COMPUTED_VALUE"""),2184.94)</f>
        <v>2184.94</v>
      </c>
      <c r="D7767" s="1">
        <f>IFERROR(__xludf.DUMMYFUNCTION("""COMPUTED_VALUE"""),2177.49)</f>
        <v>2177.49</v>
      </c>
      <c r="E7767" s="1">
        <f>IFERROR(__xludf.DUMMYFUNCTION("""COMPUTED_VALUE"""),2181.3)</f>
        <v>2181.3</v>
      </c>
      <c r="F7767" s="1">
        <f>IFERROR(__xludf.DUMMYFUNCTION("""COMPUTED_VALUE"""),0.0)</f>
        <v>0</v>
      </c>
    </row>
    <row r="7768">
      <c r="A7768" s="2">
        <f>IFERROR(__xludf.DUMMYFUNCTION("""COMPUTED_VALUE"""),42622.66666666667)</f>
        <v>42622.66667</v>
      </c>
      <c r="B7768" s="1">
        <f>IFERROR(__xludf.DUMMYFUNCTION("""COMPUTED_VALUE"""),2169.08)</f>
        <v>2169.08</v>
      </c>
      <c r="C7768" s="1">
        <f>IFERROR(__xludf.DUMMYFUNCTION("""COMPUTED_VALUE"""),2169.08)</f>
        <v>2169.08</v>
      </c>
      <c r="D7768" s="1">
        <f>IFERROR(__xludf.DUMMYFUNCTION("""COMPUTED_VALUE"""),2127.81)</f>
        <v>2127.81</v>
      </c>
      <c r="E7768" s="1">
        <f>IFERROR(__xludf.DUMMYFUNCTION("""COMPUTED_VALUE"""),2127.81)</f>
        <v>2127.81</v>
      </c>
      <c r="F7768" s="1">
        <f>IFERROR(__xludf.DUMMYFUNCTION("""COMPUTED_VALUE"""),0.0)</f>
        <v>0</v>
      </c>
    </row>
    <row r="7769">
      <c r="A7769" s="2">
        <f>IFERROR(__xludf.DUMMYFUNCTION("""COMPUTED_VALUE"""),42625.66666666667)</f>
        <v>42625.66667</v>
      </c>
      <c r="B7769" s="1">
        <f>IFERROR(__xludf.DUMMYFUNCTION("""COMPUTED_VALUE"""),2120.86)</f>
        <v>2120.86</v>
      </c>
      <c r="C7769" s="1">
        <f>IFERROR(__xludf.DUMMYFUNCTION("""COMPUTED_VALUE"""),2163.3)</f>
        <v>2163.3</v>
      </c>
      <c r="D7769" s="1">
        <f>IFERROR(__xludf.DUMMYFUNCTION("""COMPUTED_VALUE"""),2119.12)</f>
        <v>2119.12</v>
      </c>
      <c r="E7769" s="1">
        <f>IFERROR(__xludf.DUMMYFUNCTION("""COMPUTED_VALUE"""),2159.04)</f>
        <v>2159.04</v>
      </c>
      <c r="F7769" s="1">
        <f>IFERROR(__xludf.DUMMYFUNCTION("""COMPUTED_VALUE"""),0.0)</f>
        <v>0</v>
      </c>
    </row>
    <row r="7770">
      <c r="A7770" s="2">
        <f>IFERROR(__xludf.DUMMYFUNCTION("""COMPUTED_VALUE"""),42626.66666666667)</f>
        <v>42626.66667</v>
      </c>
      <c r="B7770" s="1">
        <f>IFERROR(__xludf.DUMMYFUNCTION("""COMPUTED_VALUE"""),2150.47)</f>
        <v>2150.47</v>
      </c>
      <c r="C7770" s="1">
        <f>IFERROR(__xludf.DUMMYFUNCTION("""COMPUTED_VALUE"""),2150.47)</f>
        <v>2150.47</v>
      </c>
      <c r="D7770" s="1">
        <f>IFERROR(__xludf.DUMMYFUNCTION("""COMPUTED_VALUE"""),2120.27)</f>
        <v>2120.27</v>
      </c>
      <c r="E7770" s="1">
        <f>IFERROR(__xludf.DUMMYFUNCTION("""COMPUTED_VALUE"""),2127.02)</f>
        <v>2127.02</v>
      </c>
      <c r="F7770" s="1">
        <f>IFERROR(__xludf.DUMMYFUNCTION("""COMPUTED_VALUE"""),0.0)</f>
        <v>0</v>
      </c>
    </row>
    <row r="7771">
      <c r="A7771" s="2">
        <f>IFERROR(__xludf.DUMMYFUNCTION("""COMPUTED_VALUE"""),42627.66666666667)</f>
        <v>42627.66667</v>
      </c>
      <c r="B7771" s="1">
        <f>IFERROR(__xludf.DUMMYFUNCTION("""COMPUTED_VALUE"""),2127.86)</f>
        <v>2127.86</v>
      </c>
      <c r="C7771" s="1">
        <f>IFERROR(__xludf.DUMMYFUNCTION("""COMPUTED_VALUE"""),2141.33)</f>
        <v>2141.33</v>
      </c>
      <c r="D7771" s="1">
        <f>IFERROR(__xludf.DUMMYFUNCTION("""COMPUTED_VALUE"""),2119.9)</f>
        <v>2119.9</v>
      </c>
      <c r="E7771" s="1">
        <f>IFERROR(__xludf.DUMMYFUNCTION("""COMPUTED_VALUE"""),2125.77)</f>
        <v>2125.77</v>
      </c>
      <c r="F7771" s="1">
        <f>IFERROR(__xludf.DUMMYFUNCTION("""COMPUTED_VALUE"""),0.0)</f>
        <v>0</v>
      </c>
    </row>
    <row r="7772">
      <c r="A7772" s="2">
        <f>IFERROR(__xludf.DUMMYFUNCTION("""COMPUTED_VALUE"""),42628.66666666667)</f>
        <v>42628.66667</v>
      </c>
      <c r="B7772" s="1">
        <f>IFERROR(__xludf.DUMMYFUNCTION("""COMPUTED_VALUE"""),2125.36)</f>
        <v>2125.36</v>
      </c>
      <c r="C7772" s="1">
        <f>IFERROR(__xludf.DUMMYFUNCTION("""COMPUTED_VALUE"""),2151.31)</f>
        <v>2151.31</v>
      </c>
      <c r="D7772" s="1">
        <f>IFERROR(__xludf.DUMMYFUNCTION("""COMPUTED_VALUE"""),2122.36)</f>
        <v>2122.36</v>
      </c>
      <c r="E7772" s="1">
        <f>IFERROR(__xludf.DUMMYFUNCTION("""COMPUTED_VALUE"""),2147.26)</f>
        <v>2147.26</v>
      </c>
      <c r="F7772" s="1">
        <f>IFERROR(__xludf.DUMMYFUNCTION("""COMPUTED_VALUE"""),0.0)</f>
        <v>0</v>
      </c>
    </row>
    <row r="7773">
      <c r="A7773" s="2">
        <f>IFERROR(__xludf.DUMMYFUNCTION("""COMPUTED_VALUE"""),42629.66666666667)</f>
        <v>42629.66667</v>
      </c>
      <c r="B7773" s="1">
        <f>IFERROR(__xludf.DUMMYFUNCTION("""COMPUTED_VALUE"""),2146.48)</f>
        <v>2146.48</v>
      </c>
      <c r="C7773" s="1">
        <f>IFERROR(__xludf.DUMMYFUNCTION("""COMPUTED_VALUE"""),2146.48)</f>
        <v>2146.48</v>
      </c>
      <c r="D7773" s="1">
        <f>IFERROR(__xludf.DUMMYFUNCTION("""COMPUTED_VALUE"""),2131.2)</f>
        <v>2131.2</v>
      </c>
      <c r="E7773" s="1">
        <f>IFERROR(__xludf.DUMMYFUNCTION("""COMPUTED_VALUE"""),2139.16)</f>
        <v>2139.16</v>
      </c>
      <c r="F7773" s="1">
        <f>IFERROR(__xludf.DUMMYFUNCTION("""COMPUTED_VALUE"""),0.0)</f>
        <v>0</v>
      </c>
    </row>
    <row r="7774">
      <c r="A7774" s="2">
        <f>IFERROR(__xludf.DUMMYFUNCTION("""COMPUTED_VALUE"""),42632.66666666667)</f>
        <v>42632.66667</v>
      </c>
      <c r="B7774" s="1">
        <f>IFERROR(__xludf.DUMMYFUNCTION("""COMPUTED_VALUE"""),2143.99)</f>
        <v>2143.99</v>
      </c>
      <c r="C7774" s="1">
        <f>IFERROR(__xludf.DUMMYFUNCTION("""COMPUTED_VALUE"""),2153.61)</f>
        <v>2153.61</v>
      </c>
      <c r="D7774" s="1">
        <f>IFERROR(__xludf.DUMMYFUNCTION("""COMPUTED_VALUE"""),2135.91)</f>
        <v>2135.91</v>
      </c>
      <c r="E7774" s="1">
        <f>IFERROR(__xludf.DUMMYFUNCTION("""COMPUTED_VALUE"""),2139.12)</f>
        <v>2139.12</v>
      </c>
      <c r="F7774" s="1">
        <f>IFERROR(__xludf.DUMMYFUNCTION("""COMPUTED_VALUE"""),0.0)</f>
        <v>0</v>
      </c>
    </row>
    <row r="7775">
      <c r="A7775" s="2">
        <f>IFERROR(__xludf.DUMMYFUNCTION("""COMPUTED_VALUE"""),42633.66666666667)</f>
        <v>42633.66667</v>
      </c>
      <c r="B7775" s="1">
        <f>IFERROR(__xludf.DUMMYFUNCTION("""COMPUTED_VALUE"""),2145.94)</f>
        <v>2145.94</v>
      </c>
      <c r="C7775" s="1">
        <f>IFERROR(__xludf.DUMMYFUNCTION("""COMPUTED_VALUE"""),2150.8)</f>
        <v>2150.8</v>
      </c>
      <c r="D7775" s="1">
        <f>IFERROR(__xludf.DUMMYFUNCTION("""COMPUTED_VALUE"""),2139.17)</f>
        <v>2139.17</v>
      </c>
      <c r="E7775" s="1">
        <f>IFERROR(__xludf.DUMMYFUNCTION("""COMPUTED_VALUE"""),2139.76)</f>
        <v>2139.76</v>
      </c>
      <c r="F7775" s="1">
        <f>IFERROR(__xludf.DUMMYFUNCTION("""COMPUTED_VALUE"""),0.0)</f>
        <v>0</v>
      </c>
    </row>
    <row r="7776">
      <c r="A7776" s="2">
        <f>IFERROR(__xludf.DUMMYFUNCTION("""COMPUTED_VALUE"""),42634.66666666667)</f>
        <v>42634.66667</v>
      </c>
      <c r="B7776" s="1">
        <f>IFERROR(__xludf.DUMMYFUNCTION("""COMPUTED_VALUE"""),2144.58)</f>
        <v>2144.58</v>
      </c>
      <c r="C7776" s="1">
        <f>IFERROR(__xludf.DUMMYFUNCTION("""COMPUTED_VALUE"""),2165.11)</f>
        <v>2165.11</v>
      </c>
      <c r="D7776" s="1">
        <f>IFERROR(__xludf.DUMMYFUNCTION("""COMPUTED_VALUE"""),2139.57)</f>
        <v>2139.57</v>
      </c>
      <c r="E7776" s="1">
        <f>IFERROR(__xludf.DUMMYFUNCTION("""COMPUTED_VALUE"""),2163.12)</f>
        <v>2163.12</v>
      </c>
      <c r="F7776" s="1">
        <f>IFERROR(__xludf.DUMMYFUNCTION("""COMPUTED_VALUE"""),0.0)</f>
        <v>0</v>
      </c>
    </row>
    <row r="7777">
      <c r="A7777" s="2">
        <f>IFERROR(__xludf.DUMMYFUNCTION("""COMPUTED_VALUE"""),42635.66666666667)</f>
        <v>42635.66667</v>
      </c>
      <c r="B7777" s="1">
        <f>IFERROR(__xludf.DUMMYFUNCTION("""COMPUTED_VALUE"""),2170.94)</f>
        <v>2170.94</v>
      </c>
      <c r="C7777" s="1">
        <f>IFERROR(__xludf.DUMMYFUNCTION("""COMPUTED_VALUE"""),2179.99)</f>
        <v>2179.99</v>
      </c>
      <c r="D7777" s="1">
        <f>IFERROR(__xludf.DUMMYFUNCTION("""COMPUTED_VALUE"""),2170.94)</f>
        <v>2170.94</v>
      </c>
      <c r="E7777" s="1">
        <f>IFERROR(__xludf.DUMMYFUNCTION("""COMPUTED_VALUE"""),2177.18)</f>
        <v>2177.18</v>
      </c>
      <c r="F7777" s="1">
        <f>IFERROR(__xludf.DUMMYFUNCTION("""COMPUTED_VALUE"""),0.0)</f>
        <v>0</v>
      </c>
    </row>
    <row r="7778">
      <c r="A7778" s="2">
        <f>IFERROR(__xludf.DUMMYFUNCTION("""COMPUTED_VALUE"""),42636.66666666667)</f>
        <v>42636.66667</v>
      </c>
      <c r="B7778" s="1">
        <f>IFERROR(__xludf.DUMMYFUNCTION("""COMPUTED_VALUE"""),2173.29)</f>
        <v>2173.29</v>
      </c>
      <c r="C7778" s="1">
        <f>IFERROR(__xludf.DUMMYFUNCTION("""COMPUTED_VALUE"""),2173.75)</f>
        <v>2173.75</v>
      </c>
      <c r="D7778" s="1">
        <f>IFERROR(__xludf.DUMMYFUNCTION("""COMPUTED_VALUE"""),2163.97)</f>
        <v>2163.97</v>
      </c>
      <c r="E7778" s="1">
        <f>IFERROR(__xludf.DUMMYFUNCTION("""COMPUTED_VALUE"""),2164.69)</f>
        <v>2164.69</v>
      </c>
      <c r="F7778" s="1">
        <f>IFERROR(__xludf.DUMMYFUNCTION("""COMPUTED_VALUE"""),0.0)</f>
        <v>0</v>
      </c>
    </row>
    <row r="7779">
      <c r="A7779" s="2">
        <f>IFERROR(__xludf.DUMMYFUNCTION("""COMPUTED_VALUE"""),42639.66666666667)</f>
        <v>42639.66667</v>
      </c>
      <c r="B7779" s="1">
        <f>IFERROR(__xludf.DUMMYFUNCTION("""COMPUTED_VALUE"""),2158.54)</f>
        <v>2158.54</v>
      </c>
      <c r="C7779" s="1">
        <f>IFERROR(__xludf.DUMMYFUNCTION("""COMPUTED_VALUE"""),2158.54)</f>
        <v>2158.54</v>
      </c>
      <c r="D7779" s="1">
        <f>IFERROR(__xludf.DUMMYFUNCTION("""COMPUTED_VALUE"""),2145.04)</f>
        <v>2145.04</v>
      </c>
      <c r="E7779" s="1">
        <f>IFERROR(__xludf.DUMMYFUNCTION("""COMPUTED_VALUE"""),2146.1)</f>
        <v>2146.1</v>
      </c>
      <c r="F7779" s="1">
        <f>IFERROR(__xludf.DUMMYFUNCTION("""COMPUTED_VALUE"""),0.0)</f>
        <v>0</v>
      </c>
    </row>
    <row r="7780">
      <c r="A7780" s="2">
        <f>IFERROR(__xludf.DUMMYFUNCTION("""COMPUTED_VALUE"""),42640.66666666667)</f>
        <v>42640.66667</v>
      </c>
      <c r="B7780" s="1">
        <f>IFERROR(__xludf.DUMMYFUNCTION("""COMPUTED_VALUE"""),2146.04)</f>
        <v>2146.04</v>
      </c>
      <c r="C7780" s="1">
        <f>IFERROR(__xludf.DUMMYFUNCTION("""COMPUTED_VALUE"""),2161.13)</f>
        <v>2161.13</v>
      </c>
      <c r="D7780" s="1">
        <f>IFERROR(__xludf.DUMMYFUNCTION("""COMPUTED_VALUE"""),2141.55)</f>
        <v>2141.55</v>
      </c>
      <c r="E7780" s="1">
        <f>IFERROR(__xludf.DUMMYFUNCTION("""COMPUTED_VALUE"""),2159.93)</f>
        <v>2159.93</v>
      </c>
      <c r="F7780" s="1">
        <f>IFERROR(__xludf.DUMMYFUNCTION("""COMPUTED_VALUE"""),0.0)</f>
        <v>0</v>
      </c>
    </row>
    <row r="7781">
      <c r="A7781" s="2">
        <f>IFERROR(__xludf.DUMMYFUNCTION("""COMPUTED_VALUE"""),42641.66666666667)</f>
        <v>42641.66667</v>
      </c>
      <c r="B7781" s="1">
        <f>IFERROR(__xludf.DUMMYFUNCTION("""COMPUTED_VALUE"""),2161.85)</f>
        <v>2161.85</v>
      </c>
      <c r="C7781" s="1">
        <f>IFERROR(__xludf.DUMMYFUNCTION("""COMPUTED_VALUE"""),2172.4)</f>
        <v>2172.4</v>
      </c>
      <c r="D7781" s="1">
        <f>IFERROR(__xludf.DUMMYFUNCTION("""COMPUTED_VALUE"""),2151.79)</f>
        <v>2151.79</v>
      </c>
      <c r="E7781" s="1">
        <f>IFERROR(__xludf.DUMMYFUNCTION("""COMPUTED_VALUE"""),2171.37)</f>
        <v>2171.37</v>
      </c>
      <c r="F7781" s="1">
        <f>IFERROR(__xludf.DUMMYFUNCTION("""COMPUTED_VALUE"""),0.0)</f>
        <v>0</v>
      </c>
    </row>
    <row r="7782">
      <c r="A7782" s="2">
        <f>IFERROR(__xludf.DUMMYFUNCTION("""COMPUTED_VALUE"""),42642.66666666667)</f>
        <v>42642.66667</v>
      </c>
      <c r="B7782" s="1">
        <f>IFERROR(__xludf.DUMMYFUNCTION("""COMPUTED_VALUE"""),2168.9)</f>
        <v>2168.9</v>
      </c>
      <c r="C7782" s="1">
        <f>IFERROR(__xludf.DUMMYFUNCTION("""COMPUTED_VALUE"""),2172.67)</f>
        <v>2172.67</v>
      </c>
      <c r="D7782" s="1">
        <f>IFERROR(__xludf.DUMMYFUNCTION("""COMPUTED_VALUE"""),2145.2)</f>
        <v>2145.2</v>
      </c>
      <c r="E7782" s="1">
        <f>IFERROR(__xludf.DUMMYFUNCTION("""COMPUTED_VALUE"""),2151.13)</f>
        <v>2151.13</v>
      </c>
      <c r="F7782" s="1">
        <f>IFERROR(__xludf.DUMMYFUNCTION("""COMPUTED_VALUE"""),0.0)</f>
        <v>0</v>
      </c>
    </row>
    <row r="7783">
      <c r="A7783" s="2">
        <f>IFERROR(__xludf.DUMMYFUNCTION("""COMPUTED_VALUE"""),42643.66666666667)</f>
        <v>42643.66667</v>
      </c>
      <c r="B7783" s="1">
        <f>IFERROR(__xludf.DUMMYFUNCTION("""COMPUTED_VALUE"""),2156.51)</f>
        <v>2156.51</v>
      </c>
      <c r="C7783" s="1">
        <f>IFERROR(__xludf.DUMMYFUNCTION("""COMPUTED_VALUE"""),2175.3)</f>
        <v>2175.3</v>
      </c>
      <c r="D7783" s="1">
        <f>IFERROR(__xludf.DUMMYFUNCTION("""COMPUTED_VALUE"""),2156.51)</f>
        <v>2156.51</v>
      </c>
      <c r="E7783" s="1">
        <f>IFERROR(__xludf.DUMMYFUNCTION("""COMPUTED_VALUE"""),2168.27)</f>
        <v>2168.27</v>
      </c>
      <c r="F7783" s="1">
        <f>IFERROR(__xludf.DUMMYFUNCTION("""COMPUTED_VALUE"""),0.0)</f>
        <v>0</v>
      </c>
    </row>
    <row r="7784">
      <c r="A7784" s="2">
        <f>IFERROR(__xludf.DUMMYFUNCTION("""COMPUTED_VALUE"""),42646.66666666667)</f>
        <v>42646.66667</v>
      </c>
      <c r="B7784" s="1">
        <f>IFERROR(__xludf.DUMMYFUNCTION("""COMPUTED_VALUE"""),2164.33)</f>
        <v>2164.33</v>
      </c>
      <c r="C7784" s="1">
        <f>IFERROR(__xludf.DUMMYFUNCTION("""COMPUTED_VALUE"""),2164.41)</f>
        <v>2164.41</v>
      </c>
      <c r="D7784" s="1">
        <f>IFERROR(__xludf.DUMMYFUNCTION("""COMPUTED_VALUE"""),2154.77)</f>
        <v>2154.77</v>
      </c>
      <c r="E7784" s="1">
        <f>IFERROR(__xludf.DUMMYFUNCTION("""COMPUTED_VALUE"""),2161.2)</f>
        <v>2161.2</v>
      </c>
      <c r="F7784" s="1">
        <f>IFERROR(__xludf.DUMMYFUNCTION("""COMPUTED_VALUE"""),0.0)</f>
        <v>0</v>
      </c>
    </row>
    <row r="7785">
      <c r="A7785" s="2">
        <f>IFERROR(__xludf.DUMMYFUNCTION("""COMPUTED_VALUE"""),42647.66666666667)</f>
        <v>42647.66667</v>
      </c>
      <c r="B7785" s="1">
        <f>IFERROR(__xludf.DUMMYFUNCTION("""COMPUTED_VALUE"""),2163.37)</f>
        <v>2163.37</v>
      </c>
      <c r="C7785" s="1">
        <f>IFERROR(__xludf.DUMMYFUNCTION("""COMPUTED_VALUE"""),2165.46)</f>
        <v>2165.46</v>
      </c>
      <c r="D7785" s="1">
        <f>IFERROR(__xludf.DUMMYFUNCTION("""COMPUTED_VALUE"""),2144.01)</f>
        <v>2144.01</v>
      </c>
      <c r="E7785" s="1">
        <f>IFERROR(__xludf.DUMMYFUNCTION("""COMPUTED_VALUE"""),2150.49)</f>
        <v>2150.49</v>
      </c>
      <c r="F7785" s="1">
        <f>IFERROR(__xludf.DUMMYFUNCTION("""COMPUTED_VALUE"""),0.0)</f>
        <v>0</v>
      </c>
    </row>
    <row r="7786">
      <c r="A7786" s="2">
        <f>IFERROR(__xludf.DUMMYFUNCTION("""COMPUTED_VALUE"""),42648.66666666667)</f>
        <v>42648.66667</v>
      </c>
      <c r="B7786" s="1">
        <f>IFERROR(__xludf.DUMMYFUNCTION("""COMPUTED_VALUE"""),2155.15)</f>
        <v>2155.15</v>
      </c>
      <c r="C7786" s="1">
        <f>IFERROR(__xludf.DUMMYFUNCTION("""COMPUTED_VALUE"""),2163.95)</f>
        <v>2163.95</v>
      </c>
      <c r="D7786" s="1">
        <f>IFERROR(__xludf.DUMMYFUNCTION("""COMPUTED_VALUE"""),2155.15)</f>
        <v>2155.15</v>
      </c>
      <c r="E7786" s="1">
        <f>IFERROR(__xludf.DUMMYFUNCTION("""COMPUTED_VALUE"""),2159.73)</f>
        <v>2159.73</v>
      </c>
      <c r="F7786" s="1">
        <f>IFERROR(__xludf.DUMMYFUNCTION("""COMPUTED_VALUE"""),0.0)</f>
        <v>0</v>
      </c>
    </row>
    <row r="7787">
      <c r="A7787" s="2">
        <f>IFERROR(__xludf.DUMMYFUNCTION("""COMPUTED_VALUE"""),42649.66666666667)</f>
        <v>42649.66667</v>
      </c>
      <c r="B7787" s="1">
        <f>IFERROR(__xludf.DUMMYFUNCTION("""COMPUTED_VALUE"""),2158.22)</f>
        <v>2158.22</v>
      </c>
      <c r="C7787" s="1">
        <f>IFERROR(__xludf.DUMMYFUNCTION("""COMPUTED_VALUE"""),2162.93)</f>
        <v>2162.93</v>
      </c>
      <c r="D7787" s="1">
        <f>IFERROR(__xludf.DUMMYFUNCTION("""COMPUTED_VALUE"""),2150.28)</f>
        <v>2150.28</v>
      </c>
      <c r="E7787" s="1">
        <f>IFERROR(__xludf.DUMMYFUNCTION("""COMPUTED_VALUE"""),2160.77)</f>
        <v>2160.77</v>
      </c>
      <c r="F7787" s="1">
        <f>IFERROR(__xludf.DUMMYFUNCTION("""COMPUTED_VALUE"""),0.0)</f>
        <v>0</v>
      </c>
    </row>
    <row r="7788">
      <c r="A7788" s="2">
        <f>IFERROR(__xludf.DUMMYFUNCTION("""COMPUTED_VALUE"""),42650.66666666667)</f>
        <v>42650.66667</v>
      </c>
      <c r="B7788" s="1">
        <f>IFERROR(__xludf.DUMMYFUNCTION("""COMPUTED_VALUE"""),2164.19)</f>
        <v>2164.19</v>
      </c>
      <c r="C7788" s="1">
        <f>IFERROR(__xludf.DUMMYFUNCTION("""COMPUTED_VALUE"""),2165.86)</f>
        <v>2165.86</v>
      </c>
      <c r="D7788" s="1">
        <f>IFERROR(__xludf.DUMMYFUNCTION("""COMPUTED_VALUE"""),2144.85)</f>
        <v>2144.85</v>
      </c>
      <c r="E7788" s="1">
        <f>IFERROR(__xludf.DUMMYFUNCTION("""COMPUTED_VALUE"""),2153.74)</f>
        <v>2153.74</v>
      </c>
      <c r="F7788" s="1">
        <f>IFERROR(__xludf.DUMMYFUNCTION("""COMPUTED_VALUE"""),0.0)</f>
        <v>0</v>
      </c>
    </row>
    <row r="7789">
      <c r="A7789" s="2">
        <f>IFERROR(__xludf.DUMMYFUNCTION("""COMPUTED_VALUE"""),42653.66666666667)</f>
        <v>42653.66667</v>
      </c>
      <c r="B7789" s="1">
        <f>IFERROR(__xludf.DUMMYFUNCTION("""COMPUTED_VALUE"""),2160.39)</f>
        <v>2160.39</v>
      </c>
      <c r="C7789" s="1">
        <f>IFERROR(__xludf.DUMMYFUNCTION("""COMPUTED_VALUE"""),2169.6)</f>
        <v>2169.6</v>
      </c>
      <c r="D7789" s="1">
        <f>IFERROR(__xludf.DUMMYFUNCTION("""COMPUTED_VALUE"""),2160.39)</f>
        <v>2160.39</v>
      </c>
      <c r="E7789" s="1">
        <f>IFERROR(__xludf.DUMMYFUNCTION("""COMPUTED_VALUE"""),2163.66)</f>
        <v>2163.66</v>
      </c>
      <c r="F7789" s="1">
        <f>IFERROR(__xludf.DUMMYFUNCTION("""COMPUTED_VALUE"""),0.0)</f>
        <v>0</v>
      </c>
    </row>
    <row r="7790">
      <c r="A7790" s="2">
        <f>IFERROR(__xludf.DUMMYFUNCTION("""COMPUTED_VALUE"""),42654.66666666667)</f>
        <v>42654.66667</v>
      </c>
      <c r="B7790" s="1">
        <f>IFERROR(__xludf.DUMMYFUNCTION("""COMPUTED_VALUE"""),2161.35)</f>
        <v>2161.35</v>
      </c>
      <c r="C7790" s="1">
        <f>IFERROR(__xludf.DUMMYFUNCTION("""COMPUTED_VALUE"""),2161.56)</f>
        <v>2161.56</v>
      </c>
      <c r="D7790" s="1">
        <f>IFERROR(__xludf.DUMMYFUNCTION("""COMPUTED_VALUE"""),2128.84)</f>
        <v>2128.84</v>
      </c>
      <c r="E7790" s="1">
        <f>IFERROR(__xludf.DUMMYFUNCTION("""COMPUTED_VALUE"""),2136.73)</f>
        <v>2136.73</v>
      </c>
      <c r="F7790" s="1">
        <f>IFERROR(__xludf.DUMMYFUNCTION("""COMPUTED_VALUE"""),0.0)</f>
        <v>0</v>
      </c>
    </row>
    <row r="7791">
      <c r="A7791" s="2">
        <f>IFERROR(__xludf.DUMMYFUNCTION("""COMPUTED_VALUE"""),42655.66666666667)</f>
        <v>42655.66667</v>
      </c>
      <c r="B7791" s="1">
        <f>IFERROR(__xludf.DUMMYFUNCTION("""COMPUTED_VALUE"""),2137.67)</f>
        <v>2137.67</v>
      </c>
      <c r="C7791" s="1">
        <f>IFERROR(__xludf.DUMMYFUNCTION("""COMPUTED_VALUE"""),2145.36)</f>
        <v>2145.36</v>
      </c>
      <c r="D7791" s="1">
        <f>IFERROR(__xludf.DUMMYFUNCTION("""COMPUTED_VALUE"""),2132.77)</f>
        <v>2132.77</v>
      </c>
      <c r="E7791" s="1">
        <f>IFERROR(__xludf.DUMMYFUNCTION("""COMPUTED_VALUE"""),2139.18)</f>
        <v>2139.18</v>
      </c>
      <c r="F7791" s="1">
        <f>IFERROR(__xludf.DUMMYFUNCTION("""COMPUTED_VALUE"""),0.0)</f>
        <v>0</v>
      </c>
    </row>
    <row r="7792">
      <c r="A7792" s="2">
        <f>IFERROR(__xludf.DUMMYFUNCTION("""COMPUTED_VALUE"""),42656.66666666667)</f>
        <v>42656.66667</v>
      </c>
      <c r="B7792" s="1">
        <f>IFERROR(__xludf.DUMMYFUNCTION("""COMPUTED_VALUE"""),2130.26)</f>
        <v>2130.26</v>
      </c>
      <c r="C7792" s="1">
        <f>IFERROR(__xludf.DUMMYFUNCTION("""COMPUTED_VALUE"""),2138.19)</f>
        <v>2138.19</v>
      </c>
      <c r="D7792" s="1">
        <f>IFERROR(__xludf.DUMMYFUNCTION("""COMPUTED_VALUE"""),2114.72)</f>
        <v>2114.72</v>
      </c>
      <c r="E7792" s="1">
        <f>IFERROR(__xludf.DUMMYFUNCTION("""COMPUTED_VALUE"""),2132.55)</f>
        <v>2132.55</v>
      </c>
      <c r="F7792" s="1">
        <f>IFERROR(__xludf.DUMMYFUNCTION("""COMPUTED_VALUE"""),0.0)</f>
        <v>0</v>
      </c>
    </row>
    <row r="7793">
      <c r="A7793" s="2">
        <f>IFERROR(__xludf.DUMMYFUNCTION("""COMPUTED_VALUE"""),42657.66666666667)</f>
        <v>42657.66667</v>
      </c>
      <c r="B7793" s="1">
        <f>IFERROR(__xludf.DUMMYFUNCTION("""COMPUTED_VALUE"""),2139.68)</f>
        <v>2139.68</v>
      </c>
      <c r="C7793" s="1">
        <f>IFERROR(__xludf.DUMMYFUNCTION("""COMPUTED_VALUE"""),2149.19)</f>
        <v>2149.19</v>
      </c>
      <c r="D7793" s="1">
        <f>IFERROR(__xludf.DUMMYFUNCTION("""COMPUTED_VALUE"""),2132.98)</f>
        <v>2132.98</v>
      </c>
      <c r="E7793" s="1">
        <f>IFERROR(__xludf.DUMMYFUNCTION("""COMPUTED_VALUE"""),2132.98)</f>
        <v>2132.98</v>
      </c>
      <c r="F7793" s="1">
        <f>IFERROR(__xludf.DUMMYFUNCTION("""COMPUTED_VALUE"""),0.0)</f>
        <v>0</v>
      </c>
    </row>
    <row r="7794">
      <c r="A7794" s="2">
        <f>IFERROR(__xludf.DUMMYFUNCTION("""COMPUTED_VALUE"""),42660.66666666667)</f>
        <v>42660.66667</v>
      </c>
      <c r="B7794" s="1">
        <f>IFERROR(__xludf.DUMMYFUNCTION("""COMPUTED_VALUE"""),2132.95)</f>
        <v>2132.95</v>
      </c>
      <c r="C7794" s="1">
        <f>IFERROR(__xludf.DUMMYFUNCTION("""COMPUTED_VALUE"""),2135.61)</f>
        <v>2135.61</v>
      </c>
      <c r="D7794" s="1">
        <f>IFERROR(__xludf.DUMMYFUNCTION("""COMPUTED_VALUE"""),2124.43)</f>
        <v>2124.43</v>
      </c>
      <c r="E7794" s="1">
        <f>IFERROR(__xludf.DUMMYFUNCTION("""COMPUTED_VALUE"""),2126.5)</f>
        <v>2126.5</v>
      </c>
      <c r="F7794" s="1">
        <f>IFERROR(__xludf.DUMMYFUNCTION("""COMPUTED_VALUE"""),0.0)</f>
        <v>0</v>
      </c>
    </row>
    <row r="7795">
      <c r="A7795" s="2">
        <f>IFERROR(__xludf.DUMMYFUNCTION("""COMPUTED_VALUE"""),42661.66666666667)</f>
        <v>42661.66667</v>
      </c>
      <c r="B7795" s="1">
        <f>IFERROR(__xludf.DUMMYFUNCTION("""COMPUTED_VALUE"""),2138.31)</f>
        <v>2138.31</v>
      </c>
      <c r="C7795" s="1">
        <f>IFERROR(__xludf.DUMMYFUNCTION("""COMPUTED_VALUE"""),2144.38)</f>
        <v>2144.38</v>
      </c>
      <c r="D7795" s="1">
        <f>IFERROR(__xludf.DUMMYFUNCTION("""COMPUTED_VALUE"""),2135.49)</f>
        <v>2135.49</v>
      </c>
      <c r="E7795" s="1">
        <f>IFERROR(__xludf.DUMMYFUNCTION("""COMPUTED_VALUE"""),2139.6)</f>
        <v>2139.6</v>
      </c>
      <c r="F7795" s="1">
        <f>IFERROR(__xludf.DUMMYFUNCTION("""COMPUTED_VALUE"""),0.0)</f>
        <v>0</v>
      </c>
    </row>
    <row r="7796">
      <c r="A7796" s="2">
        <f>IFERROR(__xludf.DUMMYFUNCTION("""COMPUTED_VALUE"""),42662.66666666667)</f>
        <v>42662.66667</v>
      </c>
      <c r="B7796" s="1">
        <f>IFERROR(__xludf.DUMMYFUNCTION("""COMPUTED_VALUE"""),2140.81)</f>
        <v>2140.81</v>
      </c>
      <c r="C7796" s="1">
        <f>IFERROR(__xludf.DUMMYFUNCTION("""COMPUTED_VALUE"""),2148.44)</f>
        <v>2148.44</v>
      </c>
      <c r="D7796" s="1">
        <f>IFERROR(__xludf.DUMMYFUNCTION("""COMPUTED_VALUE"""),2138.15)</f>
        <v>2138.15</v>
      </c>
      <c r="E7796" s="1">
        <f>IFERROR(__xludf.DUMMYFUNCTION("""COMPUTED_VALUE"""),2144.29)</f>
        <v>2144.29</v>
      </c>
      <c r="F7796" s="1">
        <f>IFERROR(__xludf.DUMMYFUNCTION("""COMPUTED_VALUE"""),0.0)</f>
        <v>0</v>
      </c>
    </row>
    <row r="7797">
      <c r="A7797" s="2">
        <f>IFERROR(__xludf.DUMMYFUNCTION("""COMPUTED_VALUE"""),42663.66666666667)</f>
        <v>42663.66667</v>
      </c>
      <c r="B7797" s="1">
        <f>IFERROR(__xludf.DUMMYFUNCTION("""COMPUTED_VALUE"""),2142.51)</f>
        <v>2142.51</v>
      </c>
      <c r="C7797" s="1">
        <f>IFERROR(__xludf.DUMMYFUNCTION("""COMPUTED_VALUE"""),2147.18)</f>
        <v>2147.18</v>
      </c>
      <c r="D7797" s="1">
        <f>IFERROR(__xludf.DUMMYFUNCTION("""COMPUTED_VALUE"""),2133.44)</f>
        <v>2133.44</v>
      </c>
      <c r="E7797" s="1">
        <f>IFERROR(__xludf.DUMMYFUNCTION("""COMPUTED_VALUE"""),2141.34)</f>
        <v>2141.34</v>
      </c>
      <c r="F7797" s="1">
        <f>IFERROR(__xludf.DUMMYFUNCTION("""COMPUTED_VALUE"""),0.0)</f>
        <v>0</v>
      </c>
    </row>
    <row r="7798">
      <c r="A7798" s="2">
        <f>IFERROR(__xludf.DUMMYFUNCTION("""COMPUTED_VALUE"""),42664.66666666667)</f>
        <v>42664.66667</v>
      </c>
      <c r="B7798" s="1">
        <f>IFERROR(__xludf.DUMMYFUNCTION("""COMPUTED_VALUE"""),2139.43)</f>
        <v>2139.43</v>
      </c>
      <c r="C7798" s="1">
        <f>IFERROR(__xludf.DUMMYFUNCTION("""COMPUTED_VALUE"""),2142.63)</f>
        <v>2142.63</v>
      </c>
      <c r="D7798" s="1">
        <f>IFERROR(__xludf.DUMMYFUNCTION("""COMPUTED_VALUE"""),2130.09)</f>
        <v>2130.09</v>
      </c>
      <c r="E7798" s="1">
        <f>IFERROR(__xludf.DUMMYFUNCTION("""COMPUTED_VALUE"""),2141.16)</f>
        <v>2141.16</v>
      </c>
      <c r="F7798" s="1">
        <f>IFERROR(__xludf.DUMMYFUNCTION("""COMPUTED_VALUE"""),0.0)</f>
        <v>0</v>
      </c>
    </row>
    <row r="7799">
      <c r="A7799" s="2">
        <f>IFERROR(__xludf.DUMMYFUNCTION("""COMPUTED_VALUE"""),42667.66666666667)</f>
        <v>42667.66667</v>
      </c>
      <c r="B7799" s="1">
        <f>IFERROR(__xludf.DUMMYFUNCTION("""COMPUTED_VALUE"""),2148.5)</f>
        <v>2148.5</v>
      </c>
      <c r="C7799" s="1">
        <f>IFERROR(__xludf.DUMMYFUNCTION("""COMPUTED_VALUE"""),2154.79)</f>
        <v>2154.79</v>
      </c>
      <c r="D7799" s="1">
        <f>IFERROR(__xludf.DUMMYFUNCTION("""COMPUTED_VALUE"""),2146.91)</f>
        <v>2146.91</v>
      </c>
      <c r="E7799" s="1">
        <f>IFERROR(__xludf.DUMMYFUNCTION("""COMPUTED_VALUE"""),2151.33)</f>
        <v>2151.33</v>
      </c>
      <c r="F7799" s="1">
        <f>IFERROR(__xludf.DUMMYFUNCTION("""COMPUTED_VALUE"""),0.0)</f>
        <v>0</v>
      </c>
    </row>
    <row r="7800">
      <c r="A7800" s="2">
        <f>IFERROR(__xludf.DUMMYFUNCTION("""COMPUTED_VALUE"""),42668.66666666667)</f>
        <v>42668.66667</v>
      </c>
      <c r="B7800" s="1">
        <f>IFERROR(__xludf.DUMMYFUNCTION("""COMPUTED_VALUE"""),2149.72)</f>
        <v>2149.72</v>
      </c>
      <c r="C7800" s="1">
        <f>IFERROR(__xludf.DUMMYFUNCTION("""COMPUTED_VALUE"""),2151.44)</f>
        <v>2151.44</v>
      </c>
      <c r="D7800" s="1">
        <f>IFERROR(__xludf.DUMMYFUNCTION("""COMPUTED_VALUE"""),2141.93)</f>
        <v>2141.93</v>
      </c>
      <c r="E7800" s="1">
        <f>IFERROR(__xludf.DUMMYFUNCTION("""COMPUTED_VALUE"""),2143.16)</f>
        <v>2143.16</v>
      </c>
      <c r="F7800" s="1">
        <f>IFERROR(__xludf.DUMMYFUNCTION("""COMPUTED_VALUE"""),0.0)</f>
        <v>0</v>
      </c>
    </row>
    <row r="7801">
      <c r="A7801" s="2">
        <f>IFERROR(__xludf.DUMMYFUNCTION("""COMPUTED_VALUE"""),42669.66666666667)</f>
        <v>42669.66667</v>
      </c>
      <c r="B7801" s="1">
        <f>IFERROR(__xludf.DUMMYFUNCTION("""COMPUTED_VALUE"""),2136.97)</f>
        <v>2136.97</v>
      </c>
      <c r="C7801" s="1">
        <f>IFERROR(__xludf.DUMMYFUNCTION("""COMPUTED_VALUE"""),2145.73)</f>
        <v>2145.73</v>
      </c>
      <c r="D7801" s="1">
        <f>IFERROR(__xludf.DUMMYFUNCTION("""COMPUTED_VALUE"""),2131.59)</f>
        <v>2131.59</v>
      </c>
      <c r="E7801" s="1">
        <f>IFERROR(__xludf.DUMMYFUNCTION("""COMPUTED_VALUE"""),2139.43)</f>
        <v>2139.43</v>
      </c>
      <c r="F7801" s="1">
        <f>IFERROR(__xludf.DUMMYFUNCTION("""COMPUTED_VALUE"""),0.0)</f>
        <v>0</v>
      </c>
    </row>
    <row r="7802">
      <c r="A7802" s="2">
        <f>IFERROR(__xludf.DUMMYFUNCTION("""COMPUTED_VALUE"""),42670.66666666667)</f>
        <v>42670.66667</v>
      </c>
      <c r="B7802" s="1">
        <f>IFERROR(__xludf.DUMMYFUNCTION("""COMPUTED_VALUE"""),2144.06)</f>
        <v>2144.06</v>
      </c>
      <c r="C7802" s="1">
        <f>IFERROR(__xludf.DUMMYFUNCTION("""COMPUTED_VALUE"""),2147.13)</f>
        <v>2147.13</v>
      </c>
      <c r="D7802" s="1">
        <f>IFERROR(__xludf.DUMMYFUNCTION("""COMPUTED_VALUE"""),2132.52)</f>
        <v>2132.52</v>
      </c>
      <c r="E7802" s="1">
        <f>IFERROR(__xludf.DUMMYFUNCTION("""COMPUTED_VALUE"""),2133.04)</f>
        <v>2133.04</v>
      </c>
      <c r="F7802" s="1">
        <f>IFERROR(__xludf.DUMMYFUNCTION("""COMPUTED_VALUE"""),0.0)</f>
        <v>0</v>
      </c>
    </row>
    <row r="7803">
      <c r="A7803" s="2">
        <f>IFERROR(__xludf.DUMMYFUNCTION("""COMPUTED_VALUE"""),42671.66666666667)</f>
        <v>42671.66667</v>
      </c>
      <c r="B7803" s="1">
        <f>IFERROR(__xludf.DUMMYFUNCTION("""COMPUTED_VALUE"""),2132.23)</f>
        <v>2132.23</v>
      </c>
      <c r="C7803" s="1">
        <f>IFERROR(__xludf.DUMMYFUNCTION("""COMPUTED_VALUE"""),2140.72)</f>
        <v>2140.72</v>
      </c>
      <c r="D7803" s="1">
        <f>IFERROR(__xludf.DUMMYFUNCTION("""COMPUTED_VALUE"""),2119.36)</f>
        <v>2119.36</v>
      </c>
      <c r="E7803" s="1">
        <f>IFERROR(__xludf.DUMMYFUNCTION("""COMPUTED_VALUE"""),2126.41)</f>
        <v>2126.41</v>
      </c>
      <c r="F7803" s="1">
        <f>IFERROR(__xludf.DUMMYFUNCTION("""COMPUTED_VALUE"""),0.0)</f>
        <v>0</v>
      </c>
    </row>
    <row r="7804">
      <c r="A7804" s="2">
        <f>IFERROR(__xludf.DUMMYFUNCTION("""COMPUTED_VALUE"""),42674.66666666667)</f>
        <v>42674.66667</v>
      </c>
      <c r="B7804" s="1">
        <f>IFERROR(__xludf.DUMMYFUNCTION("""COMPUTED_VALUE"""),2129.78)</f>
        <v>2129.78</v>
      </c>
      <c r="C7804" s="1">
        <f>IFERROR(__xludf.DUMMYFUNCTION("""COMPUTED_VALUE"""),2133.25)</f>
        <v>2133.25</v>
      </c>
      <c r="D7804" s="1">
        <f>IFERROR(__xludf.DUMMYFUNCTION("""COMPUTED_VALUE"""),2125.53)</f>
        <v>2125.53</v>
      </c>
      <c r="E7804" s="1">
        <f>IFERROR(__xludf.DUMMYFUNCTION("""COMPUTED_VALUE"""),2126.15)</f>
        <v>2126.15</v>
      </c>
      <c r="F7804" s="1">
        <f>IFERROR(__xludf.DUMMYFUNCTION("""COMPUTED_VALUE"""),0.0)</f>
        <v>0</v>
      </c>
    </row>
    <row r="7805">
      <c r="A7805" s="2">
        <f>IFERROR(__xludf.DUMMYFUNCTION("""COMPUTED_VALUE"""),42675.66666666667)</f>
        <v>42675.66667</v>
      </c>
      <c r="B7805" s="1">
        <f>IFERROR(__xludf.DUMMYFUNCTION("""COMPUTED_VALUE"""),2128.68)</f>
        <v>2128.68</v>
      </c>
      <c r="C7805" s="1">
        <f>IFERROR(__xludf.DUMMYFUNCTION("""COMPUTED_VALUE"""),2131.45)</f>
        <v>2131.45</v>
      </c>
      <c r="D7805" s="1">
        <f>IFERROR(__xludf.DUMMYFUNCTION("""COMPUTED_VALUE"""),2097.85)</f>
        <v>2097.85</v>
      </c>
      <c r="E7805" s="1">
        <f>IFERROR(__xludf.DUMMYFUNCTION("""COMPUTED_VALUE"""),2111.72)</f>
        <v>2111.72</v>
      </c>
      <c r="F7805" s="1">
        <f>IFERROR(__xludf.DUMMYFUNCTION("""COMPUTED_VALUE"""),0.0)</f>
        <v>0</v>
      </c>
    </row>
    <row r="7806">
      <c r="A7806" s="2">
        <f>IFERROR(__xludf.DUMMYFUNCTION("""COMPUTED_VALUE"""),42676.66666666667)</f>
        <v>42676.66667</v>
      </c>
      <c r="B7806" s="1">
        <f>IFERROR(__xludf.DUMMYFUNCTION("""COMPUTED_VALUE"""),2109.43)</f>
        <v>2109.43</v>
      </c>
      <c r="C7806" s="1">
        <f>IFERROR(__xludf.DUMMYFUNCTION("""COMPUTED_VALUE"""),2111.76)</f>
        <v>2111.76</v>
      </c>
      <c r="D7806" s="1">
        <f>IFERROR(__xludf.DUMMYFUNCTION("""COMPUTED_VALUE"""),2094.0)</f>
        <v>2094</v>
      </c>
      <c r="E7806" s="1">
        <f>IFERROR(__xludf.DUMMYFUNCTION("""COMPUTED_VALUE"""),2097.94)</f>
        <v>2097.94</v>
      </c>
      <c r="F7806" s="1">
        <f>IFERROR(__xludf.DUMMYFUNCTION("""COMPUTED_VALUE"""),0.0)</f>
        <v>0</v>
      </c>
    </row>
    <row r="7807">
      <c r="A7807" s="2">
        <f>IFERROR(__xludf.DUMMYFUNCTION("""COMPUTED_VALUE"""),42677.66666666667)</f>
        <v>42677.66667</v>
      </c>
      <c r="B7807" s="1">
        <f>IFERROR(__xludf.DUMMYFUNCTION("""COMPUTED_VALUE"""),2098.8)</f>
        <v>2098.8</v>
      </c>
      <c r="C7807" s="1">
        <f>IFERROR(__xludf.DUMMYFUNCTION("""COMPUTED_VALUE"""),2102.56)</f>
        <v>2102.56</v>
      </c>
      <c r="D7807" s="1">
        <f>IFERROR(__xludf.DUMMYFUNCTION("""COMPUTED_VALUE"""),2085.23)</f>
        <v>2085.23</v>
      </c>
      <c r="E7807" s="1">
        <f>IFERROR(__xludf.DUMMYFUNCTION("""COMPUTED_VALUE"""),2088.66)</f>
        <v>2088.66</v>
      </c>
      <c r="F7807" s="1">
        <f>IFERROR(__xludf.DUMMYFUNCTION("""COMPUTED_VALUE"""),0.0)</f>
        <v>0</v>
      </c>
    </row>
    <row r="7808">
      <c r="A7808" s="2">
        <f>IFERROR(__xludf.DUMMYFUNCTION("""COMPUTED_VALUE"""),42678.66666666667)</f>
        <v>42678.66667</v>
      </c>
      <c r="B7808" s="1">
        <f>IFERROR(__xludf.DUMMYFUNCTION("""COMPUTED_VALUE"""),2083.79)</f>
        <v>2083.79</v>
      </c>
      <c r="C7808" s="1">
        <f>IFERROR(__xludf.DUMMYFUNCTION("""COMPUTED_VALUE"""),2099.07)</f>
        <v>2099.07</v>
      </c>
      <c r="D7808" s="1">
        <f>IFERROR(__xludf.DUMMYFUNCTION("""COMPUTED_VALUE"""),2083.79)</f>
        <v>2083.79</v>
      </c>
      <c r="E7808" s="1">
        <f>IFERROR(__xludf.DUMMYFUNCTION("""COMPUTED_VALUE"""),2085.18)</f>
        <v>2085.18</v>
      </c>
      <c r="F7808" s="1">
        <f>IFERROR(__xludf.DUMMYFUNCTION("""COMPUTED_VALUE"""),0.0)</f>
        <v>0</v>
      </c>
    </row>
    <row r="7809">
      <c r="A7809" s="2">
        <f>IFERROR(__xludf.DUMMYFUNCTION("""COMPUTED_VALUE"""),42681.66666666667)</f>
        <v>42681.66667</v>
      </c>
      <c r="B7809" s="1">
        <f>IFERROR(__xludf.DUMMYFUNCTION("""COMPUTED_VALUE"""),2100.59)</f>
        <v>2100.59</v>
      </c>
      <c r="C7809" s="1">
        <f>IFERROR(__xludf.DUMMYFUNCTION("""COMPUTED_VALUE"""),2132.0)</f>
        <v>2132</v>
      </c>
      <c r="D7809" s="1">
        <f>IFERROR(__xludf.DUMMYFUNCTION("""COMPUTED_VALUE"""),2100.59)</f>
        <v>2100.59</v>
      </c>
      <c r="E7809" s="1">
        <f>IFERROR(__xludf.DUMMYFUNCTION("""COMPUTED_VALUE"""),2131.52)</f>
        <v>2131.52</v>
      </c>
      <c r="F7809" s="1">
        <f>IFERROR(__xludf.DUMMYFUNCTION("""COMPUTED_VALUE"""),0.0)</f>
        <v>0</v>
      </c>
    </row>
    <row r="7810">
      <c r="A7810" s="2">
        <f>IFERROR(__xludf.DUMMYFUNCTION("""COMPUTED_VALUE"""),42682.66666666667)</f>
        <v>42682.66667</v>
      </c>
      <c r="B7810" s="1">
        <f>IFERROR(__xludf.DUMMYFUNCTION("""COMPUTED_VALUE"""),2129.92)</f>
        <v>2129.92</v>
      </c>
      <c r="C7810" s="1">
        <f>IFERROR(__xludf.DUMMYFUNCTION("""COMPUTED_VALUE"""),2146.87)</f>
        <v>2146.87</v>
      </c>
      <c r="D7810" s="1">
        <f>IFERROR(__xludf.DUMMYFUNCTION("""COMPUTED_VALUE"""),2123.56)</f>
        <v>2123.56</v>
      </c>
      <c r="E7810" s="1">
        <f>IFERROR(__xludf.DUMMYFUNCTION("""COMPUTED_VALUE"""),2139.56)</f>
        <v>2139.56</v>
      </c>
      <c r="F7810" s="1">
        <f>IFERROR(__xludf.DUMMYFUNCTION("""COMPUTED_VALUE"""),0.0)</f>
        <v>0</v>
      </c>
    </row>
    <row r="7811">
      <c r="A7811" s="2">
        <f>IFERROR(__xludf.DUMMYFUNCTION("""COMPUTED_VALUE"""),42683.66666666667)</f>
        <v>42683.66667</v>
      </c>
      <c r="B7811" s="1">
        <f>IFERROR(__xludf.DUMMYFUNCTION("""COMPUTED_VALUE"""),2131.56)</f>
        <v>2131.56</v>
      </c>
      <c r="C7811" s="1">
        <f>IFERROR(__xludf.DUMMYFUNCTION("""COMPUTED_VALUE"""),2170.1)</f>
        <v>2170.1</v>
      </c>
      <c r="D7811" s="1">
        <f>IFERROR(__xludf.DUMMYFUNCTION("""COMPUTED_VALUE"""),2125.35)</f>
        <v>2125.35</v>
      </c>
      <c r="E7811" s="1">
        <f>IFERROR(__xludf.DUMMYFUNCTION("""COMPUTED_VALUE"""),2163.26)</f>
        <v>2163.26</v>
      </c>
      <c r="F7811" s="1">
        <f>IFERROR(__xludf.DUMMYFUNCTION("""COMPUTED_VALUE"""),0.0)</f>
        <v>0</v>
      </c>
    </row>
    <row r="7812">
      <c r="A7812" s="2">
        <f>IFERROR(__xludf.DUMMYFUNCTION("""COMPUTED_VALUE"""),42684.66666666667)</f>
        <v>42684.66667</v>
      </c>
      <c r="B7812" s="1">
        <f>IFERROR(__xludf.DUMMYFUNCTION("""COMPUTED_VALUE"""),2167.49)</f>
        <v>2167.49</v>
      </c>
      <c r="C7812" s="1">
        <f>IFERROR(__xludf.DUMMYFUNCTION("""COMPUTED_VALUE"""),2182.3)</f>
        <v>2182.3</v>
      </c>
      <c r="D7812" s="1">
        <f>IFERROR(__xludf.DUMMYFUNCTION("""COMPUTED_VALUE"""),2151.17)</f>
        <v>2151.17</v>
      </c>
      <c r="E7812" s="1">
        <f>IFERROR(__xludf.DUMMYFUNCTION("""COMPUTED_VALUE"""),2167.48)</f>
        <v>2167.48</v>
      </c>
      <c r="F7812" s="1">
        <f>IFERROR(__xludf.DUMMYFUNCTION("""COMPUTED_VALUE"""),0.0)</f>
        <v>0</v>
      </c>
    </row>
    <row r="7813">
      <c r="A7813" s="2">
        <f>IFERROR(__xludf.DUMMYFUNCTION("""COMPUTED_VALUE"""),42685.66666666667)</f>
        <v>42685.66667</v>
      </c>
      <c r="B7813" s="1">
        <f>IFERROR(__xludf.DUMMYFUNCTION("""COMPUTED_VALUE"""),2162.71)</f>
        <v>2162.71</v>
      </c>
      <c r="C7813" s="1">
        <f>IFERROR(__xludf.DUMMYFUNCTION("""COMPUTED_VALUE"""),2165.92)</f>
        <v>2165.92</v>
      </c>
      <c r="D7813" s="1">
        <f>IFERROR(__xludf.DUMMYFUNCTION("""COMPUTED_VALUE"""),2152.49)</f>
        <v>2152.49</v>
      </c>
      <c r="E7813" s="1">
        <f>IFERROR(__xludf.DUMMYFUNCTION("""COMPUTED_VALUE"""),2164.45)</f>
        <v>2164.45</v>
      </c>
      <c r="F7813" s="1">
        <f>IFERROR(__xludf.DUMMYFUNCTION("""COMPUTED_VALUE"""),0.0)</f>
        <v>0</v>
      </c>
    </row>
    <row r="7814">
      <c r="A7814" s="2">
        <f>IFERROR(__xludf.DUMMYFUNCTION("""COMPUTED_VALUE"""),42688.66666666667)</f>
        <v>42688.66667</v>
      </c>
      <c r="B7814" s="1">
        <f>IFERROR(__xludf.DUMMYFUNCTION("""COMPUTED_VALUE"""),2165.64)</f>
        <v>2165.64</v>
      </c>
      <c r="C7814" s="1">
        <f>IFERROR(__xludf.DUMMYFUNCTION("""COMPUTED_VALUE"""),2171.36)</f>
        <v>2171.36</v>
      </c>
      <c r="D7814" s="1">
        <f>IFERROR(__xludf.DUMMYFUNCTION("""COMPUTED_VALUE"""),2156.08)</f>
        <v>2156.08</v>
      </c>
      <c r="E7814" s="1">
        <f>IFERROR(__xludf.DUMMYFUNCTION("""COMPUTED_VALUE"""),2164.2)</f>
        <v>2164.2</v>
      </c>
      <c r="F7814" s="1">
        <f>IFERROR(__xludf.DUMMYFUNCTION("""COMPUTED_VALUE"""),0.0)</f>
        <v>0</v>
      </c>
    </row>
    <row r="7815">
      <c r="A7815" s="2">
        <f>IFERROR(__xludf.DUMMYFUNCTION("""COMPUTED_VALUE"""),42689.66666666667)</f>
        <v>42689.66667</v>
      </c>
      <c r="B7815" s="1">
        <f>IFERROR(__xludf.DUMMYFUNCTION("""COMPUTED_VALUE"""),2168.29)</f>
        <v>2168.29</v>
      </c>
      <c r="C7815" s="1">
        <f>IFERROR(__xludf.DUMMYFUNCTION("""COMPUTED_VALUE"""),2180.84)</f>
        <v>2180.84</v>
      </c>
      <c r="D7815" s="1">
        <f>IFERROR(__xludf.DUMMYFUNCTION("""COMPUTED_VALUE"""),2166.38)</f>
        <v>2166.38</v>
      </c>
      <c r="E7815" s="1">
        <f>IFERROR(__xludf.DUMMYFUNCTION("""COMPUTED_VALUE"""),2180.39)</f>
        <v>2180.39</v>
      </c>
      <c r="F7815" s="1">
        <f>IFERROR(__xludf.DUMMYFUNCTION("""COMPUTED_VALUE"""),0.0)</f>
        <v>0</v>
      </c>
    </row>
    <row r="7816">
      <c r="A7816" s="2">
        <f>IFERROR(__xludf.DUMMYFUNCTION("""COMPUTED_VALUE"""),42690.66666666667)</f>
        <v>42690.66667</v>
      </c>
      <c r="B7816" s="1">
        <f>IFERROR(__xludf.DUMMYFUNCTION("""COMPUTED_VALUE"""),2177.53)</f>
        <v>2177.53</v>
      </c>
      <c r="C7816" s="1">
        <f>IFERROR(__xludf.DUMMYFUNCTION("""COMPUTED_VALUE"""),2179.22)</f>
        <v>2179.22</v>
      </c>
      <c r="D7816" s="1">
        <f>IFERROR(__xludf.DUMMYFUNCTION("""COMPUTED_VALUE"""),2172.2)</f>
        <v>2172.2</v>
      </c>
      <c r="E7816" s="1">
        <f>IFERROR(__xludf.DUMMYFUNCTION("""COMPUTED_VALUE"""),2176.94)</f>
        <v>2176.94</v>
      </c>
      <c r="F7816" s="1">
        <f>IFERROR(__xludf.DUMMYFUNCTION("""COMPUTED_VALUE"""),0.0)</f>
        <v>0</v>
      </c>
    </row>
    <row r="7817">
      <c r="A7817" s="2">
        <f>IFERROR(__xludf.DUMMYFUNCTION("""COMPUTED_VALUE"""),42691.66666666667)</f>
        <v>42691.66667</v>
      </c>
      <c r="B7817" s="1">
        <f>IFERROR(__xludf.DUMMYFUNCTION("""COMPUTED_VALUE"""),2178.61)</f>
        <v>2178.61</v>
      </c>
      <c r="C7817" s="1">
        <f>IFERROR(__xludf.DUMMYFUNCTION("""COMPUTED_VALUE"""),2188.06)</f>
        <v>2188.06</v>
      </c>
      <c r="D7817" s="1">
        <f>IFERROR(__xludf.DUMMYFUNCTION("""COMPUTED_VALUE"""),2176.65)</f>
        <v>2176.65</v>
      </c>
      <c r="E7817" s="1">
        <f>IFERROR(__xludf.DUMMYFUNCTION("""COMPUTED_VALUE"""),2187.12)</f>
        <v>2187.12</v>
      </c>
      <c r="F7817" s="1">
        <f>IFERROR(__xludf.DUMMYFUNCTION("""COMPUTED_VALUE"""),0.0)</f>
        <v>0</v>
      </c>
    </row>
    <row r="7818">
      <c r="A7818" s="2">
        <f>IFERROR(__xludf.DUMMYFUNCTION("""COMPUTED_VALUE"""),42692.66666666667)</f>
        <v>42692.66667</v>
      </c>
      <c r="B7818" s="1">
        <f>IFERROR(__xludf.DUMMYFUNCTION("""COMPUTED_VALUE"""),2186.85)</f>
        <v>2186.85</v>
      </c>
      <c r="C7818" s="1">
        <f>IFERROR(__xludf.DUMMYFUNCTION("""COMPUTED_VALUE"""),2189.89)</f>
        <v>2189.89</v>
      </c>
      <c r="D7818" s="1">
        <f>IFERROR(__xludf.DUMMYFUNCTION("""COMPUTED_VALUE"""),2180.38)</f>
        <v>2180.38</v>
      </c>
      <c r="E7818" s="1">
        <f>IFERROR(__xludf.DUMMYFUNCTION("""COMPUTED_VALUE"""),2181.9)</f>
        <v>2181.9</v>
      </c>
      <c r="F7818" s="1">
        <f>IFERROR(__xludf.DUMMYFUNCTION("""COMPUTED_VALUE"""),0.0)</f>
        <v>0</v>
      </c>
    </row>
    <row r="7819">
      <c r="A7819" s="2">
        <f>IFERROR(__xludf.DUMMYFUNCTION("""COMPUTED_VALUE"""),42695.66666666667)</f>
        <v>42695.66667</v>
      </c>
      <c r="B7819" s="1">
        <f>IFERROR(__xludf.DUMMYFUNCTION("""COMPUTED_VALUE"""),2186.43)</f>
        <v>2186.43</v>
      </c>
      <c r="C7819" s="1">
        <f>IFERROR(__xludf.DUMMYFUNCTION("""COMPUTED_VALUE"""),2198.7)</f>
        <v>2198.7</v>
      </c>
      <c r="D7819" s="1">
        <f>IFERROR(__xludf.DUMMYFUNCTION("""COMPUTED_VALUE"""),2186.43)</f>
        <v>2186.43</v>
      </c>
      <c r="E7819" s="1">
        <f>IFERROR(__xludf.DUMMYFUNCTION("""COMPUTED_VALUE"""),2198.18)</f>
        <v>2198.18</v>
      </c>
      <c r="F7819" s="1">
        <f>IFERROR(__xludf.DUMMYFUNCTION("""COMPUTED_VALUE"""),0.0)</f>
        <v>0</v>
      </c>
    </row>
    <row r="7820">
      <c r="A7820" s="2">
        <f>IFERROR(__xludf.DUMMYFUNCTION("""COMPUTED_VALUE"""),42696.66666666667)</f>
        <v>42696.66667</v>
      </c>
      <c r="B7820" s="1">
        <f>IFERROR(__xludf.DUMMYFUNCTION("""COMPUTED_VALUE"""),2201.56)</f>
        <v>2201.56</v>
      </c>
      <c r="C7820" s="1">
        <f>IFERROR(__xludf.DUMMYFUNCTION("""COMPUTED_VALUE"""),2204.8)</f>
        <v>2204.8</v>
      </c>
      <c r="D7820" s="1">
        <f>IFERROR(__xludf.DUMMYFUNCTION("""COMPUTED_VALUE"""),2194.51)</f>
        <v>2194.51</v>
      </c>
      <c r="E7820" s="1">
        <f>IFERROR(__xludf.DUMMYFUNCTION("""COMPUTED_VALUE"""),2202.94)</f>
        <v>2202.94</v>
      </c>
      <c r="F7820" s="1">
        <f>IFERROR(__xludf.DUMMYFUNCTION("""COMPUTED_VALUE"""),0.0)</f>
        <v>0</v>
      </c>
    </row>
    <row r="7821">
      <c r="A7821" s="2">
        <f>IFERROR(__xludf.DUMMYFUNCTION("""COMPUTED_VALUE"""),42697.66666666667)</f>
        <v>42697.66667</v>
      </c>
      <c r="B7821" s="1">
        <f>IFERROR(__xludf.DUMMYFUNCTION("""COMPUTED_VALUE"""),2198.55)</f>
        <v>2198.55</v>
      </c>
      <c r="C7821" s="1">
        <f>IFERROR(__xludf.DUMMYFUNCTION("""COMPUTED_VALUE"""),2204.72)</f>
        <v>2204.72</v>
      </c>
      <c r="D7821" s="1">
        <f>IFERROR(__xludf.DUMMYFUNCTION("""COMPUTED_VALUE"""),2194.51)</f>
        <v>2194.51</v>
      </c>
      <c r="E7821" s="1">
        <f>IFERROR(__xludf.DUMMYFUNCTION("""COMPUTED_VALUE"""),2204.72)</f>
        <v>2204.72</v>
      </c>
      <c r="F7821" s="1">
        <f>IFERROR(__xludf.DUMMYFUNCTION("""COMPUTED_VALUE"""),0.0)</f>
        <v>0</v>
      </c>
    </row>
    <row r="7822">
      <c r="A7822" s="2">
        <f>IFERROR(__xludf.DUMMYFUNCTION("""COMPUTED_VALUE"""),42699.66666666667)</f>
        <v>42699.66667</v>
      </c>
      <c r="B7822" s="1">
        <f>IFERROR(__xludf.DUMMYFUNCTION("""COMPUTED_VALUE"""),2206.27)</f>
        <v>2206.27</v>
      </c>
      <c r="C7822" s="1">
        <f>IFERROR(__xludf.DUMMYFUNCTION("""COMPUTED_VALUE"""),2213.35)</f>
        <v>2213.35</v>
      </c>
      <c r="D7822" s="1">
        <f>IFERROR(__xludf.DUMMYFUNCTION("""COMPUTED_VALUE"""),2206.27)</f>
        <v>2206.27</v>
      </c>
      <c r="E7822" s="1">
        <f>IFERROR(__xludf.DUMMYFUNCTION("""COMPUTED_VALUE"""),2213.35)</f>
        <v>2213.35</v>
      </c>
      <c r="F7822" s="1">
        <f>IFERROR(__xludf.DUMMYFUNCTION("""COMPUTED_VALUE"""),0.0)</f>
        <v>0</v>
      </c>
    </row>
    <row r="7823">
      <c r="A7823" s="2">
        <f>IFERROR(__xludf.DUMMYFUNCTION("""COMPUTED_VALUE"""),42702.66666666667)</f>
        <v>42702.66667</v>
      </c>
      <c r="B7823" s="1">
        <f>IFERROR(__xludf.DUMMYFUNCTION("""COMPUTED_VALUE"""),2210.21)</f>
        <v>2210.21</v>
      </c>
      <c r="C7823" s="1">
        <f>IFERROR(__xludf.DUMMYFUNCTION("""COMPUTED_VALUE"""),2211.14)</f>
        <v>2211.14</v>
      </c>
      <c r="D7823" s="1">
        <f>IFERROR(__xludf.DUMMYFUNCTION("""COMPUTED_VALUE"""),2200.36)</f>
        <v>2200.36</v>
      </c>
      <c r="E7823" s="1">
        <f>IFERROR(__xludf.DUMMYFUNCTION("""COMPUTED_VALUE"""),2201.72)</f>
        <v>2201.72</v>
      </c>
      <c r="F7823" s="1">
        <f>IFERROR(__xludf.DUMMYFUNCTION("""COMPUTED_VALUE"""),0.0)</f>
        <v>0</v>
      </c>
    </row>
    <row r="7824">
      <c r="A7824" s="2">
        <f>IFERROR(__xludf.DUMMYFUNCTION("""COMPUTED_VALUE"""),42703.66666666667)</f>
        <v>42703.66667</v>
      </c>
      <c r="B7824" s="1">
        <f>IFERROR(__xludf.DUMMYFUNCTION("""COMPUTED_VALUE"""),2200.76)</f>
        <v>2200.76</v>
      </c>
      <c r="C7824" s="1">
        <f>IFERROR(__xludf.DUMMYFUNCTION("""COMPUTED_VALUE"""),2210.46)</f>
        <v>2210.46</v>
      </c>
      <c r="D7824" s="1">
        <f>IFERROR(__xludf.DUMMYFUNCTION("""COMPUTED_VALUE"""),2198.15)</f>
        <v>2198.15</v>
      </c>
      <c r="E7824" s="1">
        <f>IFERROR(__xludf.DUMMYFUNCTION("""COMPUTED_VALUE"""),2204.66)</f>
        <v>2204.66</v>
      </c>
      <c r="F7824" s="1">
        <f>IFERROR(__xludf.DUMMYFUNCTION("""COMPUTED_VALUE"""),0.0)</f>
        <v>0</v>
      </c>
    </row>
    <row r="7825">
      <c r="A7825" s="2">
        <f>IFERROR(__xludf.DUMMYFUNCTION("""COMPUTED_VALUE"""),42704.66666666667)</f>
        <v>42704.66667</v>
      </c>
      <c r="B7825" s="1">
        <f>IFERROR(__xludf.DUMMYFUNCTION("""COMPUTED_VALUE"""),2204.97)</f>
        <v>2204.97</v>
      </c>
      <c r="C7825" s="1">
        <f>IFERROR(__xludf.DUMMYFUNCTION("""COMPUTED_VALUE"""),2214.1)</f>
        <v>2214.1</v>
      </c>
      <c r="D7825" s="1">
        <f>IFERROR(__xludf.DUMMYFUNCTION("""COMPUTED_VALUE"""),2198.81)</f>
        <v>2198.81</v>
      </c>
      <c r="E7825" s="1">
        <f>IFERROR(__xludf.DUMMYFUNCTION("""COMPUTED_VALUE"""),2198.81)</f>
        <v>2198.81</v>
      </c>
      <c r="F7825" s="1">
        <f>IFERROR(__xludf.DUMMYFUNCTION("""COMPUTED_VALUE"""),0.0)</f>
        <v>0</v>
      </c>
    </row>
    <row r="7826">
      <c r="A7826" s="2">
        <f>IFERROR(__xludf.DUMMYFUNCTION("""COMPUTED_VALUE"""),42705.66666666667)</f>
        <v>42705.66667</v>
      </c>
      <c r="B7826" s="1">
        <f>IFERROR(__xludf.DUMMYFUNCTION("""COMPUTED_VALUE"""),2200.17)</f>
        <v>2200.17</v>
      </c>
      <c r="C7826" s="1">
        <f>IFERROR(__xludf.DUMMYFUNCTION("""COMPUTED_VALUE"""),2202.6)</f>
        <v>2202.6</v>
      </c>
      <c r="D7826" s="1">
        <f>IFERROR(__xludf.DUMMYFUNCTION("""COMPUTED_VALUE"""),2187.44)</f>
        <v>2187.44</v>
      </c>
      <c r="E7826" s="1">
        <f>IFERROR(__xludf.DUMMYFUNCTION("""COMPUTED_VALUE"""),2191.08)</f>
        <v>2191.08</v>
      </c>
      <c r="F7826" s="1">
        <f>IFERROR(__xludf.DUMMYFUNCTION("""COMPUTED_VALUE"""),0.0)</f>
        <v>0</v>
      </c>
    </row>
    <row r="7827">
      <c r="A7827" s="2">
        <f>IFERROR(__xludf.DUMMYFUNCTION("""COMPUTED_VALUE"""),42706.66666666667)</f>
        <v>42706.66667</v>
      </c>
      <c r="B7827" s="1">
        <f>IFERROR(__xludf.DUMMYFUNCTION("""COMPUTED_VALUE"""),2191.12)</f>
        <v>2191.12</v>
      </c>
      <c r="C7827" s="1">
        <f>IFERROR(__xludf.DUMMYFUNCTION("""COMPUTED_VALUE"""),2197.95)</f>
        <v>2197.95</v>
      </c>
      <c r="D7827" s="1">
        <f>IFERROR(__xludf.DUMMYFUNCTION("""COMPUTED_VALUE"""),2188.37)</f>
        <v>2188.37</v>
      </c>
      <c r="E7827" s="1">
        <f>IFERROR(__xludf.DUMMYFUNCTION("""COMPUTED_VALUE"""),2191.95)</f>
        <v>2191.95</v>
      </c>
      <c r="F7827" s="1">
        <f>IFERROR(__xludf.DUMMYFUNCTION("""COMPUTED_VALUE"""),0.0)</f>
        <v>0</v>
      </c>
    </row>
    <row r="7828">
      <c r="A7828" s="2">
        <f>IFERROR(__xludf.DUMMYFUNCTION("""COMPUTED_VALUE"""),42709.66666666667)</f>
        <v>42709.66667</v>
      </c>
      <c r="B7828" s="1">
        <f>IFERROR(__xludf.DUMMYFUNCTION("""COMPUTED_VALUE"""),2200.65)</f>
        <v>2200.65</v>
      </c>
      <c r="C7828" s="1">
        <f>IFERROR(__xludf.DUMMYFUNCTION("""COMPUTED_VALUE"""),2209.42)</f>
        <v>2209.42</v>
      </c>
      <c r="D7828" s="1">
        <f>IFERROR(__xludf.DUMMYFUNCTION("""COMPUTED_VALUE"""),2199.97)</f>
        <v>2199.97</v>
      </c>
      <c r="E7828" s="1">
        <f>IFERROR(__xludf.DUMMYFUNCTION("""COMPUTED_VALUE"""),2204.71)</f>
        <v>2204.71</v>
      </c>
      <c r="F7828" s="1">
        <f>IFERROR(__xludf.DUMMYFUNCTION("""COMPUTED_VALUE"""),0.0)</f>
        <v>0</v>
      </c>
    </row>
    <row r="7829">
      <c r="A7829" s="2">
        <f>IFERROR(__xludf.DUMMYFUNCTION("""COMPUTED_VALUE"""),42710.66666666667)</f>
        <v>42710.66667</v>
      </c>
      <c r="B7829" s="1">
        <f>IFERROR(__xludf.DUMMYFUNCTION("""COMPUTED_VALUE"""),2207.26)</f>
        <v>2207.26</v>
      </c>
      <c r="C7829" s="1">
        <f>IFERROR(__xludf.DUMMYFUNCTION("""COMPUTED_VALUE"""),2212.78)</f>
        <v>2212.78</v>
      </c>
      <c r="D7829" s="1">
        <f>IFERROR(__xludf.DUMMYFUNCTION("""COMPUTED_VALUE"""),2202.21)</f>
        <v>2202.21</v>
      </c>
      <c r="E7829" s="1">
        <f>IFERROR(__xludf.DUMMYFUNCTION("""COMPUTED_VALUE"""),2212.23)</f>
        <v>2212.23</v>
      </c>
      <c r="F7829" s="1">
        <f>IFERROR(__xludf.DUMMYFUNCTION("""COMPUTED_VALUE"""),0.0)</f>
        <v>0</v>
      </c>
    </row>
    <row r="7830">
      <c r="A7830" s="2">
        <f>IFERROR(__xludf.DUMMYFUNCTION("""COMPUTED_VALUE"""),42711.66666666667)</f>
        <v>42711.66667</v>
      </c>
      <c r="B7830" s="1">
        <f>IFERROR(__xludf.DUMMYFUNCTION("""COMPUTED_VALUE"""),2210.72)</f>
        <v>2210.72</v>
      </c>
      <c r="C7830" s="1">
        <f>IFERROR(__xludf.DUMMYFUNCTION("""COMPUTED_VALUE"""),2241.63)</f>
        <v>2241.63</v>
      </c>
      <c r="D7830" s="1">
        <f>IFERROR(__xludf.DUMMYFUNCTION("""COMPUTED_VALUE"""),2208.93)</f>
        <v>2208.93</v>
      </c>
      <c r="E7830" s="1">
        <f>IFERROR(__xludf.DUMMYFUNCTION("""COMPUTED_VALUE"""),2241.35)</f>
        <v>2241.35</v>
      </c>
      <c r="F7830" s="1">
        <f>IFERROR(__xludf.DUMMYFUNCTION("""COMPUTED_VALUE"""),0.0)</f>
        <v>0</v>
      </c>
    </row>
    <row r="7831">
      <c r="A7831" s="2">
        <f>IFERROR(__xludf.DUMMYFUNCTION("""COMPUTED_VALUE"""),42712.66666666667)</f>
        <v>42712.66667</v>
      </c>
      <c r="B7831" s="1">
        <f>IFERROR(__xludf.DUMMYFUNCTION("""COMPUTED_VALUE"""),2241.13)</f>
        <v>2241.13</v>
      </c>
      <c r="C7831" s="1">
        <f>IFERROR(__xludf.DUMMYFUNCTION("""COMPUTED_VALUE"""),2251.69)</f>
        <v>2251.69</v>
      </c>
      <c r="D7831" s="1">
        <f>IFERROR(__xludf.DUMMYFUNCTION("""COMPUTED_VALUE"""),2237.57)</f>
        <v>2237.57</v>
      </c>
      <c r="E7831" s="1">
        <f>IFERROR(__xludf.DUMMYFUNCTION("""COMPUTED_VALUE"""),2246.19)</f>
        <v>2246.19</v>
      </c>
      <c r="F7831" s="1">
        <f>IFERROR(__xludf.DUMMYFUNCTION("""COMPUTED_VALUE"""),0.0)</f>
        <v>0</v>
      </c>
    </row>
    <row r="7832">
      <c r="A7832" s="2">
        <f>IFERROR(__xludf.DUMMYFUNCTION("""COMPUTED_VALUE"""),42713.66666666667)</f>
        <v>42713.66667</v>
      </c>
      <c r="B7832" s="1">
        <f>IFERROR(__xludf.DUMMYFUNCTION("""COMPUTED_VALUE"""),2249.73)</f>
        <v>2249.73</v>
      </c>
      <c r="C7832" s="1">
        <f>IFERROR(__xludf.DUMMYFUNCTION("""COMPUTED_VALUE"""),2259.8)</f>
        <v>2259.8</v>
      </c>
      <c r="D7832" s="1">
        <f>IFERROR(__xludf.DUMMYFUNCTION("""COMPUTED_VALUE"""),2249.23)</f>
        <v>2249.23</v>
      </c>
      <c r="E7832" s="1">
        <f>IFERROR(__xludf.DUMMYFUNCTION("""COMPUTED_VALUE"""),2259.53)</f>
        <v>2259.53</v>
      </c>
      <c r="F7832" s="1">
        <f>IFERROR(__xludf.DUMMYFUNCTION("""COMPUTED_VALUE"""),0.0)</f>
        <v>0</v>
      </c>
    </row>
    <row r="7833">
      <c r="A7833" s="2">
        <f>IFERROR(__xludf.DUMMYFUNCTION("""COMPUTED_VALUE"""),42716.66666666667)</f>
        <v>42716.66667</v>
      </c>
      <c r="B7833" s="1">
        <f>IFERROR(__xludf.DUMMYFUNCTION("""COMPUTED_VALUE"""),2258.83)</f>
        <v>2258.83</v>
      </c>
      <c r="C7833" s="1">
        <f>IFERROR(__xludf.DUMMYFUNCTION("""COMPUTED_VALUE"""),2264.03)</f>
        <v>2264.03</v>
      </c>
      <c r="D7833" s="1">
        <f>IFERROR(__xludf.DUMMYFUNCTION("""COMPUTED_VALUE"""),2252.37)</f>
        <v>2252.37</v>
      </c>
      <c r="E7833" s="1">
        <f>IFERROR(__xludf.DUMMYFUNCTION("""COMPUTED_VALUE"""),2256.96)</f>
        <v>2256.96</v>
      </c>
      <c r="F7833" s="1">
        <f>IFERROR(__xludf.DUMMYFUNCTION("""COMPUTED_VALUE"""),0.0)</f>
        <v>0</v>
      </c>
    </row>
    <row r="7834">
      <c r="A7834" s="2">
        <f>IFERROR(__xludf.DUMMYFUNCTION("""COMPUTED_VALUE"""),42717.66666666667)</f>
        <v>42717.66667</v>
      </c>
      <c r="B7834" s="1">
        <f>IFERROR(__xludf.DUMMYFUNCTION("""COMPUTED_VALUE"""),2263.32)</f>
        <v>2263.32</v>
      </c>
      <c r="C7834" s="1">
        <f>IFERROR(__xludf.DUMMYFUNCTION("""COMPUTED_VALUE"""),2277.53)</f>
        <v>2277.53</v>
      </c>
      <c r="D7834" s="1">
        <f>IFERROR(__xludf.DUMMYFUNCTION("""COMPUTED_VALUE"""),2263.32)</f>
        <v>2263.32</v>
      </c>
      <c r="E7834" s="1">
        <f>IFERROR(__xludf.DUMMYFUNCTION("""COMPUTED_VALUE"""),2271.72)</f>
        <v>2271.72</v>
      </c>
      <c r="F7834" s="1">
        <f>IFERROR(__xludf.DUMMYFUNCTION("""COMPUTED_VALUE"""),0.0)</f>
        <v>0</v>
      </c>
    </row>
    <row r="7835">
      <c r="A7835" s="2">
        <f>IFERROR(__xludf.DUMMYFUNCTION("""COMPUTED_VALUE"""),42718.66666666667)</f>
        <v>42718.66667</v>
      </c>
      <c r="B7835" s="1">
        <f>IFERROR(__xludf.DUMMYFUNCTION("""COMPUTED_VALUE"""),2268.35)</f>
        <v>2268.35</v>
      </c>
      <c r="C7835" s="1">
        <f>IFERROR(__xludf.DUMMYFUNCTION("""COMPUTED_VALUE"""),2276.2)</f>
        <v>2276.2</v>
      </c>
      <c r="D7835" s="1">
        <f>IFERROR(__xludf.DUMMYFUNCTION("""COMPUTED_VALUE"""),2248.44)</f>
        <v>2248.44</v>
      </c>
      <c r="E7835" s="1">
        <f>IFERROR(__xludf.DUMMYFUNCTION("""COMPUTED_VALUE"""),2253.28)</f>
        <v>2253.28</v>
      </c>
      <c r="F7835" s="1">
        <f>IFERROR(__xludf.DUMMYFUNCTION("""COMPUTED_VALUE"""),0.0)</f>
        <v>0</v>
      </c>
    </row>
    <row r="7836">
      <c r="A7836" s="2">
        <f>IFERROR(__xludf.DUMMYFUNCTION("""COMPUTED_VALUE"""),42719.66666666667)</f>
        <v>42719.66667</v>
      </c>
      <c r="B7836" s="1">
        <f>IFERROR(__xludf.DUMMYFUNCTION("""COMPUTED_VALUE"""),2253.77)</f>
        <v>2253.77</v>
      </c>
      <c r="C7836" s="1">
        <f>IFERROR(__xludf.DUMMYFUNCTION("""COMPUTED_VALUE"""),2272.12)</f>
        <v>2272.12</v>
      </c>
      <c r="D7836" s="1">
        <f>IFERROR(__xludf.DUMMYFUNCTION("""COMPUTED_VALUE"""),2253.77)</f>
        <v>2253.77</v>
      </c>
      <c r="E7836" s="1">
        <f>IFERROR(__xludf.DUMMYFUNCTION("""COMPUTED_VALUE"""),2262.03)</f>
        <v>2262.03</v>
      </c>
      <c r="F7836" s="1">
        <f>IFERROR(__xludf.DUMMYFUNCTION("""COMPUTED_VALUE"""),0.0)</f>
        <v>0</v>
      </c>
    </row>
    <row r="7837">
      <c r="A7837" s="2">
        <f>IFERROR(__xludf.DUMMYFUNCTION("""COMPUTED_VALUE"""),42720.66666666667)</f>
        <v>42720.66667</v>
      </c>
      <c r="B7837" s="1">
        <f>IFERROR(__xludf.DUMMYFUNCTION("""COMPUTED_VALUE"""),2266.81)</f>
        <v>2266.81</v>
      </c>
      <c r="C7837" s="1">
        <f>IFERROR(__xludf.DUMMYFUNCTION("""COMPUTED_VALUE"""),2268.05)</f>
        <v>2268.05</v>
      </c>
      <c r="D7837" s="1">
        <f>IFERROR(__xludf.DUMMYFUNCTION("""COMPUTED_VALUE"""),2254.24)</f>
        <v>2254.24</v>
      </c>
      <c r="E7837" s="1">
        <f>IFERROR(__xludf.DUMMYFUNCTION("""COMPUTED_VALUE"""),2258.07)</f>
        <v>2258.07</v>
      </c>
      <c r="F7837" s="1">
        <f>IFERROR(__xludf.DUMMYFUNCTION("""COMPUTED_VALUE"""),0.0)</f>
        <v>0</v>
      </c>
    </row>
    <row r="7838">
      <c r="A7838" s="2">
        <f>IFERROR(__xludf.DUMMYFUNCTION("""COMPUTED_VALUE"""),42723.66666666667)</f>
        <v>42723.66667</v>
      </c>
      <c r="B7838" s="1">
        <f>IFERROR(__xludf.DUMMYFUNCTION("""COMPUTED_VALUE"""),2259.24)</f>
        <v>2259.24</v>
      </c>
      <c r="C7838" s="1">
        <f>IFERROR(__xludf.DUMMYFUNCTION("""COMPUTED_VALUE"""),2267.47)</f>
        <v>2267.47</v>
      </c>
      <c r="D7838" s="1">
        <f>IFERROR(__xludf.DUMMYFUNCTION("""COMPUTED_VALUE"""),2258.21)</f>
        <v>2258.21</v>
      </c>
      <c r="E7838" s="1">
        <f>IFERROR(__xludf.DUMMYFUNCTION("""COMPUTED_VALUE"""),2262.53)</f>
        <v>2262.53</v>
      </c>
      <c r="F7838" s="1">
        <f>IFERROR(__xludf.DUMMYFUNCTION("""COMPUTED_VALUE"""),0.0)</f>
        <v>0</v>
      </c>
    </row>
    <row r="7839">
      <c r="A7839" s="2">
        <f>IFERROR(__xludf.DUMMYFUNCTION("""COMPUTED_VALUE"""),42724.66666666667)</f>
        <v>42724.66667</v>
      </c>
      <c r="B7839" s="1">
        <f>IFERROR(__xludf.DUMMYFUNCTION("""COMPUTED_VALUE"""),2266.5)</f>
        <v>2266.5</v>
      </c>
      <c r="C7839" s="1">
        <f>IFERROR(__xludf.DUMMYFUNCTION("""COMPUTED_VALUE"""),2272.56)</f>
        <v>2272.56</v>
      </c>
      <c r="D7839" s="1">
        <f>IFERROR(__xludf.DUMMYFUNCTION("""COMPUTED_VALUE"""),2266.14)</f>
        <v>2266.14</v>
      </c>
      <c r="E7839" s="1">
        <f>IFERROR(__xludf.DUMMYFUNCTION("""COMPUTED_VALUE"""),2270.76)</f>
        <v>2270.76</v>
      </c>
      <c r="F7839" s="1">
        <f>IFERROR(__xludf.DUMMYFUNCTION("""COMPUTED_VALUE"""),0.0)</f>
        <v>0</v>
      </c>
    </row>
    <row r="7840">
      <c r="A7840" s="2">
        <f>IFERROR(__xludf.DUMMYFUNCTION("""COMPUTED_VALUE"""),42725.66666666667)</f>
        <v>42725.66667</v>
      </c>
      <c r="B7840" s="1">
        <f>IFERROR(__xludf.DUMMYFUNCTION("""COMPUTED_VALUE"""),2270.54)</f>
        <v>2270.54</v>
      </c>
      <c r="C7840" s="1">
        <f>IFERROR(__xludf.DUMMYFUNCTION("""COMPUTED_VALUE"""),2271.23)</f>
        <v>2271.23</v>
      </c>
      <c r="D7840" s="1">
        <f>IFERROR(__xludf.DUMMYFUNCTION("""COMPUTED_VALUE"""),2265.15)</f>
        <v>2265.15</v>
      </c>
      <c r="E7840" s="1">
        <f>IFERROR(__xludf.DUMMYFUNCTION("""COMPUTED_VALUE"""),2265.18)</f>
        <v>2265.18</v>
      </c>
      <c r="F7840" s="1">
        <f>IFERROR(__xludf.DUMMYFUNCTION("""COMPUTED_VALUE"""),0.0)</f>
        <v>0</v>
      </c>
    </row>
    <row r="7841">
      <c r="A7841" s="2">
        <f>IFERROR(__xludf.DUMMYFUNCTION("""COMPUTED_VALUE"""),42726.66666666667)</f>
        <v>42726.66667</v>
      </c>
      <c r="B7841" s="1">
        <f>IFERROR(__xludf.DUMMYFUNCTION("""COMPUTED_VALUE"""),2262.93)</f>
        <v>2262.93</v>
      </c>
      <c r="C7841" s="1">
        <f>IFERROR(__xludf.DUMMYFUNCTION("""COMPUTED_VALUE"""),2263.18)</f>
        <v>2263.18</v>
      </c>
      <c r="D7841" s="1">
        <f>IFERROR(__xludf.DUMMYFUNCTION("""COMPUTED_VALUE"""),2256.08)</f>
        <v>2256.08</v>
      </c>
      <c r="E7841" s="1">
        <f>IFERROR(__xludf.DUMMYFUNCTION("""COMPUTED_VALUE"""),2260.96)</f>
        <v>2260.96</v>
      </c>
      <c r="F7841" s="1">
        <f>IFERROR(__xludf.DUMMYFUNCTION("""COMPUTED_VALUE"""),0.0)</f>
        <v>0</v>
      </c>
    </row>
    <row r="7842">
      <c r="A7842" s="2">
        <f>IFERROR(__xludf.DUMMYFUNCTION("""COMPUTED_VALUE"""),42727.66666666667)</f>
        <v>42727.66667</v>
      </c>
      <c r="B7842" s="1">
        <f>IFERROR(__xludf.DUMMYFUNCTION("""COMPUTED_VALUE"""),2260.25)</f>
        <v>2260.25</v>
      </c>
      <c r="C7842" s="1">
        <f>IFERROR(__xludf.DUMMYFUNCTION("""COMPUTED_VALUE"""),2263.79)</f>
        <v>2263.79</v>
      </c>
      <c r="D7842" s="1">
        <f>IFERROR(__xludf.DUMMYFUNCTION("""COMPUTED_VALUE"""),2258.84)</f>
        <v>2258.84</v>
      </c>
      <c r="E7842" s="1">
        <f>IFERROR(__xludf.DUMMYFUNCTION("""COMPUTED_VALUE"""),2263.79)</f>
        <v>2263.79</v>
      </c>
      <c r="F7842" s="1">
        <f>IFERROR(__xludf.DUMMYFUNCTION("""COMPUTED_VALUE"""),0.0)</f>
        <v>0</v>
      </c>
    </row>
    <row r="7843">
      <c r="A7843" s="2">
        <f>IFERROR(__xludf.DUMMYFUNCTION("""COMPUTED_VALUE"""),42731.66666666667)</f>
        <v>42731.66667</v>
      </c>
      <c r="B7843" s="1">
        <f>IFERROR(__xludf.DUMMYFUNCTION("""COMPUTED_VALUE"""),2266.23)</f>
        <v>2266.23</v>
      </c>
      <c r="C7843" s="1">
        <f>IFERROR(__xludf.DUMMYFUNCTION("""COMPUTED_VALUE"""),2273.82)</f>
        <v>2273.82</v>
      </c>
      <c r="D7843" s="1">
        <f>IFERROR(__xludf.DUMMYFUNCTION("""COMPUTED_VALUE"""),2266.15)</f>
        <v>2266.15</v>
      </c>
      <c r="E7843" s="1">
        <f>IFERROR(__xludf.DUMMYFUNCTION("""COMPUTED_VALUE"""),2268.88)</f>
        <v>2268.88</v>
      </c>
      <c r="F7843" s="1">
        <f>IFERROR(__xludf.DUMMYFUNCTION("""COMPUTED_VALUE"""),0.0)</f>
        <v>0</v>
      </c>
    </row>
    <row r="7844">
      <c r="A7844" s="2">
        <f>IFERROR(__xludf.DUMMYFUNCTION("""COMPUTED_VALUE"""),42732.66666666667)</f>
        <v>42732.66667</v>
      </c>
      <c r="B7844" s="1">
        <f>IFERROR(__xludf.DUMMYFUNCTION("""COMPUTED_VALUE"""),2270.23)</f>
        <v>2270.23</v>
      </c>
      <c r="C7844" s="1">
        <f>IFERROR(__xludf.DUMMYFUNCTION("""COMPUTED_VALUE"""),2271.31)</f>
        <v>2271.31</v>
      </c>
      <c r="D7844" s="1">
        <f>IFERROR(__xludf.DUMMYFUNCTION("""COMPUTED_VALUE"""),2249.11)</f>
        <v>2249.11</v>
      </c>
      <c r="E7844" s="1">
        <f>IFERROR(__xludf.DUMMYFUNCTION("""COMPUTED_VALUE"""),2249.92)</f>
        <v>2249.92</v>
      </c>
      <c r="F7844" s="1">
        <f>IFERROR(__xludf.DUMMYFUNCTION("""COMPUTED_VALUE"""),0.0)</f>
        <v>0</v>
      </c>
    </row>
    <row r="7845">
      <c r="A7845" s="2">
        <f>IFERROR(__xludf.DUMMYFUNCTION("""COMPUTED_VALUE"""),42733.66666666667)</f>
        <v>42733.66667</v>
      </c>
      <c r="B7845" s="1">
        <f>IFERROR(__xludf.DUMMYFUNCTION("""COMPUTED_VALUE"""),2249.5)</f>
        <v>2249.5</v>
      </c>
      <c r="C7845" s="1">
        <f>IFERROR(__xludf.DUMMYFUNCTION("""COMPUTED_VALUE"""),2254.51)</f>
        <v>2254.51</v>
      </c>
      <c r="D7845" s="1">
        <f>IFERROR(__xludf.DUMMYFUNCTION("""COMPUTED_VALUE"""),2244.56)</f>
        <v>2244.56</v>
      </c>
      <c r="E7845" s="1">
        <f>IFERROR(__xludf.DUMMYFUNCTION("""COMPUTED_VALUE"""),2249.26)</f>
        <v>2249.26</v>
      </c>
      <c r="F7845" s="1">
        <f>IFERROR(__xludf.DUMMYFUNCTION("""COMPUTED_VALUE"""),0.0)</f>
        <v>0</v>
      </c>
    </row>
    <row r="7846">
      <c r="A7846" s="2">
        <f>IFERROR(__xludf.DUMMYFUNCTION("""COMPUTED_VALUE"""),42734.66666666667)</f>
        <v>42734.66667</v>
      </c>
      <c r="B7846" s="1">
        <f>IFERROR(__xludf.DUMMYFUNCTION("""COMPUTED_VALUE"""),2251.61)</f>
        <v>2251.61</v>
      </c>
      <c r="C7846" s="1">
        <f>IFERROR(__xludf.DUMMYFUNCTION("""COMPUTED_VALUE"""),2253.58)</f>
        <v>2253.58</v>
      </c>
      <c r="D7846" s="1">
        <f>IFERROR(__xludf.DUMMYFUNCTION("""COMPUTED_VALUE"""),2233.62)</f>
        <v>2233.62</v>
      </c>
      <c r="E7846" s="1">
        <f>IFERROR(__xludf.DUMMYFUNCTION("""COMPUTED_VALUE"""),2238.83)</f>
        <v>2238.83</v>
      </c>
      <c r="F7846" s="1">
        <f>IFERROR(__xludf.DUMMYFUNCTION("""COMPUTED_VALUE"""),0.0)</f>
        <v>0</v>
      </c>
    </row>
    <row r="7847">
      <c r="A7847" s="2">
        <f>IFERROR(__xludf.DUMMYFUNCTION("""COMPUTED_VALUE"""),42738.66666666667)</f>
        <v>42738.66667</v>
      </c>
      <c r="B7847" s="1">
        <f>IFERROR(__xludf.DUMMYFUNCTION("""COMPUTED_VALUE"""),2251.57)</f>
        <v>2251.57</v>
      </c>
      <c r="C7847" s="1">
        <f>IFERROR(__xludf.DUMMYFUNCTION("""COMPUTED_VALUE"""),2263.88)</f>
        <v>2263.88</v>
      </c>
      <c r="D7847" s="1">
        <f>IFERROR(__xludf.DUMMYFUNCTION("""COMPUTED_VALUE"""),2245.13)</f>
        <v>2245.13</v>
      </c>
      <c r="E7847" s="1">
        <f>IFERROR(__xludf.DUMMYFUNCTION("""COMPUTED_VALUE"""),2257.83)</f>
        <v>2257.83</v>
      </c>
      <c r="F7847" s="1">
        <f>IFERROR(__xludf.DUMMYFUNCTION("""COMPUTED_VALUE"""),0.0)</f>
        <v>0</v>
      </c>
    </row>
    <row r="7848">
      <c r="A7848" s="2">
        <f>IFERROR(__xludf.DUMMYFUNCTION("""COMPUTED_VALUE"""),42739.66666666667)</f>
        <v>42739.66667</v>
      </c>
      <c r="B7848" s="1">
        <f>IFERROR(__xludf.DUMMYFUNCTION("""COMPUTED_VALUE"""),2261.6)</f>
        <v>2261.6</v>
      </c>
      <c r="C7848" s="1">
        <f>IFERROR(__xludf.DUMMYFUNCTION("""COMPUTED_VALUE"""),2272.82)</f>
        <v>2272.82</v>
      </c>
      <c r="D7848" s="1">
        <f>IFERROR(__xludf.DUMMYFUNCTION("""COMPUTED_VALUE"""),2261.6)</f>
        <v>2261.6</v>
      </c>
      <c r="E7848" s="1">
        <f>IFERROR(__xludf.DUMMYFUNCTION("""COMPUTED_VALUE"""),2270.75)</f>
        <v>2270.75</v>
      </c>
      <c r="F7848" s="1">
        <f>IFERROR(__xludf.DUMMYFUNCTION("""COMPUTED_VALUE"""),0.0)</f>
        <v>0</v>
      </c>
    </row>
    <row r="7849">
      <c r="A7849" s="2">
        <f>IFERROR(__xludf.DUMMYFUNCTION("""COMPUTED_VALUE"""),42740.66666666667)</f>
        <v>42740.66667</v>
      </c>
      <c r="B7849" s="1">
        <f>IFERROR(__xludf.DUMMYFUNCTION("""COMPUTED_VALUE"""),2268.18)</f>
        <v>2268.18</v>
      </c>
      <c r="C7849" s="1">
        <f>IFERROR(__xludf.DUMMYFUNCTION("""COMPUTED_VALUE"""),2271.5)</f>
        <v>2271.5</v>
      </c>
      <c r="D7849" s="1">
        <f>IFERROR(__xludf.DUMMYFUNCTION("""COMPUTED_VALUE"""),2260.45)</f>
        <v>2260.45</v>
      </c>
      <c r="E7849" s="1">
        <f>IFERROR(__xludf.DUMMYFUNCTION("""COMPUTED_VALUE"""),2269.0)</f>
        <v>2269</v>
      </c>
      <c r="F7849" s="1">
        <f>IFERROR(__xludf.DUMMYFUNCTION("""COMPUTED_VALUE"""),0.0)</f>
        <v>0</v>
      </c>
    </row>
    <row r="7850">
      <c r="A7850" s="2">
        <f>IFERROR(__xludf.DUMMYFUNCTION("""COMPUTED_VALUE"""),42741.66666666667)</f>
        <v>42741.66667</v>
      </c>
      <c r="B7850" s="1">
        <f>IFERROR(__xludf.DUMMYFUNCTION("""COMPUTED_VALUE"""),2271.14)</f>
        <v>2271.14</v>
      </c>
      <c r="C7850" s="1">
        <f>IFERROR(__xludf.DUMMYFUNCTION("""COMPUTED_VALUE"""),2282.1)</f>
        <v>2282.1</v>
      </c>
      <c r="D7850" s="1">
        <f>IFERROR(__xludf.DUMMYFUNCTION("""COMPUTED_VALUE"""),2264.06)</f>
        <v>2264.06</v>
      </c>
      <c r="E7850" s="1">
        <f>IFERROR(__xludf.DUMMYFUNCTION("""COMPUTED_VALUE"""),2276.98)</f>
        <v>2276.98</v>
      </c>
      <c r="F7850" s="1">
        <f>IFERROR(__xludf.DUMMYFUNCTION("""COMPUTED_VALUE"""),0.0)</f>
        <v>0</v>
      </c>
    </row>
    <row r="7851">
      <c r="A7851" s="2">
        <f>IFERROR(__xludf.DUMMYFUNCTION("""COMPUTED_VALUE"""),42744.66666666667)</f>
        <v>42744.66667</v>
      </c>
      <c r="B7851" s="1">
        <f>IFERROR(__xludf.DUMMYFUNCTION("""COMPUTED_VALUE"""),2273.59)</f>
        <v>2273.59</v>
      </c>
      <c r="C7851" s="1">
        <f>IFERROR(__xludf.DUMMYFUNCTION("""COMPUTED_VALUE"""),2275.49)</f>
        <v>2275.49</v>
      </c>
      <c r="D7851" s="1">
        <f>IFERROR(__xludf.DUMMYFUNCTION("""COMPUTED_VALUE"""),2268.9)</f>
        <v>2268.9</v>
      </c>
      <c r="E7851" s="1">
        <f>IFERROR(__xludf.DUMMYFUNCTION("""COMPUTED_VALUE"""),2268.9)</f>
        <v>2268.9</v>
      </c>
      <c r="F7851" s="1">
        <f>IFERROR(__xludf.DUMMYFUNCTION("""COMPUTED_VALUE"""),0.0)</f>
        <v>0</v>
      </c>
    </row>
    <row r="7852">
      <c r="A7852" s="2">
        <f>IFERROR(__xludf.DUMMYFUNCTION("""COMPUTED_VALUE"""),42745.66666666667)</f>
        <v>42745.66667</v>
      </c>
      <c r="B7852" s="1">
        <f>IFERROR(__xludf.DUMMYFUNCTION("""COMPUTED_VALUE"""),2269.72)</f>
        <v>2269.72</v>
      </c>
      <c r="C7852" s="1">
        <f>IFERROR(__xludf.DUMMYFUNCTION("""COMPUTED_VALUE"""),2279.27)</f>
        <v>2279.27</v>
      </c>
      <c r="D7852" s="1">
        <f>IFERROR(__xludf.DUMMYFUNCTION("""COMPUTED_VALUE"""),2265.27)</f>
        <v>2265.27</v>
      </c>
      <c r="E7852" s="1">
        <f>IFERROR(__xludf.DUMMYFUNCTION("""COMPUTED_VALUE"""),2268.9)</f>
        <v>2268.9</v>
      </c>
      <c r="F7852" s="1">
        <f>IFERROR(__xludf.DUMMYFUNCTION("""COMPUTED_VALUE"""),0.0)</f>
        <v>0</v>
      </c>
    </row>
    <row r="7853">
      <c r="A7853" s="2">
        <f>IFERROR(__xludf.DUMMYFUNCTION("""COMPUTED_VALUE"""),42746.66666666667)</f>
        <v>42746.66667</v>
      </c>
      <c r="B7853" s="1">
        <f>IFERROR(__xludf.DUMMYFUNCTION("""COMPUTED_VALUE"""),2268.6)</f>
        <v>2268.6</v>
      </c>
      <c r="C7853" s="1">
        <f>IFERROR(__xludf.DUMMYFUNCTION("""COMPUTED_VALUE"""),2275.32)</f>
        <v>2275.32</v>
      </c>
      <c r="D7853" s="1">
        <f>IFERROR(__xludf.DUMMYFUNCTION("""COMPUTED_VALUE"""),2260.83)</f>
        <v>2260.83</v>
      </c>
      <c r="E7853" s="1">
        <f>IFERROR(__xludf.DUMMYFUNCTION("""COMPUTED_VALUE"""),2275.32)</f>
        <v>2275.32</v>
      </c>
      <c r="F7853" s="1">
        <f>IFERROR(__xludf.DUMMYFUNCTION("""COMPUTED_VALUE"""),0.0)</f>
        <v>0</v>
      </c>
    </row>
    <row r="7854">
      <c r="A7854" s="2">
        <f>IFERROR(__xludf.DUMMYFUNCTION("""COMPUTED_VALUE"""),42747.66666666667)</f>
        <v>42747.66667</v>
      </c>
      <c r="B7854" s="1">
        <f>IFERROR(__xludf.DUMMYFUNCTION("""COMPUTED_VALUE"""),2271.14)</f>
        <v>2271.14</v>
      </c>
      <c r="C7854" s="1">
        <f>IFERROR(__xludf.DUMMYFUNCTION("""COMPUTED_VALUE"""),2271.78)</f>
        <v>2271.78</v>
      </c>
      <c r="D7854" s="1">
        <f>IFERROR(__xludf.DUMMYFUNCTION("""COMPUTED_VALUE"""),2254.25)</f>
        <v>2254.25</v>
      </c>
      <c r="E7854" s="1">
        <f>IFERROR(__xludf.DUMMYFUNCTION("""COMPUTED_VALUE"""),2270.44)</f>
        <v>2270.44</v>
      </c>
      <c r="F7854" s="1">
        <f>IFERROR(__xludf.DUMMYFUNCTION("""COMPUTED_VALUE"""),0.0)</f>
        <v>0</v>
      </c>
    </row>
    <row r="7855">
      <c r="A7855" s="2">
        <f>IFERROR(__xludf.DUMMYFUNCTION("""COMPUTED_VALUE"""),42748.66666666667)</f>
        <v>42748.66667</v>
      </c>
      <c r="B7855" s="1">
        <f>IFERROR(__xludf.DUMMYFUNCTION("""COMPUTED_VALUE"""),2272.74)</f>
        <v>2272.74</v>
      </c>
      <c r="C7855" s="1">
        <f>IFERROR(__xludf.DUMMYFUNCTION("""COMPUTED_VALUE"""),2278.68)</f>
        <v>2278.68</v>
      </c>
      <c r="D7855" s="1">
        <f>IFERROR(__xludf.DUMMYFUNCTION("""COMPUTED_VALUE"""),2271.51)</f>
        <v>2271.51</v>
      </c>
      <c r="E7855" s="1">
        <f>IFERROR(__xludf.DUMMYFUNCTION("""COMPUTED_VALUE"""),2274.64)</f>
        <v>2274.64</v>
      </c>
      <c r="F7855" s="1">
        <f>IFERROR(__xludf.DUMMYFUNCTION("""COMPUTED_VALUE"""),0.0)</f>
        <v>0</v>
      </c>
    </row>
    <row r="7856">
      <c r="A7856" s="2">
        <f>IFERROR(__xludf.DUMMYFUNCTION("""COMPUTED_VALUE"""),42752.66666666667)</f>
        <v>42752.66667</v>
      </c>
      <c r="B7856" s="1">
        <f>IFERROR(__xludf.DUMMYFUNCTION("""COMPUTED_VALUE"""),2269.14)</f>
        <v>2269.14</v>
      </c>
      <c r="C7856" s="1">
        <f>IFERROR(__xludf.DUMMYFUNCTION("""COMPUTED_VALUE"""),2272.08)</f>
        <v>2272.08</v>
      </c>
      <c r="D7856" s="1">
        <f>IFERROR(__xludf.DUMMYFUNCTION("""COMPUTED_VALUE"""),2262.81)</f>
        <v>2262.81</v>
      </c>
      <c r="E7856" s="1">
        <f>IFERROR(__xludf.DUMMYFUNCTION("""COMPUTED_VALUE"""),2267.89)</f>
        <v>2267.89</v>
      </c>
      <c r="F7856" s="1">
        <f>IFERROR(__xludf.DUMMYFUNCTION("""COMPUTED_VALUE"""),0.0)</f>
        <v>0</v>
      </c>
    </row>
    <row r="7857">
      <c r="A7857" s="2">
        <f>IFERROR(__xludf.DUMMYFUNCTION("""COMPUTED_VALUE"""),42753.66666666667)</f>
        <v>42753.66667</v>
      </c>
      <c r="B7857" s="1">
        <f>IFERROR(__xludf.DUMMYFUNCTION("""COMPUTED_VALUE"""),2269.14)</f>
        <v>2269.14</v>
      </c>
      <c r="C7857" s="1">
        <f>IFERROR(__xludf.DUMMYFUNCTION("""COMPUTED_VALUE"""),2272.01)</f>
        <v>2272.01</v>
      </c>
      <c r="D7857" s="1">
        <f>IFERROR(__xludf.DUMMYFUNCTION("""COMPUTED_VALUE"""),2263.35)</f>
        <v>2263.35</v>
      </c>
      <c r="E7857" s="1">
        <f>IFERROR(__xludf.DUMMYFUNCTION("""COMPUTED_VALUE"""),2271.89)</f>
        <v>2271.89</v>
      </c>
      <c r="F7857" s="1">
        <f>IFERROR(__xludf.DUMMYFUNCTION("""COMPUTED_VALUE"""),0.0)</f>
        <v>0</v>
      </c>
    </row>
    <row r="7858">
      <c r="A7858" s="2">
        <f>IFERROR(__xludf.DUMMYFUNCTION("""COMPUTED_VALUE"""),42754.66666666667)</f>
        <v>42754.66667</v>
      </c>
      <c r="B7858" s="1">
        <f>IFERROR(__xludf.DUMMYFUNCTION("""COMPUTED_VALUE"""),2271.9)</f>
        <v>2271.9</v>
      </c>
      <c r="C7858" s="1">
        <f>IFERROR(__xludf.DUMMYFUNCTION("""COMPUTED_VALUE"""),2274.33)</f>
        <v>2274.33</v>
      </c>
      <c r="D7858" s="1">
        <f>IFERROR(__xludf.DUMMYFUNCTION("""COMPUTED_VALUE"""),2258.41)</f>
        <v>2258.41</v>
      </c>
      <c r="E7858" s="1">
        <f>IFERROR(__xludf.DUMMYFUNCTION("""COMPUTED_VALUE"""),2263.69)</f>
        <v>2263.69</v>
      </c>
      <c r="F7858" s="1">
        <f>IFERROR(__xludf.DUMMYFUNCTION("""COMPUTED_VALUE"""),0.0)</f>
        <v>0</v>
      </c>
    </row>
    <row r="7859">
      <c r="A7859" s="2">
        <f>IFERROR(__xludf.DUMMYFUNCTION("""COMPUTED_VALUE"""),42755.66666666667)</f>
        <v>42755.66667</v>
      </c>
      <c r="B7859" s="1">
        <f>IFERROR(__xludf.DUMMYFUNCTION("""COMPUTED_VALUE"""),2269.96)</f>
        <v>2269.96</v>
      </c>
      <c r="C7859" s="1">
        <f>IFERROR(__xludf.DUMMYFUNCTION("""COMPUTED_VALUE"""),2276.96)</f>
        <v>2276.96</v>
      </c>
      <c r="D7859" s="1">
        <f>IFERROR(__xludf.DUMMYFUNCTION("""COMPUTED_VALUE"""),2265.01)</f>
        <v>2265.01</v>
      </c>
      <c r="E7859" s="1">
        <f>IFERROR(__xludf.DUMMYFUNCTION("""COMPUTED_VALUE"""),2271.31)</f>
        <v>2271.31</v>
      </c>
      <c r="F7859" s="1">
        <f>IFERROR(__xludf.DUMMYFUNCTION("""COMPUTED_VALUE"""),0.0)</f>
        <v>0</v>
      </c>
    </row>
    <row r="7860">
      <c r="A7860" s="2">
        <f>IFERROR(__xludf.DUMMYFUNCTION("""COMPUTED_VALUE"""),42758.66666666667)</f>
        <v>42758.66667</v>
      </c>
      <c r="B7860" s="1">
        <f>IFERROR(__xludf.DUMMYFUNCTION("""COMPUTED_VALUE"""),2267.78)</f>
        <v>2267.78</v>
      </c>
      <c r="C7860" s="1">
        <f>IFERROR(__xludf.DUMMYFUNCTION("""COMPUTED_VALUE"""),2271.78)</f>
        <v>2271.78</v>
      </c>
      <c r="D7860" s="1">
        <f>IFERROR(__xludf.DUMMYFUNCTION("""COMPUTED_VALUE"""),2257.02)</f>
        <v>2257.02</v>
      </c>
      <c r="E7860" s="1">
        <f>IFERROR(__xludf.DUMMYFUNCTION("""COMPUTED_VALUE"""),2265.2)</f>
        <v>2265.2</v>
      </c>
      <c r="F7860" s="1">
        <f>IFERROR(__xludf.DUMMYFUNCTION("""COMPUTED_VALUE"""),0.0)</f>
        <v>0</v>
      </c>
    </row>
    <row r="7861">
      <c r="A7861" s="2">
        <f>IFERROR(__xludf.DUMMYFUNCTION("""COMPUTED_VALUE"""),42759.66666666667)</f>
        <v>42759.66667</v>
      </c>
      <c r="B7861" s="1">
        <f>IFERROR(__xludf.DUMMYFUNCTION("""COMPUTED_VALUE"""),2267.88)</f>
        <v>2267.88</v>
      </c>
      <c r="C7861" s="1">
        <f>IFERROR(__xludf.DUMMYFUNCTION("""COMPUTED_VALUE"""),2284.63)</f>
        <v>2284.63</v>
      </c>
      <c r="D7861" s="1">
        <f>IFERROR(__xludf.DUMMYFUNCTION("""COMPUTED_VALUE"""),2266.68)</f>
        <v>2266.68</v>
      </c>
      <c r="E7861" s="1">
        <f>IFERROR(__xludf.DUMMYFUNCTION("""COMPUTED_VALUE"""),2280.07)</f>
        <v>2280.07</v>
      </c>
      <c r="F7861" s="1">
        <f>IFERROR(__xludf.DUMMYFUNCTION("""COMPUTED_VALUE"""),0.0)</f>
        <v>0</v>
      </c>
    </row>
    <row r="7862">
      <c r="A7862" s="2">
        <f>IFERROR(__xludf.DUMMYFUNCTION("""COMPUTED_VALUE"""),42760.66666666667)</f>
        <v>42760.66667</v>
      </c>
      <c r="B7862" s="1">
        <f>IFERROR(__xludf.DUMMYFUNCTION("""COMPUTED_VALUE"""),2288.88)</f>
        <v>2288.88</v>
      </c>
      <c r="C7862" s="1">
        <f>IFERROR(__xludf.DUMMYFUNCTION("""COMPUTED_VALUE"""),2299.55)</f>
        <v>2299.55</v>
      </c>
      <c r="D7862" s="1">
        <f>IFERROR(__xludf.DUMMYFUNCTION("""COMPUTED_VALUE"""),2288.88)</f>
        <v>2288.88</v>
      </c>
      <c r="E7862" s="1">
        <f>IFERROR(__xludf.DUMMYFUNCTION("""COMPUTED_VALUE"""),2298.37)</f>
        <v>2298.37</v>
      </c>
      <c r="F7862" s="1">
        <f>IFERROR(__xludf.DUMMYFUNCTION("""COMPUTED_VALUE"""),0.0)</f>
        <v>0</v>
      </c>
    </row>
    <row r="7863">
      <c r="A7863" s="2">
        <f>IFERROR(__xludf.DUMMYFUNCTION("""COMPUTED_VALUE"""),42761.66666666667)</f>
        <v>42761.66667</v>
      </c>
      <c r="B7863" s="1">
        <f>IFERROR(__xludf.DUMMYFUNCTION("""COMPUTED_VALUE"""),2298.63)</f>
        <v>2298.63</v>
      </c>
      <c r="C7863" s="1">
        <f>IFERROR(__xludf.DUMMYFUNCTION("""COMPUTED_VALUE"""),2300.99)</f>
        <v>2300.99</v>
      </c>
      <c r="D7863" s="1">
        <f>IFERROR(__xludf.DUMMYFUNCTION("""COMPUTED_VALUE"""),2294.08)</f>
        <v>2294.08</v>
      </c>
      <c r="E7863" s="1">
        <f>IFERROR(__xludf.DUMMYFUNCTION("""COMPUTED_VALUE"""),2296.68)</f>
        <v>2296.68</v>
      </c>
      <c r="F7863" s="1">
        <f>IFERROR(__xludf.DUMMYFUNCTION("""COMPUTED_VALUE"""),0.0)</f>
        <v>0</v>
      </c>
    </row>
    <row r="7864">
      <c r="A7864" s="2">
        <f>IFERROR(__xludf.DUMMYFUNCTION("""COMPUTED_VALUE"""),42762.66666666667)</f>
        <v>42762.66667</v>
      </c>
      <c r="B7864" s="1">
        <f>IFERROR(__xludf.DUMMYFUNCTION("""COMPUTED_VALUE"""),2299.02)</f>
        <v>2299.02</v>
      </c>
      <c r="C7864" s="1">
        <f>IFERROR(__xludf.DUMMYFUNCTION("""COMPUTED_VALUE"""),2299.02)</f>
        <v>2299.02</v>
      </c>
      <c r="D7864" s="1">
        <f>IFERROR(__xludf.DUMMYFUNCTION("""COMPUTED_VALUE"""),2291.62)</f>
        <v>2291.62</v>
      </c>
      <c r="E7864" s="1">
        <f>IFERROR(__xludf.DUMMYFUNCTION("""COMPUTED_VALUE"""),2294.69)</f>
        <v>2294.69</v>
      </c>
      <c r="F7864" s="1">
        <f>IFERROR(__xludf.DUMMYFUNCTION("""COMPUTED_VALUE"""),0.0)</f>
        <v>0</v>
      </c>
    </row>
    <row r="7865">
      <c r="A7865" s="2">
        <f>IFERROR(__xludf.DUMMYFUNCTION("""COMPUTED_VALUE"""),42765.66666666667)</f>
        <v>42765.66667</v>
      </c>
      <c r="B7865" s="1">
        <f>IFERROR(__xludf.DUMMYFUNCTION("""COMPUTED_VALUE"""),2286.01)</f>
        <v>2286.01</v>
      </c>
      <c r="C7865" s="1">
        <f>IFERROR(__xludf.DUMMYFUNCTION("""COMPUTED_VALUE"""),2286.01)</f>
        <v>2286.01</v>
      </c>
      <c r="D7865" s="1">
        <f>IFERROR(__xludf.DUMMYFUNCTION("""COMPUTED_VALUE"""),2268.04)</f>
        <v>2268.04</v>
      </c>
      <c r="E7865" s="1">
        <f>IFERROR(__xludf.DUMMYFUNCTION("""COMPUTED_VALUE"""),2280.9)</f>
        <v>2280.9</v>
      </c>
      <c r="F7865" s="1">
        <f>IFERROR(__xludf.DUMMYFUNCTION("""COMPUTED_VALUE"""),0.0)</f>
        <v>0</v>
      </c>
    </row>
    <row r="7866">
      <c r="A7866" s="2">
        <f>IFERROR(__xludf.DUMMYFUNCTION("""COMPUTED_VALUE"""),42766.66666666667)</f>
        <v>42766.66667</v>
      </c>
      <c r="B7866" s="1">
        <f>IFERROR(__xludf.DUMMYFUNCTION("""COMPUTED_VALUE"""),2274.02)</f>
        <v>2274.02</v>
      </c>
      <c r="C7866" s="1">
        <f>IFERROR(__xludf.DUMMYFUNCTION("""COMPUTED_VALUE"""),2279.09)</f>
        <v>2279.09</v>
      </c>
      <c r="D7866" s="1">
        <f>IFERROR(__xludf.DUMMYFUNCTION("""COMPUTED_VALUE"""),2267.21)</f>
        <v>2267.21</v>
      </c>
      <c r="E7866" s="1">
        <f>IFERROR(__xludf.DUMMYFUNCTION("""COMPUTED_VALUE"""),2278.87)</f>
        <v>2278.87</v>
      </c>
      <c r="F7866" s="1">
        <f>IFERROR(__xludf.DUMMYFUNCTION("""COMPUTED_VALUE"""),0.0)</f>
        <v>0</v>
      </c>
    </row>
    <row r="7867">
      <c r="A7867" s="2">
        <f>IFERROR(__xludf.DUMMYFUNCTION("""COMPUTED_VALUE"""),42767.66666666667)</f>
        <v>42767.66667</v>
      </c>
      <c r="B7867" s="1">
        <f>IFERROR(__xludf.DUMMYFUNCTION("""COMPUTED_VALUE"""),2285.59)</f>
        <v>2285.59</v>
      </c>
      <c r="C7867" s="1">
        <f>IFERROR(__xludf.DUMMYFUNCTION("""COMPUTED_VALUE"""),2289.14)</f>
        <v>2289.14</v>
      </c>
      <c r="D7867" s="1">
        <f>IFERROR(__xludf.DUMMYFUNCTION("""COMPUTED_VALUE"""),2272.44)</f>
        <v>2272.44</v>
      </c>
      <c r="E7867" s="1">
        <f>IFERROR(__xludf.DUMMYFUNCTION("""COMPUTED_VALUE"""),2279.55)</f>
        <v>2279.55</v>
      </c>
      <c r="F7867" s="1">
        <f>IFERROR(__xludf.DUMMYFUNCTION("""COMPUTED_VALUE"""),0.0)</f>
        <v>0</v>
      </c>
    </row>
    <row r="7868">
      <c r="A7868" s="2">
        <f>IFERROR(__xludf.DUMMYFUNCTION("""COMPUTED_VALUE"""),42768.66666666667)</f>
        <v>42768.66667</v>
      </c>
      <c r="B7868" s="1">
        <f>IFERROR(__xludf.DUMMYFUNCTION("""COMPUTED_VALUE"""),2276.69)</f>
        <v>2276.69</v>
      </c>
      <c r="C7868" s="1">
        <f>IFERROR(__xludf.DUMMYFUNCTION("""COMPUTED_VALUE"""),2283.97)</f>
        <v>2283.97</v>
      </c>
      <c r="D7868" s="1">
        <f>IFERROR(__xludf.DUMMYFUNCTION("""COMPUTED_VALUE"""),2271.65)</f>
        <v>2271.65</v>
      </c>
      <c r="E7868" s="1">
        <f>IFERROR(__xludf.DUMMYFUNCTION("""COMPUTED_VALUE"""),2280.85)</f>
        <v>2280.85</v>
      </c>
      <c r="F7868" s="1">
        <f>IFERROR(__xludf.DUMMYFUNCTION("""COMPUTED_VALUE"""),0.0)</f>
        <v>0</v>
      </c>
    </row>
    <row r="7869">
      <c r="A7869" s="2">
        <f>IFERROR(__xludf.DUMMYFUNCTION("""COMPUTED_VALUE"""),42769.66666666667)</f>
        <v>42769.66667</v>
      </c>
      <c r="B7869" s="1">
        <f>IFERROR(__xludf.DUMMYFUNCTION("""COMPUTED_VALUE"""),2288.54)</f>
        <v>2288.54</v>
      </c>
      <c r="C7869" s="1">
        <f>IFERROR(__xludf.DUMMYFUNCTION("""COMPUTED_VALUE"""),2298.31)</f>
        <v>2298.31</v>
      </c>
      <c r="D7869" s="1">
        <f>IFERROR(__xludf.DUMMYFUNCTION("""COMPUTED_VALUE"""),2287.88)</f>
        <v>2287.88</v>
      </c>
      <c r="E7869" s="1">
        <f>IFERROR(__xludf.DUMMYFUNCTION("""COMPUTED_VALUE"""),2297.42)</f>
        <v>2297.42</v>
      </c>
      <c r="F7869" s="1">
        <f>IFERROR(__xludf.DUMMYFUNCTION("""COMPUTED_VALUE"""),0.0)</f>
        <v>0</v>
      </c>
    </row>
    <row r="7870">
      <c r="A7870" s="2">
        <f>IFERROR(__xludf.DUMMYFUNCTION("""COMPUTED_VALUE"""),42772.66666666667)</f>
        <v>42772.66667</v>
      </c>
      <c r="B7870" s="1">
        <f>IFERROR(__xludf.DUMMYFUNCTION("""COMPUTED_VALUE"""),2294.28)</f>
        <v>2294.28</v>
      </c>
      <c r="C7870" s="1">
        <f>IFERROR(__xludf.DUMMYFUNCTION("""COMPUTED_VALUE"""),2296.18)</f>
        <v>2296.18</v>
      </c>
      <c r="D7870" s="1">
        <f>IFERROR(__xludf.DUMMYFUNCTION("""COMPUTED_VALUE"""),2288.57)</f>
        <v>2288.57</v>
      </c>
      <c r="E7870" s="1">
        <f>IFERROR(__xludf.DUMMYFUNCTION("""COMPUTED_VALUE"""),2292.56)</f>
        <v>2292.56</v>
      </c>
      <c r="F7870" s="1">
        <f>IFERROR(__xludf.DUMMYFUNCTION("""COMPUTED_VALUE"""),0.0)</f>
        <v>0</v>
      </c>
    </row>
    <row r="7871">
      <c r="A7871" s="2">
        <f>IFERROR(__xludf.DUMMYFUNCTION("""COMPUTED_VALUE"""),42773.66666666667)</f>
        <v>42773.66667</v>
      </c>
      <c r="B7871" s="1">
        <f>IFERROR(__xludf.DUMMYFUNCTION("""COMPUTED_VALUE"""),2295.87)</f>
        <v>2295.87</v>
      </c>
      <c r="C7871" s="1">
        <f>IFERROR(__xludf.DUMMYFUNCTION("""COMPUTED_VALUE"""),2299.4)</f>
        <v>2299.4</v>
      </c>
      <c r="D7871" s="1">
        <f>IFERROR(__xludf.DUMMYFUNCTION("""COMPUTED_VALUE"""),2290.16)</f>
        <v>2290.16</v>
      </c>
      <c r="E7871" s="1">
        <f>IFERROR(__xludf.DUMMYFUNCTION("""COMPUTED_VALUE"""),2293.08)</f>
        <v>2293.08</v>
      </c>
      <c r="F7871" s="1">
        <f>IFERROR(__xludf.DUMMYFUNCTION("""COMPUTED_VALUE"""),0.0)</f>
        <v>0</v>
      </c>
    </row>
    <row r="7872">
      <c r="A7872" s="2">
        <f>IFERROR(__xludf.DUMMYFUNCTION("""COMPUTED_VALUE"""),42774.66666666667)</f>
        <v>42774.66667</v>
      </c>
      <c r="B7872" s="1">
        <f>IFERROR(__xludf.DUMMYFUNCTION("""COMPUTED_VALUE"""),2289.55)</f>
        <v>2289.55</v>
      </c>
      <c r="C7872" s="1">
        <f>IFERROR(__xludf.DUMMYFUNCTION("""COMPUTED_VALUE"""),2295.91)</f>
        <v>2295.91</v>
      </c>
      <c r="D7872" s="1">
        <f>IFERROR(__xludf.DUMMYFUNCTION("""COMPUTED_VALUE"""),2285.38)</f>
        <v>2285.38</v>
      </c>
      <c r="E7872" s="1">
        <f>IFERROR(__xludf.DUMMYFUNCTION("""COMPUTED_VALUE"""),2294.67)</f>
        <v>2294.67</v>
      </c>
      <c r="F7872" s="1">
        <f>IFERROR(__xludf.DUMMYFUNCTION("""COMPUTED_VALUE"""),0.0)</f>
        <v>0</v>
      </c>
    </row>
    <row r="7873">
      <c r="A7873" s="2">
        <f>IFERROR(__xludf.DUMMYFUNCTION("""COMPUTED_VALUE"""),42775.66666666667)</f>
        <v>42775.66667</v>
      </c>
      <c r="B7873" s="1">
        <f>IFERROR(__xludf.DUMMYFUNCTION("""COMPUTED_VALUE"""),2296.7)</f>
        <v>2296.7</v>
      </c>
      <c r="C7873" s="1">
        <f>IFERROR(__xludf.DUMMYFUNCTION("""COMPUTED_VALUE"""),2311.08)</f>
        <v>2311.08</v>
      </c>
      <c r="D7873" s="1">
        <f>IFERROR(__xludf.DUMMYFUNCTION("""COMPUTED_VALUE"""),2296.61)</f>
        <v>2296.61</v>
      </c>
      <c r="E7873" s="1">
        <f>IFERROR(__xludf.DUMMYFUNCTION("""COMPUTED_VALUE"""),2307.87)</f>
        <v>2307.87</v>
      </c>
      <c r="F7873" s="1">
        <f>IFERROR(__xludf.DUMMYFUNCTION("""COMPUTED_VALUE"""),0.0)</f>
        <v>0</v>
      </c>
    </row>
    <row r="7874">
      <c r="A7874" s="2">
        <f>IFERROR(__xludf.DUMMYFUNCTION("""COMPUTED_VALUE"""),42776.66666666667)</f>
        <v>42776.66667</v>
      </c>
      <c r="B7874" s="1">
        <f>IFERROR(__xludf.DUMMYFUNCTION("""COMPUTED_VALUE"""),2312.27)</f>
        <v>2312.27</v>
      </c>
      <c r="C7874" s="1">
        <f>IFERROR(__xludf.DUMMYFUNCTION("""COMPUTED_VALUE"""),2319.23)</f>
        <v>2319.23</v>
      </c>
      <c r="D7874" s="1">
        <f>IFERROR(__xludf.DUMMYFUNCTION("""COMPUTED_VALUE"""),2311.1)</f>
        <v>2311.1</v>
      </c>
      <c r="E7874" s="1">
        <f>IFERROR(__xludf.DUMMYFUNCTION("""COMPUTED_VALUE"""),2316.1)</f>
        <v>2316.1</v>
      </c>
      <c r="F7874" s="1">
        <f>IFERROR(__xludf.DUMMYFUNCTION("""COMPUTED_VALUE"""),0.0)</f>
        <v>0</v>
      </c>
    </row>
    <row r="7875">
      <c r="A7875" s="2">
        <f>IFERROR(__xludf.DUMMYFUNCTION("""COMPUTED_VALUE"""),42779.66666666667)</f>
        <v>42779.66667</v>
      </c>
      <c r="B7875" s="1">
        <f>IFERROR(__xludf.DUMMYFUNCTION("""COMPUTED_VALUE"""),2321.72)</f>
        <v>2321.72</v>
      </c>
      <c r="C7875" s="1">
        <f>IFERROR(__xludf.DUMMYFUNCTION("""COMPUTED_VALUE"""),2331.58)</f>
        <v>2331.58</v>
      </c>
      <c r="D7875" s="1">
        <f>IFERROR(__xludf.DUMMYFUNCTION("""COMPUTED_VALUE"""),2321.42)</f>
        <v>2321.42</v>
      </c>
      <c r="E7875" s="1">
        <f>IFERROR(__xludf.DUMMYFUNCTION("""COMPUTED_VALUE"""),2328.25)</f>
        <v>2328.25</v>
      </c>
      <c r="F7875" s="1">
        <f>IFERROR(__xludf.DUMMYFUNCTION("""COMPUTED_VALUE"""),0.0)</f>
        <v>0</v>
      </c>
    </row>
    <row r="7876">
      <c r="A7876" s="2">
        <f>IFERROR(__xludf.DUMMYFUNCTION("""COMPUTED_VALUE"""),42780.66666666667)</f>
        <v>42780.66667</v>
      </c>
      <c r="B7876" s="1">
        <f>IFERROR(__xludf.DUMMYFUNCTION("""COMPUTED_VALUE"""),2326.12)</f>
        <v>2326.12</v>
      </c>
      <c r="C7876" s="1">
        <f>IFERROR(__xludf.DUMMYFUNCTION("""COMPUTED_VALUE"""),2337.58)</f>
        <v>2337.58</v>
      </c>
      <c r="D7876" s="1">
        <f>IFERROR(__xludf.DUMMYFUNCTION("""COMPUTED_VALUE"""),2322.17)</f>
        <v>2322.17</v>
      </c>
      <c r="E7876" s="1">
        <f>IFERROR(__xludf.DUMMYFUNCTION("""COMPUTED_VALUE"""),2337.58)</f>
        <v>2337.58</v>
      </c>
      <c r="F7876" s="1">
        <f>IFERROR(__xludf.DUMMYFUNCTION("""COMPUTED_VALUE"""),0.0)</f>
        <v>0</v>
      </c>
    </row>
    <row r="7877">
      <c r="A7877" s="2">
        <f>IFERROR(__xludf.DUMMYFUNCTION("""COMPUTED_VALUE"""),42781.66666666667)</f>
        <v>42781.66667</v>
      </c>
      <c r="B7877" s="1">
        <f>IFERROR(__xludf.DUMMYFUNCTION("""COMPUTED_VALUE"""),2335.58)</f>
        <v>2335.58</v>
      </c>
      <c r="C7877" s="1">
        <f>IFERROR(__xludf.DUMMYFUNCTION("""COMPUTED_VALUE"""),2351.3)</f>
        <v>2351.3</v>
      </c>
      <c r="D7877" s="1">
        <f>IFERROR(__xludf.DUMMYFUNCTION("""COMPUTED_VALUE"""),2334.81)</f>
        <v>2334.81</v>
      </c>
      <c r="E7877" s="1">
        <f>IFERROR(__xludf.DUMMYFUNCTION("""COMPUTED_VALUE"""),2349.25)</f>
        <v>2349.25</v>
      </c>
      <c r="F7877" s="1">
        <f>IFERROR(__xludf.DUMMYFUNCTION("""COMPUTED_VALUE"""),0.0)</f>
        <v>0</v>
      </c>
    </row>
    <row r="7878">
      <c r="A7878" s="2">
        <f>IFERROR(__xludf.DUMMYFUNCTION("""COMPUTED_VALUE"""),42782.66666666667)</f>
        <v>42782.66667</v>
      </c>
      <c r="B7878" s="1">
        <f>IFERROR(__xludf.DUMMYFUNCTION("""COMPUTED_VALUE"""),2349.64)</f>
        <v>2349.64</v>
      </c>
      <c r="C7878" s="1">
        <f>IFERROR(__xludf.DUMMYFUNCTION("""COMPUTED_VALUE"""),2351.31)</f>
        <v>2351.31</v>
      </c>
      <c r="D7878" s="1">
        <f>IFERROR(__xludf.DUMMYFUNCTION("""COMPUTED_VALUE"""),2338.87)</f>
        <v>2338.87</v>
      </c>
      <c r="E7878" s="1">
        <f>IFERROR(__xludf.DUMMYFUNCTION("""COMPUTED_VALUE"""),2347.22)</f>
        <v>2347.22</v>
      </c>
      <c r="F7878" s="1">
        <f>IFERROR(__xludf.DUMMYFUNCTION("""COMPUTED_VALUE"""),0.0)</f>
        <v>0</v>
      </c>
    </row>
    <row r="7879">
      <c r="A7879" s="2">
        <f>IFERROR(__xludf.DUMMYFUNCTION("""COMPUTED_VALUE"""),42783.66666666667)</f>
        <v>42783.66667</v>
      </c>
      <c r="B7879" s="1">
        <f>IFERROR(__xludf.DUMMYFUNCTION("""COMPUTED_VALUE"""),2343.01)</f>
        <v>2343.01</v>
      </c>
      <c r="C7879" s="1">
        <f>IFERROR(__xludf.DUMMYFUNCTION("""COMPUTED_VALUE"""),2351.16)</f>
        <v>2351.16</v>
      </c>
      <c r="D7879" s="1">
        <f>IFERROR(__xludf.DUMMYFUNCTION("""COMPUTED_VALUE"""),2339.58)</f>
        <v>2339.58</v>
      </c>
      <c r="E7879" s="1">
        <f>IFERROR(__xludf.DUMMYFUNCTION("""COMPUTED_VALUE"""),2351.16)</f>
        <v>2351.16</v>
      </c>
      <c r="F7879" s="1">
        <f>IFERROR(__xludf.DUMMYFUNCTION("""COMPUTED_VALUE"""),0.0)</f>
        <v>0</v>
      </c>
    </row>
    <row r="7880">
      <c r="A7880" s="2">
        <f>IFERROR(__xludf.DUMMYFUNCTION("""COMPUTED_VALUE"""),42787.66666666667)</f>
        <v>42787.66667</v>
      </c>
      <c r="B7880" s="1">
        <f>IFERROR(__xludf.DUMMYFUNCTION("""COMPUTED_VALUE"""),2354.91)</f>
        <v>2354.91</v>
      </c>
      <c r="C7880" s="1">
        <f>IFERROR(__xludf.DUMMYFUNCTION("""COMPUTED_VALUE"""),2366.71)</f>
        <v>2366.71</v>
      </c>
      <c r="D7880" s="1">
        <f>IFERROR(__xludf.DUMMYFUNCTION("""COMPUTED_VALUE"""),2354.91)</f>
        <v>2354.91</v>
      </c>
      <c r="E7880" s="1">
        <f>IFERROR(__xludf.DUMMYFUNCTION("""COMPUTED_VALUE"""),2365.38)</f>
        <v>2365.38</v>
      </c>
      <c r="F7880" s="1">
        <f>IFERROR(__xludf.DUMMYFUNCTION("""COMPUTED_VALUE"""),0.0)</f>
        <v>0</v>
      </c>
    </row>
    <row r="7881">
      <c r="A7881" s="2">
        <f>IFERROR(__xludf.DUMMYFUNCTION("""COMPUTED_VALUE"""),42788.66666666667)</f>
        <v>42788.66667</v>
      </c>
      <c r="B7881" s="1">
        <f>IFERROR(__xludf.DUMMYFUNCTION("""COMPUTED_VALUE"""),2361.11)</f>
        <v>2361.11</v>
      </c>
      <c r="C7881" s="1">
        <f>IFERROR(__xludf.DUMMYFUNCTION("""COMPUTED_VALUE"""),2365.13)</f>
        <v>2365.13</v>
      </c>
      <c r="D7881" s="1">
        <f>IFERROR(__xludf.DUMMYFUNCTION("""COMPUTED_VALUE"""),2358.34)</f>
        <v>2358.34</v>
      </c>
      <c r="E7881" s="1">
        <f>IFERROR(__xludf.DUMMYFUNCTION("""COMPUTED_VALUE"""),2362.82)</f>
        <v>2362.82</v>
      </c>
      <c r="F7881" s="1">
        <f>IFERROR(__xludf.DUMMYFUNCTION("""COMPUTED_VALUE"""),0.0)</f>
        <v>0</v>
      </c>
    </row>
    <row r="7882">
      <c r="A7882" s="2">
        <f>IFERROR(__xludf.DUMMYFUNCTION("""COMPUTED_VALUE"""),42789.66666666667)</f>
        <v>42789.66667</v>
      </c>
      <c r="B7882" s="1">
        <f>IFERROR(__xludf.DUMMYFUNCTION("""COMPUTED_VALUE"""),2367.5)</f>
        <v>2367.5</v>
      </c>
      <c r="C7882" s="1">
        <f>IFERROR(__xludf.DUMMYFUNCTION("""COMPUTED_VALUE"""),2368.26)</f>
        <v>2368.26</v>
      </c>
      <c r="D7882" s="1">
        <f>IFERROR(__xludf.DUMMYFUNCTION("""COMPUTED_VALUE"""),2355.09)</f>
        <v>2355.09</v>
      </c>
      <c r="E7882" s="1">
        <f>IFERROR(__xludf.DUMMYFUNCTION("""COMPUTED_VALUE"""),2363.81)</f>
        <v>2363.81</v>
      </c>
      <c r="F7882" s="1">
        <f>IFERROR(__xludf.DUMMYFUNCTION("""COMPUTED_VALUE"""),0.0)</f>
        <v>0</v>
      </c>
    </row>
    <row r="7883">
      <c r="A7883" s="2">
        <f>IFERROR(__xludf.DUMMYFUNCTION("""COMPUTED_VALUE"""),42790.66666666667)</f>
        <v>42790.66667</v>
      </c>
      <c r="B7883" s="1">
        <f>IFERROR(__xludf.DUMMYFUNCTION("""COMPUTED_VALUE"""),2355.73)</f>
        <v>2355.73</v>
      </c>
      <c r="C7883" s="1">
        <f>IFERROR(__xludf.DUMMYFUNCTION("""COMPUTED_VALUE"""),2367.34)</f>
        <v>2367.34</v>
      </c>
      <c r="D7883" s="1">
        <f>IFERROR(__xludf.DUMMYFUNCTION("""COMPUTED_VALUE"""),2352.87)</f>
        <v>2352.87</v>
      </c>
      <c r="E7883" s="1">
        <f>IFERROR(__xludf.DUMMYFUNCTION("""COMPUTED_VALUE"""),2367.34)</f>
        <v>2367.34</v>
      </c>
      <c r="F7883" s="1">
        <f>IFERROR(__xludf.DUMMYFUNCTION("""COMPUTED_VALUE"""),0.0)</f>
        <v>0</v>
      </c>
    </row>
    <row r="7884">
      <c r="A7884" s="2">
        <f>IFERROR(__xludf.DUMMYFUNCTION("""COMPUTED_VALUE"""),42793.66666666667)</f>
        <v>42793.66667</v>
      </c>
      <c r="B7884" s="1">
        <f>IFERROR(__xludf.DUMMYFUNCTION("""COMPUTED_VALUE"""),2365.23)</f>
        <v>2365.23</v>
      </c>
      <c r="C7884" s="1">
        <f>IFERROR(__xludf.DUMMYFUNCTION("""COMPUTED_VALUE"""),2371.54)</f>
        <v>2371.54</v>
      </c>
      <c r="D7884" s="1">
        <f>IFERROR(__xludf.DUMMYFUNCTION("""COMPUTED_VALUE"""),2361.87)</f>
        <v>2361.87</v>
      </c>
      <c r="E7884" s="1">
        <f>IFERROR(__xludf.DUMMYFUNCTION("""COMPUTED_VALUE"""),2369.75)</f>
        <v>2369.75</v>
      </c>
      <c r="F7884" s="1">
        <f>IFERROR(__xludf.DUMMYFUNCTION("""COMPUTED_VALUE"""),0.0)</f>
        <v>0</v>
      </c>
    </row>
    <row r="7885">
      <c r="A7885" s="2">
        <f>IFERROR(__xludf.DUMMYFUNCTION("""COMPUTED_VALUE"""),42794.66666666667)</f>
        <v>42794.66667</v>
      </c>
      <c r="B7885" s="1">
        <f>IFERROR(__xludf.DUMMYFUNCTION("""COMPUTED_VALUE"""),2366.08)</f>
        <v>2366.08</v>
      </c>
      <c r="C7885" s="1">
        <f>IFERROR(__xludf.DUMMYFUNCTION("""COMPUTED_VALUE"""),2367.79)</f>
        <v>2367.79</v>
      </c>
      <c r="D7885" s="1">
        <f>IFERROR(__xludf.DUMMYFUNCTION("""COMPUTED_VALUE"""),2358.96)</f>
        <v>2358.96</v>
      </c>
      <c r="E7885" s="1">
        <f>IFERROR(__xludf.DUMMYFUNCTION("""COMPUTED_VALUE"""),2363.64)</f>
        <v>2363.64</v>
      </c>
      <c r="F7885" s="1">
        <f>IFERROR(__xludf.DUMMYFUNCTION("""COMPUTED_VALUE"""),0.0)</f>
        <v>0</v>
      </c>
    </row>
    <row r="7886">
      <c r="A7886" s="2">
        <f>IFERROR(__xludf.DUMMYFUNCTION("""COMPUTED_VALUE"""),42795.66666666667)</f>
        <v>42795.66667</v>
      </c>
      <c r="B7886" s="1">
        <f>IFERROR(__xludf.DUMMYFUNCTION("""COMPUTED_VALUE"""),2380.13)</f>
        <v>2380.13</v>
      </c>
      <c r="C7886" s="1">
        <f>IFERROR(__xludf.DUMMYFUNCTION("""COMPUTED_VALUE"""),2400.98)</f>
        <v>2400.98</v>
      </c>
      <c r="D7886" s="1">
        <f>IFERROR(__xludf.DUMMYFUNCTION("""COMPUTED_VALUE"""),2380.13)</f>
        <v>2380.13</v>
      </c>
      <c r="E7886" s="1">
        <f>IFERROR(__xludf.DUMMYFUNCTION("""COMPUTED_VALUE"""),2395.96)</f>
        <v>2395.96</v>
      </c>
      <c r="F7886" s="1">
        <f>IFERROR(__xludf.DUMMYFUNCTION("""COMPUTED_VALUE"""),0.0)</f>
        <v>0</v>
      </c>
    </row>
    <row r="7887">
      <c r="A7887" s="2">
        <f>IFERROR(__xludf.DUMMYFUNCTION("""COMPUTED_VALUE"""),42796.66666666667)</f>
        <v>42796.66667</v>
      </c>
      <c r="B7887" s="1">
        <f>IFERROR(__xludf.DUMMYFUNCTION("""COMPUTED_VALUE"""),2394.75)</f>
        <v>2394.75</v>
      </c>
      <c r="C7887" s="1">
        <f>IFERROR(__xludf.DUMMYFUNCTION("""COMPUTED_VALUE"""),2394.75)</f>
        <v>2394.75</v>
      </c>
      <c r="D7887" s="1">
        <f>IFERROR(__xludf.DUMMYFUNCTION("""COMPUTED_VALUE"""),2380.17)</f>
        <v>2380.17</v>
      </c>
      <c r="E7887" s="1">
        <f>IFERROR(__xludf.DUMMYFUNCTION("""COMPUTED_VALUE"""),2381.92)</f>
        <v>2381.92</v>
      </c>
      <c r="F7887" s="1">
        <f>IFERROR(__xludf.DUMMYFUNCTION("""COMPUTED_VALUE"""),0.0)</f>
        <v>0</v>
      </c>
    </row>
    <row r="7888">
      <c r="A7888" s="2">
        <f>IFERROR(__xludf.DUMMYFUNCTION("""COMPUTED_VALUE"""),42797.66666666667)</f>
        <v>42797.66667</v>
      </c>
      <c r="B7888" s="1">
        <f>IFERROR(__xludf.DUMMYFUNCTION("""COMPUTED_VALUE"""),2380.92)</f>
        <v>2380.92</v>
      </c>
      <c r="C7888" s="1">
        <f>IFERROR(__xludf.DUMMYFUNCTION("""COMPUTED_VALUE"""),2383.89)</f>
        <v>2383.89</v>
      </c>
      <c r="D7888" s="1">
        <f>IFERROR(__xludf.DUMMYFUNCTION("""COMPUTED_VALUE"""),2375.39)</f>
        <v>2375.39</v>
      </c>
      <c r="E7888" s="1">
        <f>IFERROR(__xludf.DUMMYFUNCTION("""COMPUTED_VALUE"""),2383.12)</f>
        <v>2383.12</v>
      </c>
      <c r="F7888" s="1">
        <f>IFERROR(__xludf.DUMMYFUNCTION("""COMPUTED_VALUE"""),0.0)</f>
        <v>0</v>
      </c>
    </row>
    <row r="7889">
      <c r="A7889" s="2">
        <f>IFERROR(__xludf.DUMMYFUNCTION("""COMPUTED_VALUE"""),42800.66666666667)</f>
        <v>42800.66667</v>
      </c>
      <c r="B7889" s="1">
        <f>IFERROR(__xludf.DUMMYFUNCTION("""COMPUTED_VALUE"""),2375.23)</f>
        <v>2375.23</v>
      </c>
      <c r="C7889" s="1">
        <f>IFERROR(__xludf.DUMMYFUNCTION("""COMPUTED_VALUE"""),2378.8)</f>
        <v>2378.8</v>
      </c>
      <c r="D7889" s="1">
        <f>IFERROR(__xludf.DUMMYFUNCTION("""COMPUTED_VALUE"""),2367.98)</f>
        <v>2367.98</v>
      </c>
      <c r="E7889" s="1">
        <f>IFERROR(__xludf.DUMMYFUNCTION("""COMPUTED_VALUE"""),2375.31)</f>
        <v>2375.31</v>
      </c>
      <c r="F7889" s="1">
        <f>IFERROR(__xludf.DUMMYFUNCTION("""COMPUTED_VALUE"""),0.0)</f>
        <v>0</v>
      </c>
    </row>
    <row r="7890">
      <c r="A7890" s="2">
        <f>IFERROR(__xludf.DUMMYFUNCTION("""COMPUTED_VALUE"""),42801.66666666667)</f>
        <v>42801.66667</v>
      </c>
      <c r="B7890" s="1">
        <f>IFERROR(__xludf.DUMMYFUNCTION("""COMPUTED_VALUE"""),2370.74)</f>
        <v>2370.74</v>
      </c>
      <c r="C7890" s="1">
        <f>IFERROR(__xludf.DUMMYFUNCTION("""COMPUTED_VALUE"""),2375.12)</f>
        <v>2375.12</v>
      </c>
      <c r="D7890" s="1">
        <f>IFERROR(__xludf.DUMMYFUNCTION("""COMPUTED_VALUE"""),2365.51)</f>
        <v>2365.51</v>
      </c>
      <c r="E7890" s="1">
        <f>IFERROR(__xludf.DUMMYFUNCTION("""COMPUTED_VALUE"""),2368.39)</f>
        <v>2368.39</v>
      </c>
      <c r="F7890" s="1">
        <f>IFERROR(__xludf.DUMMYFUNCTION("""COMPUTED_VALUE"""),0.0)</f>
        <v>0</v>
      </c>
    </row>
    <row r="7891">
      <c r="A7891" s="2">
        <f>IFERROR(__xludf.DUMMYFUNCTION("""COMPUTED_VALUE"""),42802.66666666667)</f>
        <v>42802.66667</v>
      </c>
      <c r="B7891" s="1">
        <f>IFERROR(__xludf.DUMMYFUNCTION("""COMPUTED_VALUE"""),2369.81)</f>
        <v>2369.81</v>
      </c>
      <c r="C7891" s="1">
        <f>IFERROR(__xludf.DUMMYFUNCTION("""COMPUTED_VALUE"""),2373.09)</f>
        <v>2373.09</v>
      </c>
      <c r="D7891" s="1">
        <f>IFERROR(__xludf.DUMMYFUNCTION("""COMPUTED_VALUE"""),2361.01)</f>
        <v>2361.01</v>
      </c>
      <c r="E7891" s="1">
        <f>IFERROR(__xludf.DUMMYFUNCTION("""COMPUTED_VALUE"""),2362.98)</f>
        <v>2362.98</v>
      </c>
      <c r="F7891" s="1">
        <f>IFERROR(__xludf.DUMMYFUNCTION("""COMPUTED_VALUE"""),0.0)</f>
        <v>0</v>
      </c>
    </row>
    <row r="7892">
      <c r="A7892" s="2">
        <f>IFERROR(__xludf.DUMMYFUNCTION("""COMPUTED_VALUE"""),42803.66666666667)</f>
        <v>42803.66667</v>
      </c>
      <c r="B7892" s="1">
        <f>IFERROR(__xludf.DUMMYFUNCTION("""COMPUTED_VALUE"""),2363.49)</f>
        <v>2363.49</v>
      </c>
      <c r="C7892" s="1">
        <f>IFERROR(__xludf.DUMMYFUNCTION("""COMPUTED_VALUE"""),2369.08)</f>
        <v>2369.08</v>
      </c>
      <c r="D7892" s="1">
        <f>IFERROR(__xludf.DUMMYFUNCTION("""COMPUTED_VALUE"""),2354.54)</f>
        <v>2354.54</v>
      </c>
      <c r="E7892" s="1">
        <f>IFERROR(__xludf.DUMMYFUNCTION("""COMPUTED_VALUE"""),2364.87)</f>
        <v>2364.87</v>
      </c>
      <c r="F7892" s="1">
        <f>IFERROR(__xludf.DUMMYFUNCTION("""COMPUTED_VALUE"""),0.0)</f>
        <v>0</v>
      </c>
    </row>
    <row r="7893">
      <c r="A7893" s="2">
        <f>IFERROR(__xludf.DUMMYFUNCTION("""COMPUTED_VALUE"""),42804.66666666667)</f>
        <v>42804.66667</v>
      </c>
      <c r="B7893" s="1">
        <f>IFERROR(__xludf.DUMMYFUNCTION("""COMPUTED_VALUE"""),2372.52)</f>
        <v>2372.52</v>
      </c>
      <c r="C7893" s="1">
        <f>IFERROR(__xludf.DUMMYFUNCTION("""COMPUTED_VALUE"""),2376.86)</f>
        <v>2376.86</v>
      </c>
      <c r="D7893" s="1">
        <f>IFERROR(__xludf.DUMMYFUNCTION("""COMPUTED_VALUE"""),2363.04)</f>
        <v>2363.04</v>
      </c>
      <c r="E7893" s="1">
        <f>IFERROR(__xludf.DUMMYFUNCTION("""COMPUTED_VALUE"""),2372.6)</f>
        <v>2372.6</v>
      </c>
      <c r="F7893" s="1">
        <f>IFERROR(__xludf.DUMMYFUNCTION("""COMPUTED_VALUE"""),0.0)</f>
        <v>0</v>
      </c>
    </row>
    <row r="7894">
      <c r="A7894" s="2">
        <f>IFERROR(__xludf.DUMMYFUNCTION("""COMPUTED_VALUE"""),42807.66666666667)</f>
        <v>42807.66667</v>
      </c>
      <c r="B7894" s="1">
        <f>IFERROR(__xludf.DUMMYFUNCTION("""COMPUTED_VALUE"""),2371.56)</f>
        <v>2371.56</v>
      </c>
      <c r="C7894" s="1">
        <f>IFERROR(__xludf.DUMMYFUNCTION("""COMPUTED_VALUE"""),2374.42)</f>
        <v>2374.42</v>
      </c>
      <c r="D7894" s="1">
        <f>IFERROR(__xludf.DUMMYFUNCTION("""COMPUTED_VALUE"""),2368.52)</f>
        <v>2368.52</v>
      </c>
      <c r="E7894" s="1">
        <f>IFERROR(__xludf.DUMMYFUNCTION("""COMPUTED_VALUE"""),2373.47)</f>
        <v>2373.47</v>
      </c>
      <c r="F7894" s="1">
        <f>IFERROR(__xludf.DUMMYFUNCTION("""COMPUTED_VALUE"""),0.0)</f>
        <v>0</v>
      </c>
    </row>
    <row r="7895">
      <c r="A7895" s="2">
        <f>IFERROR(__xludf.DUMMYFUNCTION("""COMPUTED_VALUE"""),42808.66666666667)</f>
        <v>42808.66667</v>
      </c>
      <c r="B7895" s="1">
        <f>IFERROR(__xludf.DUMMYFUNCTION("""COMPUTED_VALUE"""),2368.55)</f>
        <v>2368.55</v>
      </c>
      <c r="C7895" s="1">
        <f>IFERROR(__xludf.DUMMYFUNCTION("""COMPUTED_VALUE"""),2368.55)</f>
        <v>2368.55</v>
      </c>
      <c r="D7895" s="1">
        <f>IFERROR(__xludf.DUMMYFUNCTION("""COMPUTED_VALUE"""),2358.18)</f>
        <v>2358.18</v>
      </c>
      <c r="E7895" s="1">
        <f>IFERROR(__xludf.DUMMYFUNCTION("""COMPUTED_VALUE"""),2365.45)</f>
        <v>2365.45</v>
      </c>
      <c r="F7895" s="1">
        <f>IFERROR(__xludf.DUMMYFUNCTION("""COMPUTED_VALUE"""),0.0)</f>
        <v>0</v>
      </c>
    </row>
    <row r="7896">
      <c r="A7896" s="2">
        <f>IFERROR(__xludf.DUMMYFUNCTION("""COMPUTED_VALUE"""),42809.66666666667)</f>
        <v>42809.66667</v>
      </c>
      <c r="B7896" s="1">
        <f>IFERROR(__xludf.DUMMYFUNCTION("""COMPUTED_VALUE"""),2370.34)</f>
        <v>2370.34</v>
      </c>
      <c r="C7896" s="1">
        <f>IFERROR(__xludf.DUMMYFUNCTION("""COMPUTED_VALUE"""),2390.01)</f>
        <v>2390.01</v>
      </c>
      <c r="D7896" s="1">
        <f>IFERROR(__xludf.DUMMYFUNCTION("""COMPUTED_VALUE"""),2368.94)</f>
        <v>2368.94</v>
      </c>
      <c r="E7896" s="1">
        <f>IFERROR(__xludf.DUMMYFUNCTION("""COMPUTED_VALUE"""),2385.26)</f>
        <v>2385.26</v>
      </c>
      <c r="F7896" s="1">
        <f>IFERROR(__xludf.DUMMYFUNCTION("""COMPUTED_VALUE"""),0.0)</f>
        <v>0</v>
      </c>
    </row>
    <row r="7897">
      <c r="A7897" s="2">
        <f>IFERROR(__xludf.DUMMYFUNCTION("""COMPUTED_VALUE"""),42810.66666666667)</f>
        <v>42810.66667</v>
      </c>
      <c r="B7897" s="1">
        <f>IFERROR(__xludf.DUMMYFUNCTION("""COMPUTED_VALUE"""),2387.71)</f>
        <v>2387.71</v>
      </c>
      <c r="C7897" s="1">
        <f>IFERROR(__xludf.DUMMYFUNCTION("""COMPUTED_VALUE"""),2388.1)</f>
        <v>2388.1</v>
      </c>
      <c r="D7897" s="1">
        <f>IFERROR(__xludf.DUMMYFUNCTION("""COMPUTED_VALUE"""),2377.18)</f>
        <v>2377.18</v>
      </c>
      <c r="E7897" s="1">
        <f>IFERROR(__xludf.DUMMYFUNCTION("""COMPUTED_VALUE"""),2381.38)</f>
        <v>2381.38</v>
      </c>
      <c r="F7897" s="1">
        <f>IFERROR(__xludf.DUMMYFUNCTION("""COMPUTED_VALUE"""),0.0)</f>
        <v>0</v>
      </c>
    </row>
    <row r="7898">
      <c r="A7898" s="2">
        <f>IFERROR(__xludf.DUMMYFUNCTION("""COMPUTED_VALUE"""),42811.66666666667)</f>
        <v>42811.66667</v>
      </c>
      <c r="B7898" s="1">
        <f>IFERROR(__xludf.DUMMYFUNCTION("""COMPUTED_VALUE"""),2383.71)</f>
        <v>2383.71</v>
      </c>
      <c r="C7898" s="1">
        <f>IFERROR(__xludf.DUMMYFUNCTION("""COMPUTED_VALUE"""),2385.71)</f>
        <v>2385.71</v>
      </c>
      <c r="D7898" s="1">
        <f>IFERROR(__xludf.DUMMYFUNCTION("""COMPUTED_VALUE"""),2377.64)</f>
        <v>2377.64</v>
      </c>
      <c r="E7898" s="1">
        <f>IFERROR(__xludf.DUMMYFUNCTION("""COMPUTED_VALUE"""),2378.25)</f>
        <v>2378.25</v>
      </c>
      <c r="F7898" s="1">
        <f>IFERROR(__xludf.DUMMYFUNCTION("""COMPUTED_VALUE"""),0.0)</f>
        <v>0</v>
      </c>
    </row>
    <row r="7899">
      <c r="A7899" s="2">
        <f>IFERROR(__xludf.DUMMYFUNCTION("""COMPUTED_VALUE"""),42814.66666666667)</f>
        <v>42814.66667</v>
      </c>
      <c r="B7899" s="1">
        <f>IFERROR(__xludf.DUMMYFUNCTION("""COMPUTED_VALUE"""),2378.24)</f>
        <v>2378.24</v>
      </c>
      <c r="C7899" s="1">
        <f>IFERROR(__xludf.DUMMYFUNCTION("""COMPUTED_VALUE"""),2379.55)</f>
        <v>2379.55</v>
      </c>
      <c r="D7899" s="1">
        <f>IFERROR(__xludf.DUMMYFUNCTION("""COMPUTED_VALUE"""),2369.66)</f>
        <v>2369.66</v>
      </c>
      <c r="E7899" s="1">
        <f>IFERROR(__xludf.DUMMYFUNCTION("""COMPUTED_VALUE"""),2373.47)</f>
        <v>2373.47</v>
      </c>
      <c r="F7899" s="1">
        <f>IFERROR(__xludf.DUMMYFUNCTION("""COMPUTED_VALUE"""),0.0)</f>
        <v>0</v>
      </c>
    </row>
    <row r="7900">
      <c r="A7900" s="2">
        <f>IFERROR(__xludf.DUMMYFUNCTION("""COMPUTED_VALUE"""),42815.66666666667)</f>
        <v>42815.66667</v>
      </c>
      <c r="B7900" s="1">
        <f>IFERROR(__xludf.DUMMYFUNCTION("""COMPUTED_VALUE"""),2379.32)</f>
        <v>2379.32</v>
      </c>
      <c r="C7900" s="1">
        <f>IFERROR(__xludf.DUMMYFUNCTION("""COMPUTED_VALUE"""),2381.93)</f>
        <v>2381.93</v>
      </c>
      <c r="D7900" s="1">
        <f>IFERROR(__xludf.DUMMYFUNCTION("""COMPUTED_VALUE"""),2341.9)</f>
        <v>2341.9</v>
      </c>
      <c r="E7900" s="1">
        <f>IFERROR(__xludf.DUMMYFUNCTION("""COMPUTED_VALUE"""),2344.02)</f>
        <v>2344.02</v>
      </c>
      <c r="F7900" s="1">
        <f>IFERROR(__xludf.DUMMYFUNCTION("""COMPUTED_VALUE"""),0.0)</f>
        <v>0</v>
      </c>
    </row>
    <row r="7901">
      <c r="A7901" s="2">
        <f>IFERROR(__xludf.DUMMYFUNCTION("""COMPUTED_VALUE"""),42816.66666666667)</f>
        <v>42816.66667</v>
      </c>
      <c r="B7901" s="1">
        <f>IFERROR(__xludf.DUMMYFUNCTION("""COMPUTED_VALUE"""),2343.0)</f>
        <v>2343</v>
      </c>
      <c r="C7901" s="1">
        <f>IFERROR(__xludf.DUMMYFUNCTION("""COMPUTED_VALUE"""),2351.81)</f>
        <v>2351.81</v>
      </c>
      <c r="D7901" s="1">
        <f>IFERROR(__xludf.DUMMYFUNCTION("""COMPUTED_VALUE"""),2336.45)</f>
        <v>2336.45</v>
      </c>
      <c r="E7901" s="1">
        <f>IFERROR(__xludf.DUMMYFUNCTION("""COMPUTED_VALUE"""),2348.45)</f>
        <v>2348.45</v>
      </c>
      <c r="F7901" s="1">
        <f>IFERROR(__xludf.DUMMYFUNCTION("""COMPUTED_VALUE"""),0.0)</f>
        <v>0</v>
      </c>
    </row>
    <row r="7902">
      <c r="A7902" s="2">
        <f>IFERROR(__xludf.DUMMYFUNCTION("""COMPUTED_VALUE"""),42817.66666666667)</f>
        <v>42817.66667</v>
      </c>
      <c r="B7902" s="1">
        <f>IFERROR(__xludf.DUMMYFUNCTION("""COMPUTED_VALUE"""),2345.97)</f>
        <v>2345.97</v>
      </c>
      <c r="C7902" s="1">
        <f>IFERROR(__xludf.DUMMYFUNCTION("""COMPUTED_VALUE"""),2358.92)</f>
        <v>2358.92</v>
      </c>
      <c r="D7902" s="1">
        <f>IFERROR(__xludf.DUMMYFUNCTION("""COMPUTED_VALUE"""),2342.13)</f>
        <v>2342.13</v>
      </c>
      <c r="E7902" s="1">
        <f>IFERROR(__xludf.DUMMYFUNCTION("""COMPUTED_VALUE"""),2345.96)</f>
        <v>2345.96</v>
      </c>
      <c r="F7902" s="1">
        <f>IFERROR(__xludf.DUMMYFUNCTION("""COMPUTED_VALUE"""),0.0)</f>
        <v>0</v>
      </c>
    </row>
    <row r="7903">
      <c r="A7903" s="2">
        <f>IFERROR(__xludf.DUMMYFUNCTION("""COMPUTED_VALUE"""),42818.66666666667)</f>
        <v>42818.66667</v>
      </c>
      <c r="B7903" s="1">
        <f>IFERROR(__xludf.DUMMYFUNCTION("""COMPUTED_VALUE"""),2350.42)</f>
        <v>2350.42</v>
      </c>
      <c r="C7903" s="1">
        <f>IFERROR(__xludf.DUMMYFUNCTION("""COMPUTED_VALUE"""),2356.22)</f>
        <v>2356.22</v>
      </c>
      <c r="D7903" s="1">
        <f>IFERROR(__xludf.DUMMYFUNCTION("""COMPUTED_VALUE"""),2335.74)</f>
        <v>2335.74</v>
      </c>
      <c r="E7903" s="1">
        <f>IFERROR(__xludf.DUMMYFUNCTION("""COMPUTED_VALUE"""),2343.98)</f>
        <v>2343.98</v>
      </c>
      <c r="F7903" s="1">
        <f>IFERROR(__xludf.DUMMYFUNCTION("""COMPUTED_VALUE"""),0.0)</f>
        <v>0</v>
      </c>
    </row>
    <row r="7904">
      <c r="A7904" s="2">
        <f>IFERROR(__xludf.DUMMYFUNCTION("""COMPUTED_VALUE"""),42821.66666666667)</f>
        <v>42821.66667</v>
      </c>
      <c r="B7904" s="1">
        <f>IFERROR(__xludf.DUMMYFUNCTION("""COMPUTED_VALUE"""),2329.11)</f>
        <v>2329.11</v>
      </c>
      <c r="C7904" s="1">
        <f>IFERROR(__xludf.DUMMYFUNCTION("""COMPUTED_VALUE"""),2344.9)</f>
        <v>2344.9</v>
      </c>
      <c r="D7904" s="1">
        <f>IFERROR(__xludf.DUMMYFUNCTION("""COMPUTED_VALUE"""),2322.25)</f>
        <v>2322.25</v>
      </c>
      <c r="E7904" s="1">
        <f>IFERROR(__xludf.DUMMYFUNCTION("""COMPUTED_VALUE"""),2341.59)</f>
        <v>2341.59</v>
      </c>
      <c r="F7904" s="1">
        <f>IFERROR(__xludf.DUMMYFUNCTION("""COMPUTED_VALUE"""),0.0)</f>
        <v>0</v>
      </c>
    </row>
    <row r="7905">
      <c r="A7905" s="2">
        <f>IFERROR(__xludf.DUMMYFUNCTION("""COMPUTED_VALUE"""),42822.66666666667)</f>
        <v>42822.66667</v>
      </c>
      <c r="B7905" s="1">
        <f>IFERROR(__xludf.DUMMYFUNCTION("""COMPUTED_VALUE"""),2339.79)</f>
        <v>2339.79</v>
      </c>
      <c r="C7905" s="1">
        <f>IFERROR(__xludf.DUMMYFUNCTION("""COMPUTED_VALUE"""),2363.78)</f>
        <v>2363.78</v>
      </c>
      <c r="D7905" s="1">
        <f>IFERROR(__xludf.DUMMYFUNCTION("""COMPUTED_VALUE"""),2337.63)</f>
        <v>2337.63</v>
      </c>
      <c r="E7905" s="1">
        <f>IFERROR(__xludf.DUMMYFUNCTION("""COMPUTED_VALUE"""),2358.57)</f>
        <v>2358.57</v>
      </c>
      <c r="F7905" s="1">
        <f>IFERROR(__xludf.DUMMYFUNCTION("""COMPUTED_VALUE"""),0.0)</f>
        <v>0</v>
      </c>
    </row>
    <row r="7906">
      <c r="A7906" s="2">
        <f>IFERROR(__xludf.DUMMYFUNCTION("""COMPUTED_VALUE"""),42823.66666666667)</f>
        <v>42823.66667</v>
      </c>
      <c r="B7906" s="1">
        <f>IFERROR(__xludf.DUMMYFUNCTION("""COMPUTED_VALUE"""),2356.54)</f>
        <v>2356.54</v>
      </c>
      <c r="C7906" s="1">
        <f>IFERROR(__xludf.DUMMYFUNCTION("""COMPUTED_VALUE"""),2363.36)</f>
        <v>2363.36</v>
      </c>
      <c r="D7906" s="1">
        <f>IFERROR(__xludf.DUMMYFUNCTION("""COMPUTED_VALUE"""),2352.94)</f>
        <v>2352.94</v>
      </c>
      <c r="E7906" s="1">
        <f>IFERROR(__xludf.DUMMYFUNCTION("""COMPUTED_VALUE"""),2361.13)</f>
        <v>2361.13</v>
      </c>
      <c r="F7906" s="1">
        <f>IFERROR(__xludf.DUMMYFUNCTION("""COMPUTED_VALUE"""),0.0)</f>
        <v>0</v>
      </c>
    </row>
    <row r="7907">
      <c r="A7907" s="2">
        <f>IFERROR(__xludf.DUMMYFUNCTION("""COMPUTED_VALUE"""),42824.66666666667)</f>
        <v>42824.66667</v>
      </c>
      <c r="B7907" s="1">
        <f>IFERROR(__xludf.DUMMYFUNCTION("""COMPUTED_VALUE"""),2361.31)</f>
        <v>2361.31</v>
      </c>
      <c r="C7907" s="1">
        <f>IFERROR(__xludf.DUMMYFUNCTION("""COMPUTED_VALUE"""),2370.42)</f>
        <v>2370.42</v>
      </c>
      <c r="D7907" s="1">
        <f>IFERROR(__xludf.DUMMYFUNCTION("""COMPUTED_VALUE"""),2358.58)</f>
        <v>2358.58</v>
      </c>
      <c r="E7907" s="1">
        <f>IFERROR(__xludf.DUMMYFUNCTION("""COMPUTED_VALUE"""),2368.06)</f>
        <v>2368.06</v>
      </c>
      <c r="F7907" s="1">
        <f>IFERROR(__xludf.DUMMYFUNCTION("""COMPUTED_VALUE"""),0.0)</f>
        <v>0</v>
      </c>
    </row>
    <row r="7908">
      <c r="A7908" s="2">
        <f>IFERROR(__xludf.DUMMYFUNCTION("""COMPUTED_VALUE"""),42825.66666666667)</f>
        <v>42825.66667</v>
      </c>
      <c r="B7908" s="1">
        <f>IFERROR(__xludf.DUMMYFUNCTION("""COMPUTED_VALUE"""),2364.82)</f>
        <v>2364.82</v>
      </c>
      <c r="C7908" s="1">
        <f>IFERROR(__xludf.DUMMYFUNCTION("""COMPUTED_VALUE"""),2370.35)</f>
        <v>2370.35</v>
      </c>
      <c r="D7908" s="1">
        <f>IFERROR(__xludf.DUMMYFUNCTION("""COMPUTED_VALUE"""),2362.6)</f>
        <v>2362.6</v>
      </c>
      <c r="E7908" s="1">
        <f>IFERROR(__xludf.DUMMYFUNCTION("""COMPUTED_VALUE"""),2362.72)</f>
        <v>2362.72</v>
      </c>
      <c r="F7908" s="1">
        <f>IFERROR(__xludf.DUMMYFUNCTION("""COMPUTED_VALUE"""),0.0)</f>
        <v>0</v>
      </c>
    </row>
    <row r="7909">
      <c r="A7909" s="2">
        <f>IFERROR(__xludf.DUMMYFUNCTION("""COMPUTED_VALUE"""),42828.66666666667)</f>
        <v>42828.66667</v>
      </c>
      <c r="B7909" s="1">
        <f>IFERROR(__xludf.DUMMYFUNCTION("""COMPUTED_VALUE"""),2362.34)</f>
        <v>2362.34</v>
      </c>
      <c r="C7909" s="1">
        <f>IFERROR(__xludf.DUMMYFUNCTION("""COMPUTED_VALUE"""),2365.87)</f>
        <v>2365.87</v>
      </c>
      <c r="D7909" s="1">
        <f>IFERROR(__xludf.DUMMYFUNCTION("""COMPUTED_VALUE"""),2344.73)</f>
        <v>2344.73</v>
      </c>
      <c r="E7909" s="1">
        <f>IFERROR(__xludf.DUMMYFUNCTION("""COMPUTED_VALUE"""),2358.84)</f>
        <v>2358.84</v>
      </c>
      <c r="F7909" s="1">
        <f>IFERROR(__xludf.DUMMYFUNCTION("""COMPUTED_VALUE"""),0.0)</f>
        <v>0</v>
      </c>
    </row>
    <row r="7910">
      <c r="A7910" s="2">
        <f>IFERROR(__xludf.DUMMYFUNCTION("""COMPUTED_VALUE"""),42829.66666666667)</f>
        <v>42829.66667</v>
      </c>
      <c r="B7910" s="1">
        <f>IFERROR(__xludf.DUMMYFUNCTION("""COMPUTED_VALUE"""),2354.76)</f>
        <v>2354.76</v>
      </c>
      <c r="C7910" s="1">
        <f>IFERROR(__xludf.DUMMYFUNCTION("""COMPUTED_VALUE"""),2360.53)</f>
        <v>2360.53</v>
      </c>
      <c r="D7910" s="1">
        <f>IFERROR(__xludf.DUMMYFUNCTION("""COMPUTED_VALUE"""),2350.72)</f>
        <v>2350.72</v>
      </c>
      <c r="E7910" s="1">
        <f>IFERROR(__xludf.DUMMYFUNCTION("""COMPUTED_VALUE"""),2360.16)</f>
        <v>2360.16</v>
      </c>
      <c r="F7910" s="1">
        <f>IFERROR(__xludf.DUMMYFUNCTION("""COMPUTED_VALUE"""),0.0)</f>
        <v>0</v>
      </c>
    </row>
    <row r="7911">
      <c r="A7911" s="2">
        <f>IFERROR(__xludf.DUMMYFUNCTION("""COMPUTED_VALUE"""),42830.66666666667)</f>
        <v>42830.66667</v>
      </c>
      <c r="B7911" s="1">
        <f>IFERROR(__xludf.DUMMYFUNCTION("""COMPUTED_VALUE"""),2366.59)</f>
        <v>2366.59</v>
      </c>
      <c r="C7911" s="1">
        <f>IFERROR(__xludf.DUMMYFUNCTION("""COMPUTED_VALUE"""),2378.36)</f>
        <v>2378.36</v>
      </c>
      <c r="D7911" s="1">
        <f>IFERROR(__xludf.DUMMYFUNCTION("""COMPUTED_VALUE"""),2350.52)</f>
        <v>2350.52</v>
      </c>
      <c r="E7911" s="1">
        <f>IFERROR(__xludf.DUMMYFUNCTION("""COMPUTED_VALUE"""),2352.95)</f>
        <v>2352.95</v>
      </c>
      <c r="F7911" s="1">
        <f>IFERROR(__xludf.DUMMYFUNCTION("""COMPUTED_VALUE"""),0.0)</f>
        <v>0</v>
      </c>
    </row>
    <row r="7912">
      <c r="A7912" s="2">
        <f>IFERROR(__xludf.DUMMYFUNCTION("""COMPUTED_VALUE"""),42831.66666666667)</f>
        <v>42831.66667</v>
      </c>
      <c r="B7912" s="1">
        <f>IFERROR(__xludf.DUMMYFUNCTION("""COMPUTED_VALUE"""),2353.79)</f>
        <v>2353.79</v>
      </c>
      <c r="C7912" s="1">
        <f>IFERROR(__xludf.DUMMYFUNCTION("""COMPUTED_VALUE"""),2364.16)</f>
        <v>2364.16</v>
      </c>
      <c r="D7912" s="1">
        <f>IFERROR(__xludf.DUMMYFUNCTION("""COMPUTED_VALUE"""),2348.9)</f>
        <v>2348.9</v>
      </c>
      <c r="E7912" s="1">
        <f>IFERROR(__xludf.DUMMYFUNCTION("""COMPUTED_VALUE"""),2357.49)</f>
        <v>2357.49</v>
      </c>
      <c r="F7912" s="1">
        <f>IFERROR(__xludf.DUMMYFUNCTION("""COMPUTED_VALUE"""),0.0)</f>
        <v>0</v>
      </c>
    </row>
    <row r="7913">
      <c r="A7913" s="2">
        <f>IFERROR(__xludf.DUMMYFUNCTION("""COMPUTED_VALUE"""),42832.66666666667)</f>
        <v>42832.66667</v>
      </c>
      <c r="B7913" s="1">
        <f>IFERROR(__xludf.DUMMYFUNCTION("""COMPUTED_VALUE"""),2356.59)</f>
        <v>2356.59</v>
      </c>
      <c r="C7913" s="1">
        <f>IFERROR(__xludf.DUMMYFUNCTION("""COMPUTED_VALUE"""),2363.76)</f>
        <v>2363.76</v>
      </c>
      <c r="D7913" s="1">
        <f>IFERROR(__xludf.DUMMYFUNCTION("""COMPUTED_VALUE"""),2350.74)</f>
        <v>2350.74</v>
      </c>
      <c r="E7913" s="1">
        <f>IFERROR(__xludf.DUMMYFUNCTION("""COMPUTED_VALUE"""),2355.54)</f>
        <v>2355.54</v>
      </c>
      <c r="F7913" s="1">
        <f>IFERROR(__xludf.DUMMYFUNCTION("""COMPUTED_VALUE"""),0.0)</f>
        <v>0</v>
      </c>
    </row>
    <row r="7914">
      <c r="A7914" s="2">
        <f>IFERROR(__xludf.DUMMYFUNCTION("""COMPUTED_VALUE"""),42835.66666666667)</f>
        <v>42835.66667</v>
      </c>
      <c r="B7914" s="1">
        <f>IFERROR(__xludf.DUMMYFUNCTION("""COMPUTED_VALUE"""),2357.16)</f>
        <v>2357.16</v>
      </c>
      <c r="C7914" s="1">
        <f>IFERROR(__xludf.DUMMYFUNCTION("""COMPUTED_VALUE"""),2366.37)</f>
        <v>2366.37</v>
      </c>
      <c r="D7914" s="1">
        <f>IFERROR(__xludf.DUMMYFUNCTION("""COMPUTED_VALUE"""),2351.5)</f>
        <v>2351.5</v>
      </c>
      <c r="E7914" s="1">
        <f>IFERROR(__xludf.DUMMYFUNCTION("""COMPUTED_VALUE"""),2357.16)</f>
        <v>2357.16</v>
      </c>
      <c r="F7914" s="1">
        <f>IFERROR(__xludf.DUMMYFUNCTION("""COMPUTED_VALUE"""),0.0)</f>
        <v>0</v>
      </c>
    </row>
    <row r="7915">
      <c r="A7915" s="2">
        <f>IFERROR(__xludf.DUMMYFUNCTION("""COMPUTED_VALUE"""),42836.66666666667)</f>
        <v>42836.66667</v>
      </c>
      <c r="B7915" s="1">
        <f>IFERROR(__xludf.DUMMYFUNCTION("""COMPUTED_VALUE"""),2353.92)</f>
        <v>2353.92</v>
      </c>
      <c r="C7915" s="1">
        <f>IFERROR(__xludf.DUMMYFUNCTION("""COMPUTED_VALUE"""),2355.22)</f>
        <v>2355.22</v>
      </c>
      <c r="D7915" s="1">
        <f>IFERROR(__xludf.DUMMYFUNCTION("""COMPUTED_VALUE"""),2337.25)</f>
        <v>2337.25</v>
      </c>
      <c r="E7915" s="1">
        <f>IFERROR(__xludf.DUMMYFUNCTION("""COMPUTED_VALUE"""),2353.78)</f>
        <v>2353.78</v>
      </c>
      <c r="F7915" s="1">
        <f>IFERROR(__xludf.DUMMYFUNCTION("""COMPUTED_VALUE"""),0.0)</f>
        <v>0</v>
      </c>
    </row>
    <row r="7916">
      <c r="A7916" s="2">
        <f>IFERROR(__xludf.DUMMYFUNCTION("""COMPUTED_VALUE"""),42837.66666666667)</f>
        <v>42837.66667</v>
      </c>
      <c r="B7916" s="1">
        <f>IFERROR(__xludf.DUMMYFUNCTION("""COMPUTED_VALUE"""),2352.15)</f>
        <v>2352.15</v>
      </c>
      <c r="C7916" s="1">
        <f>IFERROR(__xludf.DUMMYFUNCTION("""COMPUTED_VALUE"""),2352.72)</f>
        <v>2352.72</v>
      </c>
      <c r="D7916" s="1">
        <f>IFERROR(__xludf.DUMMYFUNCTION("""COMPUTED_VALUE"""),2341.18)</f>
        <v>2341.18</v>
      </c>
      <c r="E7916" s="1">
        <f>IFERROR(__xludf.DUMMYFUNCTION("""COMPUTED_VALUE"""),2344.93)</f>
        <v>2344.93</v>
      </c>
      <c r="F7916" s="1">
        <f>IFERROR(__xludf.DUMMYFUNCTION("""COMPUTED_VALUE"""),0.0)</f>
        <v>0</v>
      </c>
    </row>
    <row r="7917">
      <c r="A7917" s="2">
        <f>IFERROR(__xludf.DUMMYFUNCTION("""COMPUTED_VALUE"""),42838.66666666667)</f>
        <v>42838.66667</v>
      </c>
      <c r="B7917" s="1">
        <f>IFERROR(__xludf.DUMMYFUNCTION("""COMPUTED_VALUE"""),2341.98)</f>
        <v>2341.98</v>
      </c>
      <c r="C7917" s="1">
        <f>IFERROR(__xludf.DUMMYFUNCTION("""COMPUTED_VALUE"""),2348.26)</f>
        <v>2348.26</v>
      </c>
      <c r="D7917" s="1">
        <f>IFERROR(__xludf.DUMMYFUNCTION("""COMPUTED_VALUE"""),2328.95)</f>
        <v>2328.95</v>
      </c>
      <c r="E7917" s="1">
        <f>IFERROR(__xludf.DUMMYFUNCTION("""COMPUTED_VALUE"""),2328.95)</f>
        <v>2328.95</v>
      </c>
      <c r="F7917" s="1">
        <f>IFERROR(__xludf.DUMMYFUNCTION("""COMPUTED_VALUE"""),0.0)</f>
        <v>0</v>
      </c>
    </row>
    <row r="7918">
      <c r="A7918" s="2">
        <f>IFERROR(__xludf.DUMMYFUNCTION("""COMPUTED_VALUE"""),42842.66666666667)</f>
        <v>42842.66667</v>
      </c>
      <c r="B7918" s="1">
        <f>IFERROR(__xludf.DUMMYFUNCTION("""COMPUTED_VALUE"""),2332.62)</f>
        <v>2332.62</v>
      </c>
      <c r="C7918" s="1">
        <f>IFERROR(__xludf.DUMMYFUNCTION("""COMPUTED_VALUE"""),2349.14)</f>
        <v>2349.14</v>
      </c>
      <c r="D7918" s="1">
        <f>IFERROR(__xludf.DUMMYFUNCTION("""COMPUTED_VALUE"""),2332.51)</f>
        <v>2332.51</v>
      </c>
      <c r="E7918" s="1">
        <f>IFERROR(__xludf.DUMMYFUNCTION("""COMPUTED_VALUE"""),2349.01)</f>
        <v>2349.01</v>
      </c>
      <c r="F7918" s="1">
        <f>IFERROR(__xludf.DUMMYFUNCTION("""COMPUTED_VALUE"""),0.0)</f>
        <v>0</v>
      </c>
    </row>
    <row r="7919">
      <c r="A7919" s="2">
        <f>IFERROR(__xludf.DUMMYFUNCTION("""COMPUTED_VALUE"""),42843.66666666667)</f>
        <v>42843.66667</v>
      </c>
      <c r="B7919" s="1">
        <f>IFERROR(__xludf.DUMMYFUNCTION("""COMPUTED_VALUE"""),2342.53)</f>
        <v>2342.53</v>
      </c>
      <c r="C7919" s="1">
        <f>IFERROR(__xludf.DUMMYFUNCTION("""COMPUTED_VALUE"""),2348.35)</f>
        <v>2348.35</v>
      </c>
      <c r="D7919" s="1">
        <f>IFERROR(__xludf.DUMMYFUNCTION("""COMPUTED_VALUE"""),2334.54)</f>
        <v>2334.54</v>
      </c>
      <c r="E7919" s="1">
        <f>IFERROR(__xludf.DUMMYFUNCTION("""COMPUTED_VALUE"""),2342.19)</f>
        <v>2342.19</v>
      </c>
      <c r="F7919" s="1">
        <f>IFERROR(__xludf.DUMMYFUNCTION("""COMPUTED_VALUE"""),0.0)</f>
        <v>0</v>
      </c>
    </row>
    <row r="7920">
      <c r="A7920" s="2">
        <f>IFERROR(__xludf.DUMMYFUNCTION("""COMPUTED_VALUE"""),42844.66666666667)</f>
        <v>42844.66667</v>
      </c>
      <c r="B7920" s="1">
        <f>IFERROR(__xludf.DUMMYFUNCTION("""COMPUTED_VALUE"""),2346.79)</f>
        <v>2346.79</v>
      </c>
      <c r="C7920" s="1">
        <f>IFERROR(__xludf.DUMMYFUNCTION("""COMPUTED_VALUE"""),2352.63)</f>
        <v>2352.63</v>
      </c>
      <c r="D7920" s="1">
        <f>IFERROR(__xludf.DUMMYFUNCTION("""COMPUTED_VALUE"""),2335.05)</f>
        <v>2335.05</v>
      </c>
      <c r="E7920" s="1">
        <f>IFERROR(__xludf.DUMMYFUNCTION("""COMPUTED_VALUE"""),2338.17)</f>
        <v>2338.17</v>
      </c>
      <c r="F7920" s="1">
        <f>IFERROR(__xludf.DUMMYFUNCTION("""COMPUTED_VALUE"""),0.0)</f>
        <v>0</v>
      </c>
    </row>
    <row r="7921">
      <c r="A7921" s="2">
        <f>IFERROR(__xludf.DUMMYFUNCTION("""COMPUTED_VALUE"""),42845.66666666667)</f>
        <v>42845.66667</v>
      </c>
      <c r="B7921" s="1">
        <f>IFERROR(__xludf.DUMMYFUNCTION("""COMPUTED_VALUE"""),2342.69)</f>
        <v>2342.69</v>
      </c>
      <c r="C7921" s="1">
        <f>IFERROR(__xludf.DUMMYFUNCTION("""COMPUTED_VALUE"""),2361.37)</f>
        <v>2361.37</v>
      </c>
      <c r="D7921" s="1">
        <f>IFERROR(__xludf.DUMMYFUNCTION("""COMPUTED_VALUE"""),2340.91)</f>
        <v>2340.91</v>
      </c>
      <c r="E7921" s="1">
        <f>IFERROR(__xludf.DUMMYFUNCTION("""COMPUTED_VALUE"""),2355.84)</f>
        <v>2355.84</v>
      </c>
      <c r="F7921" s="1">
        <f>IFERROR(__xludf.DUMMYFUNCTION("""COMPUTED_VALUE"""),0.0)</f>
        <v>0</v>
      </c>
    </row>
    <row r="7922">
      <c r="A7922" s="2">
        <f>IFERROR(__xludf.DUMMYFUNCTION("""COMPUTED_VALUE"""),42846.66666666667)</f>
        <v>42846.66667</v>
      </c>
      <c r="B7922" s="1">
        <f>IFERROR(__xludf.DUMMYFUNCTION("""COMPUTED_VALUE"""),2354.74)</f>
        <v>2354.74</v>
      </c>
      <c r="C7922" s="1">
        <f>IFERROR(__xludf.DUMMYFUNCTION("""COMPUTED_VALUE"""),2356.18)</f>
        <v>2356.18</v>
      </c>
      <c r="D7922" s="1">
        <f>IFERROR(__xludf.DUMMYFUNCTION("""COMPUTED_VALUE"""),2344.51)</f>
        <v>2344.51</v>
      </c>
      <c r="E7922" s="1">
        <f>IFERROR(__xludf.DUMMYFUNCTION("""COMPUTED_VALUE"""),2348.69)</f>
        <v>2348.69</v>
      </c>
      <c r="F7922" s="1">
        <f>IFERROR(__xludf.DUMMYFUNCTION("""COMPUTED_VALUE"""),0.0)</f>
        <v>0</v>
      </c>
    </row>
    <row r="7923">
      <c r="A7923" s="2">
        <f>IFERROR(__xludf.DUMMYFUNCTION("""COMPUTED_VALUE"""),42849.66666666667)</f>
        <v>42849.66667</v>
      </c>
      <c r="B7923" s="1">
        <f>IFERROR(__xludf.DUMMYFUNCTION("""COMPUTED_VALUE"""),2370.33)</f>
        <v>2370.33</v>
      </c>
      <c r="C7923" s="1">
        <f>IFERROR(__xludf.DUMMYFUNCTION("""COMPUTED_VALUE"""),2376.98)</f>
        <v>2376.98</v>
      </c>
      <c r="D7923" s="1">
        <f>IFERROR(__xludf.DUMMYFUNCTION("""COMPUTED_VALUE"""),2369.19)</f>
        <v>2369.19</v>
      </c>
      <c r="E7923" s="1">
        <f>IFERROR(__xludf.DUMMYFUNCTION("""COMPUTED_VALUE"""),2374.15)</f>
        <v>2374.15</v>
      </c>
      <c r="F7923" s="1">
        <f>IFERROR(__xludf.DUMMYFUNCTION("""COMPUTED_VALUE"""),0.0)</f>
        <v>0</v>
      </c>
    </row>
    <row r="7924">
      <c r="A7924" s="2">
        <f>IFERROR(__xludf.DUMMYFUNCTION("""COMPUTED_VALUE"""),42850.66666666667)</f>
        <v>42850.66667</v>
      </c>
      <c r="B7924" s="1">
        <f>IFERROR(__xludf.DUMMYFUNCTION("""COMPUTED_VALUE"""),2381.51)</f>
        <v>2381.51</v>
      </c>
      <c r="C7924" s="1">
        <f>IFERROR(__xludf.DUMMYFUNCTION("""COMPUTED_VALUE"""),2392.48)</f>
        <v>2392.48</v>
      </c>
      <c r="D7924" s="1">
        <f>IFERROR(__xludf.DUMMYFUNCTION("""COMPUTED_VALUE"""),2381.15)</f>
        <v>2381.15</v>
      </c>
      <c r="E7924" s="1">
        <f>IFERROR(__xludf.DUMMYFUNCTION("""COMPUTED_VALUE"""),2388.61)</f>
        <v>2388.61</v>
      </c>
      <c r="F7924" s="1">
        <f>IFERROR(__xludf.DUMMYFUNCTION("""COMPUTED_VALUE"""),0.0)</f>
        <v>0</v>
      </c>
    </row>
    <row r="7925">
      <c r="A7925" s="2">
        <f>IFERROR(__xludf.DUMMYFUNCTION("""COMPUTED_VALUE"""),42851.66666666667)</f>
        <v>42851.66667</v>
      </c>
      <c r="B7925" s="1">
        <f>IFERROR(__xludf.DUMMYFUNCTION("""COMPUTED_VALUE"""),2388.98)</f>
        <v>2388.98</v>
      </c>
      <c r="C7925" s="1">
        <f>IFERROR(__xludf.DUMMYFUNCTION("""COMPUTED_VALUE"""),2398.16)</f>
        <v>2398.16</v>
      </c>
      <c r="D7925" s="1">
        <f>IFERROR(__xludf.DUMMYFUNCTION("""COMPUTED_VALUE"""),2386.76)</f>
        <v>2386.76</v>
      </c>
      <c r="E7925" s="1">
        <f>IFERROR(__xludf.DUMMYFUNCTION("""COMPUTED_VALUE"""),2387.45)</f>
        <v>2387.45</v>
      </c>
      <c r="F7925" s="1">
        <f>IFERROR(__xludf.DUMMYFUNCTION("""COMPUTED_VALUE"""),0.0)</f>
        <v>0</v>
      </c>
    </row>
    <row r="7926">
      <c r="A7926" s="2">
        <f>IFERROR(__xludf.DUMMYFUNCTION("""COMPUTED_VALUE"""),42852.66666666667)</f>
        <v>42852.66667</v>
      </c>
      <c r="B7926" s="1">
        <f>IFERROR(__xludf.DUMMYFUNCTION("""COMPUTED_VALUE"""),2389.7)</f>
        <v>2389.7</v>
      </c>
      <c r="C7926" s="1">
        <f>IFERROR(__xludf.DUMMYFUNCTION("""COMPUTED_VALUE"""),2392.1)</f>
        <v>2392.1</v>
      </c>
      <c r="D7926" s="1">
        <f>IFERROR(__xludf.DUMMYFUNCTION("""COMPUTED_VALUE"""),2382.68)</f>
        <v>2382.68</v>
      </c>
      <c r="E7926" s="1">
        <f>IFERROR(__xludf.DUMMYFUNCTION("""COMPUTED_VALUE"""),2388.77)</f>
        <v>2388.77</v>
      </c>
      <c r="F7926" s="1">
        <f>IFERROR(__xludf.DUMMYFUNCTION("""COMPUTED_VALUE"""),0.0)</f>
        <v>0</v>
      </c>
    </row>
    <row r="7927">
      <c r="A7927" s="2">
        <f>IFERROR(__xludf.DUMMYFUNCTION("""COMPUTED_VALUE"""),42853.66666666667)</f>
        <v>42853.66667</v>
      </c>
      <c r="B7927" s="1">
        <f>IFERROR(__xludf.DUMMYFUNCTION("""COMPUTED_VALUE"""),2393.68)</f>
        <v>2393.68</v>
      </c>
      <c r="C7927" s="1">
        <f>IFERROR(__xludf.DUMMYFUNCTION("""COMPUTED_VALUE"""),2393.68)</f>
        <v>2393.68</v>
      </c>
      <c r="D7927" s="1">
        <f>IFERROR(__xludf.DUMMYFUNCTION("""COMPUTED_VALUE"""),2382.36)</f>
        <v>2382.36</v>
      </c>
      <c r="E7927" s="1">
        <f>IFERROR(__xludf.DUMMYFUNCTION("""COMPUTED_VALUE"""),2384.2)</f>
        <v>2384.2</v>
      </c>
      <c r="F7927" s="1">
        <f>IFERROR(__xludf.DUMMYFUNCTION("""COMPUTED_VALUE"""),0.0)</f>
        <v>0</v>
      </c>
    </row>
    <row r="7928">
      <c r="A7928" s="2">
        <f>IFERROR(__xludf.DUMMYFUNCTION("""COMPUTED_VALUE"""),42856.66666666667)</f>
        <v>42856.66667</v>
      </c>
      <c r="B7928" s="1">
        <f>IFERROR(__xludf.DUMMYFUNCTION("""COMPUTED_VALUE"""),2388.5)</f>
        <v>2388.5</v>
      </c>
      <c r="C7928" s="1">
        <f>IFERROR(__xludf.DUMMYFUNCTION("""COMPUTED_VALUE"""),2394.49)</f>
        <v>2394.49</v>
      </c>
      <c r="D7928" s="1">
        <f>IFERROR(__xludf.DUMMYFUNCTION("""COMPUTED_VALUE"""),2384.83)</f>
        <v>2384.83</v>
      </c>
      <c r="E7928" s="1">
        <f>IFERROR(__xludf.DUMMYFUNCTION("""COMPUTED_VALUE"""),2388.33)</f>
        <v>2388.33</v>
      </c>
      <c r="F7928" s="1">
        <f>IFERROR(__xludf.DUMMYFUNCTION("""COMPUTED_VALUE"""),0.0)</f>
        <v>0</v>
      </c>
    </row>
    <row r="7929">
      <c r="A7929" s="2">
        <f>IFERROR(__xludf.DUMMYFUNCTION("""COMPUTED_VALUE"""),42857.66666666667)</f>
        <v>42857.66667</v>
      </c>
      <c r="B7929" s="1">
        <f>IFERROR(__xludf.DUMMYFUNCTION("""COMPUTED_VALUE"""),2391.05)</f>
        <v>2391.05</v>
      </c>
      <c r="C7929" s="1">
        <f>IFERROR(__xludf.DUMMYFUNCTION("""COMPUTED_VALUE"""),2392.93)</f>
        <v>2392.93</v>
      </c>
      <c r="D7929" s="1">
        <f>IFERROR(__xludf.DUMMYFUNCTION("""COMPUTED_VALUE"""),2385.82)</f>
        <v>2385.82</v>
      </c>
      <c r="E7929" s="1">
        <f>IFERROR(__xludf.DUMMYFUNCTION("""COMPUTED_VALUE"""),2391.17)</f>
        <v>2391.17</v>
      </c>
      <c r="F7929" s="1">
        <f>IFERROR(__xludf.DUMMYFUNCTION("""COMPUTED_VALUE"""),0.0)</f>
        <v>0</v>
      </c>
    </row>
    <row r="7930">
      <c r="A7930" s="2">
        <f>IFERROR(__xludf.DUMMYFUNCTION("""COMPUTED_VALUE"""),42858.66666666667)</f>
        <v>42858.66667</v>
      </c>
      <c r="B7930" s="1">
        <f>IFERROR(__xludf.DUMMYFUNCTION("""COMPUTED_VALUE"""),2386.5)</f>
        <v>2386.5</v>
      </c>
      <c r="C7930" s="1">
        <f>IFERROR(__xludf.DUMMYFUNCTION("""COMPUTED_VALUE"""),2389.82)</f>
        <v>2389.82</v>
      </c>
      <c r="D7930" s="1">
        <f>IFERROR(__xludf.DUMMYFUNCTION("""COMPUTED_VALUE"""),2379.75)</f>
        <v>2379.75</v>
      </c>
      <c r="E7930" s="1">
        <f>IFERROR(__xludf.DUMMYFUNCTION("""COMPUTED_VALUE"""),2388.13)</f>
        <v>2388.13</v>
      </c>
      <c r="F7930" s="1">
        <f>IFERROR(__xludf.DUMMYFUNCTION("""COMPUTED_VALUE"""),0.0)</f>
        <v>0</v>
      </c>
    </row>
    <row r="7931">
      <c r="A7931" s="2">
        <f>IFERROR(__xludf.DUMMYFUNCTION("""COMPUTED_VALUE"""),42859.66666666667)</f>
        <v>42859.66667</v>
      </c>
      <c r="B7931" s="1">
        <f>IFERROR(__xludf.DUMMYFUNCTION("""COMPUTED_VALUE"""),2389.79)</f>
        <v>2389.79</v>
      </c>
      <c r="C7931" s="1">
        <f>IFERROR(__xludf.DUMMYFUNCTION("""COMPUTED_VALUE"""),2391.43)</f>
        <v>2391.43</v>
      </c>
      <c r="D7931" s="1">
        <f>IFERROR(__xludf.DUMMYFUNCTION("""COMPUTED_VALUE"""),2380.35)</f>
        <v>2380.35</v>
      </c>
      <c r="E7931" s="1">
        <f>IFERROR(__xludf.DUMMYFUNCTION("""COMPUTED_VALUE"""),2389.52)</f>
        <v>2389.52</v>
      </c>
      <c r="F7931" s="1">
        <f>IFERROR(__xludf.DUMMYFUNCTION("""COMPUTED_VALUE"""),0.0)</f>
        <v>0</v>
      </c>
    </row>
    <row r="7932">
      <c r="A7932" s="2">
        <f>IFERROR(__xludf.DUMMYFUNCTION("""COMPUTED_VALUE"""),42860.66666666667)</f>
        <v>42860.66667</v>
      </c>
      <c r="B7932" s="1">
        <f>IFERROR(__xludf.DUMMYFUNCTION("""COMPUTED_VALUE"""),2392.37)</f>
        <v>2392.37</v>
      </c>
      <c r="C7932" s="1">
        <f>IFERROR(__xludf.DUMMYFUNCTION("""COMPUTED_VALUE"""),2399.29)</f>
        <v>2399.29</v>
      </c>
      <c r="D7932" s="1">
        <f>IFERROR(__xludf.DUMMYFUNCTION("""COMPUTED_VALUE"""),2389.38)</f>
        <v>2389.38</v>
      </c>
      <c r="E7932" s="1">
        <f>IFERROR(__xludf.DUMMYFUNCTION("""COMPUTED_VALUE"""),2399.29)</f>
        <v>2399.29</v>
      </c>
      <c r="F7932" s="1">
        <f>IFERROR(__xludf.DUMMYFUNCTION("""COMPUTED_VALUE"""),0.0)</f>
        <v>0</v>
      </c>
    </row>
    <row r="7933">
      <c r="A7933" s="2">
        <f>IFERROR(__xludf.DUMMYFUNCTION("""COMPUTED_VALUE"""),42863.66666666667)</f>
        <v>42863.66667</v>
      </c>
      <c r="B7933" s="1">
        <f>IFERROR(__xludf.DUMMYFUNCTION("""COMPUTED_VALUE"""),2399.94)</f>
        <v>2399.94</v>
      </c>
      <c r="C7933" s="1">
        <f>IFERROR(__xludf.DUMMYFUNCTION("""COMPUTED_VALUE"""),2401.36)</f>
        <v>2401.36</v>
      </c>
      <c r="D7933" s="1">
        <f>IFERROR(__xludf.DUMMYFUNCTION("""COMPUTED_VALUE"""),2393.92)</f>
        <v>2393.92</v>
      </c>
      <c r="E7933" s="1">
        <f>IFERROR(__xludf.DUMMYFUNCTION("""COMPUTED_VALUE"""),2399.38)</f>
        <v>2399.38</v>
      </c>
      <c r="F7933" s="1">
        <f>IFERROR(__xludf.DUMMYFUNCTION("""COMPUTED_VALUE"""),0.0)</f>
        <v>0</v>
      </c>
    </row>
    <row r="7934">
      <c r="A7934" s="2">
        <f>IFERROR(__xludf.DUMMYFUNCTION("""COMPUTED_VALUE"""),42864.66666666667)</f>
        <v>42864.66667</v>
      </c>
      <c r="B7934" s="1">
        <f>IFERROR(__xludf.DUMMYFUNCTION("""COMPUTED_VALUE"""),2401.58)</f>
        <v>2401.58</v>
      </c>
      <c r="C7934" s="1">
        <f>IFERROR(__xludf.DUMMYFUNCTION("""COMPUTED_VALUE"""),2403.87)</f>
        <v>2403.87</v>
      </c>
      <c r="D7934" s="1">
        <f>IFERROR(__xludf.DUMMYFUNCTION("""COMPUTED_VALUE"""),2392.44)</f>
        <v>2392.44</v>
      </c>
      <c r="E7934" s="1">
        <f>IFERROR(__xludf.DUMMYFUNCTION("""COMPUTED_VALUE"""),2396.92)</f>
        <v>2396.92</v>
      </c>
      <c r="F7934" s="1">
        <f>IFERROR(__xludf.DUMMYFUNCTION("""COMPUTED_VALUE"""),0.0)</f>
        <v>0</v>
      </c>
    </row>
    <row r="7935">
      <c r="A7935" s="2">
        <f>IFERROR(__xludf.DUMMYFUNCTION("""COMPUTED_VALUE"""),42865.66666666667)</f>
        <v>42865.66667</v>
      </c>
      <c r="B7935" s="1">
        <f>IFERROR(__xludf.DUMMYFUNCTION("""COMPUTED_VALUE"""),2396.79)</f>
        <v>2396.79</v>
      </c>
      <c r="C7935" s="1">
        <f>IFERROR(__xludf.DUMMYFUNCTION("""COMPUTED_VALUE"""),2399.74)</f>
        <v>2399.74</v>
      </c>
      <c r="D7935" s="1">
        <f>IFERROR(__xludf.DUMMYFUNCTION("""COMPUTED_VALUE"""),2392.79)</f>
        <v>2392.79</v>
      </c>
      <c r="E7935" s="1">
        <f>IFERROR(__xludf.DUMMYFUNCTION("""COMPUTED_VALUE"""),2399.63)</f>
        <v>2399.63</v>
      </c>
      <c r="F7935" s="1">
        <f>IFERROR(__xludf.DUMMYFUNCTION("""COMPUTED_VALUE"""),0.0)</f>
        <v>0</v>
      </c>
    </row>
    <row r="7936">
      <c r="A7936" s="2">
        <f>IFERROR(__xludf.DUMMYFUNCTION("""COMPUTED_VALUE"""),42866.66666666667)</f>
        <v>42866.66667</v>
      </c>
      <c r="B7936" s="1">
        <f>IFERROR(__xludf.DUMMYFUNCTION("""COMPUTED_VALUE"""),2394.84)</f>
        <v>2394.84</v>
      </c>
      <c r="C7936" s="1">
        <f>IFERROR(__xludf.DUMMYFUNCTION("""COMPUTED_VALUE"""),2395.72)</f>
        <v>2395.72</v>
      </c>
      <c r="D7936" s="1">
        <f>IFERROR(__xludf.DUMMYFUNCTION("""COMPUTED_VALUE"""),2381.74)</f>
        <v>2381.74</v>
      </c>
      <c r="E7936" s="1">
        <f>IFERROR(__xludf.DUMMYFUNCTION("""COMPUTED_VALUE"""),2394.44)</f>
        <v>2394.44</v>
      </c>
      <c r="F7936" s="1">
        <f>IFERROR(__xludf.DUMMYFUNCTION("""COMPUTED_VALUE"""),0.0)</f>
        <v>0</v>
      </c>
    </row>
    <row r="7937">
      <c r="A7937" s="2">
        <f>IFERROR(__xludf.DUMMYFUNCTION("""COMPUTED_VALUE"""),42867.66666666667)</f>
        <v>42867.66667</v>
      </c>
      <c r="B7937" s="1">
        <f>IFERROR(__xludf.DUMMYFUNCTION("""COMPUTED_VALUE"""),2392.44)</f>
        <v>2392.44</v>
      </c>
      <c r="C7937" s="1">
        <f>IFERROR(__xludf.DUMMYFUNCTION("""COMPUTED_VALUE"""),2392.44)</f>
        <v>2392.44</v>
      </c>
      <c r="D7937" s="1">
        <f>IFERROR(__xludf.DUMMYFUNCTION("""COMPUTED_VALUE"""),2387.19)</f>
        <v>2387.19</v>
      </c>
      <c r="E7937" s="1">
        <f>IFERROR(__xludf.DUMMYFUNCTION("""COMPUTED_VALUE"""),2390.9)</f>
        <v>2390.9</v>
      </c>
      <c r="F7937" s="1">
        <f>IFERROR(__xludf.DUMMYFUNCTION("""COMPUTED_VALUE"""),0.0)</f>
        <v>0</v>
      </c>
    </row>
    <row r="7938">
      <c r="A7938" s="2">
        <f>IFERROR(__xludf.DUMMYFUNCTION("""COMPUTED_VALUE"""),42870.66666666667)</f>
        <v>42870.66667</v>
      </c>
      <c r="B7938" s="1">
        <f>IFERROR(__xludf.DUMMYFUNCTION("""COMPUTED_VALUE"""),2393.98)</f>
        <v>2393.98</v>
      </c>
      <c r="C7938" s="1">
        <f>IFERROR(__xludf.DUMMYFUNCTION("""COMPUTED_VALUE"""),2404.05)</f>
        <v>2404.05</v>
      </c>
      <c r="D7938" s="1">
        <f>IFERROR(__xludf.DUMMYFUNCTION("""COMPUTED_VALUE"""),2393.94)</f>
        <v>2393.94</v>
      </c>
      <c r="E7938" s="1">
        <f>IFERROR(__xludf.DUMMYFUNCTION("""COMPUTED_VALUE"""),2402.32)</f>
        <v>2402.32</v>
      </c>
      <c r="F7938" s="1">
        <f>IFERROR(__xludf.DUMMYFUNCTION("""COMPUTED_VALUE"""),0.0)</f>
        <v>0</v>
      </c>
    </row>
    <row r="7939">
      <c r="A7939" s="2">
        <f>IFERROR(__xludf.DUMMYFUNCTION("""COMPUTED_VALUE"""),42871.66666666667)</f>
        <v>42871.66667</v>
      </c>
      <c r="B7939" s="1">
        <f>IFERROR(__xludf.DUMMYFUNCTION("""COMPUTED_VALUE"""),2404.55)</f>
        <v>2404.55</v>
      </c>
      <c r="C7939" s="1">
        <f>IFERROR(__xludf.DUMMYFUNCTION("""COMPUTED_VALUE"""),2405.77)</f>
        <v>2405.77</v>
      </c>
      <c r="D7939" s="1">
        <f>IFERROR(__xludf.DUMMYFUNCTION("""COMPUTED_VALUE"""),2396.05)</f>
        <v>2396.05</v>
      </c>
      <c r="E7939" s="1">
        <f>IFERROR(__xludf.DUMMYFUNCTION("""COMPUTED_VALUE"""),2400.67)</f>
        <v>2400.67</v>
      </c>
      <c r="F7939" s="1">
        <f>IFERROR(__xludf.DUMMYFUNCTION("""COMPUTED_VALUE"""),0.0)</f>
        <v>0</v>
      </c>
    </row>
    <row r="7940">
      <c r="A7940" s="2">
        <f>IFERROR(__xludf.DUMMYFUNCTION("""COMPUTED_VALUE"""),42872.66666666667)</f>
        <v>42872.66667</v>
      </c>
      <c r="B7940" s="1">
        <f>IFERROR(__xludf.DUMMYFUNCTION("""COMPUTED_VALUE"""),2382.95)</f>
        <v>2382.95</v>
      </c>
      <c r="C7940" s="1">
        <f>IFERROR(__xludf.DUMMYFUNCTION("""COMPUTED_VALUE"""),2384.87)</f>
        <v>2384.87</v>
      </c>
      <c r="D7940" s="1">
        <f>IFERROR(__xludf.DUMMYFUNCTION("""COMPUTED_VALUE"""),2356.21)</f>
        <v>2356.21</v>
      </c>
      <c r="E7940" s="1">
        <f>IFERROR(__xludf.DUMMYFUNCTION("""COMPUTED_VALUE"""),2357.03)</f>
        <v>2357.03</v>
      </c>
      <c r="F7940" s="1">
        <f>IFERROR(__xludf.DUMMYFUNCTION("""COMPUTED_VALUE"""),0.0)</f>
        <v>0</v>
      </c>
    </row>
    <row r="7941">
      <c r="A7941" s="2">
        <f>IFERROR(__xludf.DUMMYFUNCTION("""COMPUTED_VALUE"""),42873.66666666667)</f>
        <v>42873.66667</v>
      </c>
      <c r="B7941" s="1">
        <f>IFERROR(__xludf.DUMMYFUNCTION("""COMPUTED_VALUE"""),2354.69)</f>
        <v>2354.69</v>
      </c>
      <c r="C7941" s="1">
        <f>IFERROR(__xludf.DUMMYFUNCTION("""COMPUTED_VALUE"""),2375.74)</f>
        <v>2375.74</v>
      </c>
      <c r="D7941" s="1">
        <f>IFERROR(__xludf.DUMMYFUNCTION("""COMPUTED_VALUE"""),2352.72)</f>
        <v>2352.72</v>
      </c>
      <c r="E7941" s="1">
        <f>IFERROR(__xludf.DUMMYFUNCTION("""COMPUTED_VALUE"""),2365.72)</f>
        <v>2365.72</v>
      </c>
      <c r="F7941" s="1">
        <f>IFERROR(__xludf.DUMMYFUNCTION("""COMPUTED_VALUE"""),0.0)</f>
        <v>0</v>
      </c>
    </row>
    <row r="7942">
      <c r="A7942" s="2">
        <f>IFERROR(__xludf.DUMMYFUNCTION("""COMPUTED_VALUE"""),42874.66666666667)</f>
        <v>42874.66667</v>
      </c>
      <c r="B7942" s="1">
        <f>IFERROR(__xludf.DUMMYFUNCTION("""COMPUTED_VALUE"""),2371.37)</f>
        <v>2371.37</v>
      </c>
      <c r="C7942" s="1">
        <f>IFERROR(__xludf.DUMMYFUNCTION("""COMPUTED_VALUE"""),2389.06)</f>
        <v>2389.06</v>
      </c>
      <c r="D7942" s="1">
        <f>IFERROR(__xludf.DUMMYFUNCTION("""COMPUTED_VALUE"""),2370.43)</f>
        <v>2370.43</v>
      </c>
      <c r="E7942" s="1">
        <f>IFERROR(__xludf.DUMMYFUNCTION("""COMPUTED_VALUE"""),2381.73)</f>
        <v>2381.73</v>
      </c>
      <c r="F7942" s="1">
        <f>IFERROR(__xludf.DUMMYFUNCTION("""COMPUTED_VALUE"""),0.0)</f>
        <v>0</v>
      </c>
    </row>
    <row r="7943">
      <c r="A7943" s="2">
        <f>IFERROR(__xludf.DUMMYFUNCTION("""COMPUTED_VALUE"""),42877.66666666667)</f>
        <v>42877.66667</v>
      </c>
      <c r="B7943" s="1">
        <f>IFERROR(__xludf.DUMMYFUNCTION("""COMPUTED_VALUE"""),2387.21)</f>
        <v>2387.21</v>
      </c>
      <c r="C7943" s="1">
        <f>IFERROR(__xludf.DUMMYFUNCTION("""COMPUTED_VALUE"""),2395.46)</f>
        <v>2395.46</v>
      </c>
      <c r="D7943" s="1">
        <f>IFERROR(__xludf.DUMMYFUNCTION("""COMPUTED_VALUE"""),2386.92)</f>
        <v>2386.92</v>
      </c>
      <c r="E7943" s="1">
        <f>IFERROR(__xludf.DUMMYFUNCTION("""COMPUTED_VALUE"""),2394.02)</f>
        <v>2394.02</v>
      </c>
      <c r="F7943" s="1">
        <f>IFERROR(__xludf.DUMMYFUNCTION("""COMPUTED_VALUE"""),0.0)</f>
        <v>0</v>
      </c>
    </row>
    <row r="7944">
      <c r="A7944" s="2">
        <f>IFERROR(__xludf.DUMMYFUNCTION("""COMPUTED_VALUE"""),42878.66666666667)</f>
        <v>42878.66667</v>
      </c>
      <c r="B7944" s="1">
        <f>IFERROR(__xludf.DUMMYFUNCTION("""COMPUTED_VALUE"""),2397.04)</f>
        <v>2397.04</v>
      </c>
      <c r="C7944" s="1">
        <f>IFERROR(__xludf.DUMMYFUNCTION("""COMPUTED_VALUE"""),2400.85)</f>
        <v>2400.85</v>
      </c>
      <c r="D7944" s="1">
        <f>IFERROR(__xludf.DUMMYFUNCTION("""COMPUTED_VALUE"""),2393.88)</f>
        <v>2393.88</v>
      </c>
      <c r="E7944" s="1">
        <f>IFERROR(__xludf.DUMMYFUNCTION("""COMPUTED_VALUE"""),2398.42)</f>
        <v>2398.42</v>
      </c>
      <c r="F7944" s="1">
        <f>IFERROR(__xludf.DUMMYFUNCTION("""COMPUTED_VALUE"""),0.0)</f>
        <v>0</v>
      </c>
    </row>
    <row r="7945">
      <c r="A7945" s="2">
        <f>IFERROR(__xludf.DUMMYFUNCTION("""COMPUTED_VALUE"""),42879.66666666667)</f>
        <v>42879.66667</v>
      </c>
      <c r="B7945" s="1">
        <f>IFERROR(__xludf.DUMMYFUNCTION("""COMPUTED_VALUE"""),2401.41)</f>
        <v>2401.41</v>
      </c>
      <c r="C7945" s="1">
        <f>IFERROR(__xludf.DUMMYFUNCTION("""COMPUTED_VALUE"""),2405.58)</f>
        <v>2405.58</v>
      </c>
      <c r="D7945" s="1">
        <f>IFERROR(__xludf.DUMMYFUNCTION("""COMPUTED_VALUE"""),2397.99)</f>
        <v>2397.99</v>
      </c>
      <c r="E7945" s="1">
        <f>IFERROR(__xludf.DUMMYFUNCTION("""COMPUTED_VALUE"""),2404.39)</f>
        <v>2404.39</v>
      </c>
      <c r="F7945" s="1">
        <f>IFERROR(__xludf.DUMMYFUNCTION("""COMPUTED_VALUE"""),0.0)</f>
        <v>0</v>
      </c>
    </row>
    <row r="7946">
      <c r="A7946" s="2">
        <f>IFERROR(__xludf.DUMMYFUNCTION("""COMPUTED_VALUE"""),42880.66666666667)</f>
        <v>42880.66667</v>
      </c>
      <c r="B7946" s="1">
        <f>IFERROR(__xludf.DUMMYFUNCTION("""COMPUTED_VALUE"""),2409.54)</f>
        <v>2409.54</v>
      </c>
      <c r="C7946" s="1">
        <f>IFERROR(__xludf.DUMMYFUNCTION("""COMPUTED_VALUE"""),2418.71)</f>
        <v>2418.71</v>
      </c>
      <c r="D7946" s="1">
        <f>IFERROR(__xludf.DUMMYFUNCTION("""COMPUTED_VALUE"""),2408.01)</f>
        <v>2408.01</v>
      </c>
      <c r="E7946" s="1">
        <f>IFERROR(__xludf.DUMMYFUNCTION("""COMPUTED_VALUE"""),2415.07)</f>
        <v>2415.07</v>
      </c>
      <c r="F7946" s="1">
        <f>IFERROR(__xludf.DUMMYFUNCTION("""COMPUTED_VALUE"""),0.0)</f>
        <v>0</v>
      </c>
    </row>
    <row r="7947">
      <c r="A7947" s="2">
        <f>IFERROR(__xludf.DUMMYFUNCTION("""COMPUTED_VALUE"""),42881.66666666667)</f>
        <v>42881.66667</v>
      </c>
      <c r="B7947" s="1">
        <f>IFERROR(__xludf.DUMMYFUNCTION("""COMPUTED_VALUE"""),2414.5)</f>
        <v>2414.5</v>
      </c>
      <c r="C7947" s="1">
        <f>IFERROR(__xludf.DUMMYFUNCTION("""COMPUTED_VALUE"""),2416.68)</f>
        <v>2416.68</v>
      </c>
      <c r="D7947" s="1">
        <f>IFERROR(__xludf.DUMMYFUNCTION("""COMPUTED_VALUE"""),2412.2)</f>
        <v>2412.2</v>
      </c>
      <c r="E7947" s="1">
        <f>IFERROR(__xludf.DUMMYFUNCTION("""COMPUTED_VALUE"""),2415.82)</f>
        <v>2415.82</v>
      </c>
      <c r="F7947" s="1">
        <f>IFERROR(__xludf.DUMMYFUNCTION("""COMPUTED_VALUE"""),0.0)</f>
        <v>0</v>
      </c>
    </row>
    <row r="7948">
      <c r="A7948" s="2">
        <f>IFERROR(__xludf.DUMMYFUNCTION("""COMPUTED_VALUE"""),42885.66666666667)</f>
        <v>42885.66667</v>
      </c>
      <c r="B7948" s="1">
        <f>IFERROR(__xludf.DUMMYFUNCTION("""COMPUTED_VALUE"""),2411.67)</f>
        <v>2411.67</v>
      </c>
      <c r="C7948" s="1">
        <f>IFERROR(__xludf.DUMMYFUNCTION("""COMPUTED_VALUE"""),2415.26)</f>
        <v>2415.26</v>
      </c>
      <c r="D7948" s="1">
        <f>IFERROR(__xludf.DUMMYFUNCTION("""COMPUTED_VALUE"""),2409.43)</f>
        <v>2409.43</v>
      </c>
      <c r="E7948" s="1">
        <f>IFERROR(__xludf.DUMMYFUNCTION("""COMPUTED_VALUE"""),2412.91)</f>
        <v>2412.91</v>
      </c>
      <c r="F7948" s="1">
        <f>IFERROR(__xludf.DUMMYFUNCTION("""COMPUTED_VALUE"""),0.0)</f>
        <v>0</v>
      </c>
    </row>
    <row r="7949">
      <c r="A7949" s="2">
        <f>IFERROR(__xludf.DUMMYFUNCTION("""COMPUTED_VALUE"""),42886.66666666667)</f>
        <v>42886.66667</v>
      </c>
      <c r="B7949" s="1">
        <f>IFERROR(__xludf.DUMMYFUNCTION("""COMPUTED_VALUE"""),2415.63)</f>
        <v>2415.63</v>
      </c>
      <c r="C7949" s="1">
        <f>IFERROR(__xludf.DUMMYFUNCTION("""COMPUTED_VALUE"""),2415.99)</f>
        <v>2415.99</v>
      </c>
      <c r="D7949" s="1">
        <f>IFERROR(__xludf.DUMMYFUNCTION("""COMPUTED_VALUE"""),2403.59)</f>
        <v>2403.59</v>
      </c>
      <c r="E7949" s="1">
        <f>IFERROR(__xludf.DUMMYFUNCTION("""COMPUTED_VALUE"""),2411.8)</f>
        <v>2411.8</v>
      </c>
      <c r="F7949" s="1">
        <f>IFERROR(__xludf.DUMMYFUNCTION("""COMPUTED_VALUE"""),0.0)</f>
        <v>0</v>
      </c>
    </row>
    <row r="7950">
      <c r="A7950" s="2">
        <f>IFERROR(__xludf.DUMMYFUNCTION("""COMPUTED_VALUE"""),42887.66666666667)</f>
        <v>42887.66667</v>
      </c>
      <c r="B7950" s="1">
        <f>IFERROR(__xludf.DUMMYFUNCTION("""COMPUTED_VALUE"""),2415.65)</f>
        <v>2415.65</v>
      </c>
      <c r="C7950" s="1">
        <f>IFERROR(__xludf.DUMMYFUNCTION("""COMPUTED_VALUE"""),2430.06)</f>
        <v>2430.06</v>
      </c>
      <c r="D7950" s="1">
        <f>IFERROR(__xludf.DUMMYFUNCTION("""COMPUTED_VALUE"""),2413.54)</f>
        <v>2413.54</v>
      </c>
      <c r="E7950" s="1">
        <f>IFERROR(__xludf.DUMMYFUNCTION("""COMPUTED_VALUE"""),2430.06)</f>
        <v>2430.06</v>
      </c>
      <c r="F7950" s="1">
        <f>IFERROR(__xludf.DUMMYFUNCTION("""COMPUTED_VALUE"""),0.0)</f>
        <v>0</v>
      </c>
    </row>
    <row r="7951">
      <c r="A7951" s="2">
        <f>IFERROR(__xludf.DUMMYFUNCTION("""COMPUTED_VALUE"""),42888.66666666667)</f>
        <v>42888.66667</v>
      </c>
      <c r="B7951" s="1">
        <f>IFERROR(__xludf.DUMMYFUNCTION("""COMPUTED_VALUE"""),2431.28)</f>
        <v>2431.28</v>
      </c>
      <c r="C7951" s="1">
        <f>IFERROR(__xludf.DUMMYFUNCTION("""COMPUTED_VALUE"""),2440.23)</f>
        <v>2440.23</v>
      </c>
      <c r="D7951" s="1">
        <f>IFERROR(__xludf.DUMMYFUNCTION("""COMPUTED_VALUE"""),2427.71)</f>
        <v>2427.71</v>
      </c>
      <c r="E7951" s="1">
        <f>IFERROR(__xludf.DUMMYFUNCTION("""COMPUTED_VALUE"""),2439.07)</f>
        <v>2439.07</v>
      </c>
      <c r="F7951" s="1">
        <f>IFERROR(__xludf.DUMMYFUNCTION("""COMPUTED_VALUE"""),0.0)</f>
        <v>0</v>
      </c>
    </row>
    <row r="7952">
      <c r="A7952" s="2">
        <f>IFERROR(__xludf.DUMMYFUNCTION("""COMPUTED_VALUE"""),42891.66666666667)</f>
        <v>42891.66667</v>
      </c>
      <c r="B7952" s="1">
        <f>IFERROR(__xludf.DUMMYFUNCTION("""COMPUTED_VALUE"""),2437.83)</f>
        <v>2437.83</v>
      </c>
      <c r="C7952" s="1">
        <f>IFERROR(__xludf.DUMMYFUNCTION("""COMPUTED_VALUE"""),2439.55)</f>
        <v>2439.55</v>
      </c>
      <c r="D7952" s="1">
        <f>IFERROR(__xludf.DUMMYFUNCTION("""COMPUTED_VALUE"""),2434.32)</f>
        <v>2434.32</v>
      </c>
      <c r="E7952" s="1">
        <f>IFERROR(__xludf.DUMMYFUNCTION("""COMPUTED_VALUE"""),2436.1)</f>
        <v>2436.1</v>
      </c>
      <c r="F7952" s="1">
        <f>IFERROR(__xludf.DUMMYFUNCTION("""COMPUTED_VALUE"""),0.0)</f>
        <v>0</v>
      </c>
    </row>
    <row r="7953">
      <c r="A7953" s="2">
        <f>IFERROR(__xludf.DUMMYFUNCTION("""COMPUTED_VALUE"""),42892.66666666667)</f>
        <v>42892.66667</v>
      </c>
      <c r="B7953" s="1">
        <f>IFERROR(__xludf.DUMMYFUNCTION("""COMPUTED_VALUE"""),2431.92)</f>
        <v>2431.92</v>
      </c>
      <c r="C7953" s="1">
        <f>IFERROR(__xludf.DUMMYFUNCTION("""COMPUTED_VALUE"""),2436.21)</f>
        <v>2436.21</v>
      </c>
      <c r="D7953" s="1">
        <f>IFERROR(__xludf.DUMMYFUNCTION("""COMPUTED_VALUE"""),2428.12)</f>
        <v>2428.12</v>
      </c>
      <c r="E7953" s="1">
        <f>IFERROR(__xludf.DUMMYFUNCTION("""COMPUTED_VALUE"""),2429.33)</f>
        <v>2429.33</v>
      </c>
      <c r="F7953" s="1">
        <f>IFERROR(__xludf.DUMMYFUNCTION("""COMPUTED_VALUE"""),0.0)</f>
        <v>0</v>
      </c>
    </row>
    <row r="7954">
      <c r="A7954" s="2">
        <f>IFERROR(__xludf.DUMMYFUNCTION("""COMPUTED_VALUE"""),42893.66666666667)</f>
        <v>42893.66667</v>
      </c>
      <c r="B7954" s="1">
        <f>IFERROR(__xludf.DUMMYFUNCTION("""COMPUTED_VALUE"""),2432.03)</f>
        <v>2432.03</v>
      </c>
      <c r="C7954" s="1">
        <f>IFERROR(__xludf.DUMMYFUNCTION("""COMPUTED_VALUE"""),2435.28)</f>
        <v>2435.28</v>
      </c>
      <c r="D7954" s="1">
        <f>IFERROR(__xludf.DUMMYFUNCTION("""COMPUTED_VALUE"""),2424.75)</f>
        <v>2424.75</v>
      </c>
      <c r="E7954" s="1">
        <f>IFERROR(__xludf.DUMMYFUNCTION("""COMPUTED_VALUE"""),2433.14)</f>
        <v>2433.14</v>
      </c>
      <c r="F7954" s="1">
        <f>IFERROR(__xludf.DUMMYFUNCTION("""COMPUTED_VALUE"""),0.0)</f>
        <v>0</v>
      </c>
    </row>
    <row r="7955">
      <c r="A7955" s="2">
        <f>IFERROR(__xludf.DUMMYFUNCTION("""COMPUTED_VALUE"""),42894.66666666667)</f>
        <v>42894.66667</v>
      </c>
      <c r="B7955" s="1">
        <f>IFERROR(__xludf.DUMMYFUNCTION("""COMPUTED_VALUE"""),2434.27)</f>
        <v>2434.27</v>
      </c>
      <c r="C7955" s="1">
        <f>IFERROR(__xludf.DUMMYFUNCTION("""COMPUTED_VALUE"""),2439.27)</f>
        <v>2439.27</v>
      </c>
      <c r="D7955" s="1">
        <f>IFERROR(__xludf.DUMMYFUNCTION("""COMPUTED_VALUE"""),2427.94)</f>
        <v>2427.94</v>
      </c>
      <c r="E7955" s="1">
        <f>IFERROR(__xludf.DUMMYFUNCTION("""COMPUTED_VALUE"""),2433.79)</f>
        <v>2433.79</v>
      </c>
      <c r="F7955" s="1">
        <f>IFERROR(__xludf.DUMMYFUNCTION("""COMPUTED_VALUE"""),0.0)</f>
        <v>0</v>
      </c>
    </row>
    <row r="7956">
      <c r="A7956" s="2">
        <f>IFERROR(__xludf.DUMMYFUNCTION("""COMPUTED_VALUE"""),42895.66666666667)</f>
        <v>42895.66667</v>
      </c>
      <c r="B7956" s="1">
        <f>IFERROR(__xludf.DUMMYFUNCTION("""COMPUTED_VALUE"""),2436.39)</f>
        <v>2436.39</v>
      </c>
      <c r="C7956" s="1">
        <f>IFERROR(__xludf.DUMMYFUNCTION("""COMPUTED_VALUE"""),2446.2)</f>
        <v>2446.2</v>
      </c>
      <c r="D7956" s="1">
        <f>IFERROR(__xludf.DUMMYFUNCTION("""COMPUTED_VALUE"""),2415.7)</f>
        <v>2415.7</v>
      </c>
      <c r="E7956" s="1">
        <f>IFERROR(__xludf.DUMMYFUNCTION("""COMPUTED_VALUE"""),2431.77)</f>
        <v>2431.77</v>
      </c>
      <c r="F7956" s="1">
        <f>IFERROR(__xludf.DUMMYFUNCTION("""COMPUTED_VALUE"""),0.0)</f>
        <v>0</v>
      </c>
    </row>
    <row r="7957">
      <c r="A7957" s="2">
        <f>IFERROR(__xludf.DUMMYFUNCTION("""COMPUTED_VALUE"""),42898.66666666667)</f>
        <v>42898.66667</v>
      </c>
      <c r="B7957" s="1">
        <f>IFERROR(__xludf.DUMMYFUNCTION("""COMPUTED_VALUE"""),2425.88)</f>
        <v>2425.88</v>
      </c>
      <c r="C7957" s="1">
        <f>IFERROR(__xludf.DUMMYFUNCTION("""COMPUTED_VALUE"""),2430.38)</f>
        <v>2430.38</v>
      </c>
      <c r="D7957" s="1">
        <f>IFERROR(__xludf.DUMMYFUNCTION("""COMPUTED_VALUE"""),2419.97)</f>
        <v>2419.97</v>
      </c>
      <c r="E7957" s="1">
        <f>IFERROR(__xludf.DUMMYFUNCTION("""COMPUTED_VALUE"""),2429.39)</f>
        <v>2429.39</v>
      </c>
      <c r="F7957" s="1">
        <f>IFERROR(__xludf.DUMMYFUNCTION("""COMPUTED_VALUE"""),0.0)</f>
        <v>0</v>
      </c>
    </row>
    <row r="7958">
      <c r="A7958" s="2">
        <f>IFERROR(__xludf.DUMMYFUNCTION("""COMPUTED_VALUE"""),42899.66666666667)</f>
        <v>42899.66667</v>
      </c>
      <c r="B7958" s="1">
        <f>IFERROR(__xludf.DUMMYFUNCTION("""COMPUTED_VALUE"""),2434.15)</f>
        <v>2434.15</v>
      </c>
      <c r="C7958" s="1">
        <f>IFERROR(__xludf.DUMMYFUNCTION("""COMPUTED_VALUE"""),2441.49)</f>
        <v>2441.49</v>
      </c>
      <c r="D7958" s="1">
        <f>IFERROR(__xludf.DUMMYFUNCTION("""COMPUTED_VALUE"""),2431.28)</f>
        <v>2431.28</v>
      </c>
      <c r="E7958" s="1">
        <f>IFERROR(__xludf.DUMMYFUNCTION("""COMPUTED_VALUE"""),2440.35)</f>
        <v>2440.35</v>
      </c>
      <c r="F7958" s="1">
        <f>IFERROR(__xludf.DUMMYFUNCTION("""COMPUTED_VALUE"""),0.0)</f>
        <v>0</v>
      </c>
    </row>
    <row r="7959">
      <c r="A7959" s="2">
        <f>IFERROR(__xludf.DUMMYFUNCTION("""COMPUTED_VALUE"""),42900.66666666667)</f>
        <v>42900.66667</v>
      </c>
      <c r="B7959" s="1">
        <f>IFERROR(__xludf.DUMMYFUNCTION("""COMPUTED_VALUE"""),2443.75)</f>
        <v>2443.75</v>
      </c>
      <c r="C7959" s="1">
        <f>IFERROR(__xludf.DUMMYFUNCTION("""COMPUTED_VALUE"""),2443.75)</f>
        <v>2443.75</v>
      </c>
      <c r="D7959" s="1">
        <f>IFERROR(__xludf.DUMMYFUNCTION("""COMPUTED_VALUE"""),2428.34)</f>
        <v>2428.34</v>
      </c>
      <c r="E7959" s="1">
        <f>IFERROR(__xludf.DUMMYFUNCTION("""COMPUTED_VALUE"""),2437.92)</f>
        <v>2437.92</v>
      </c>
      <c r="F7959" s="1">
        <f>IFERROR(__xludf.DUMMYFUNCTION("""COMPUTED_VALUE"""),0.0)</f>
        <v>0</v>
      </c>
    </row>
    <row r="7960">
      <c r="A7960" s="2">
        <f>IFERROR(__xludf.DUMMYFUNCTION("""COMPUTED_VALUE"""),42901.66666666667)</f>
        <v>42901.66667</v>
      </c>
      <c r="B7960" s="1">
        <f>IFERROR(__xludf.DUMMYFUNCTION("""COMPUTED_VALUE"""),2424.14)</f>
        <v>2424.14</v>
      </c>
      <c r="C7960" s="1">
        <f>IFERROR(__xludf.DUMMYFUNCTION("""COMPUTED_VALUE"""),2433.95)</f>
        <v>2433.95</v>
      </c>
      <c r="D7960" s="1">
        <f>IFERROR(__xludf.DUMMYFUNCTION("""COMPUTED_VALUE"""),2418.53)</f>
        <v>2418.53</v>
      </c>
      <c r="E7960" s="1">
        <f>IFERROR(__xludf.DUMMYFUNCTION("""COMPUTED_VALUE"""),2432.46)</f>
        <v>2432.46</v>
      </c>
      <c r="F7960" s="1">
        <f>IFERROR(__xludf.DUMMYFUNCTION("""COMPUTED_VALUE"""),0.0)</f>
        <v>0</v>
      </c>
    </row>
    <row r="7961">
      <c r="A7961" s="2">
        <f>IFERROR(__xludf.DUMMYFUNCTION("""COMPUTED_VALUE"""),42902.66666666667)</f>
        <v>42902.66667</v>
      </c>
      <c r="B7961" s="1">
        <f>IFERROR(__xludf.DUMMYFUNCTION("""COMPUTED_VALUE"""),2431.24)</f>
        <v>2431.24</v>
      </c>
      <c r="C7961" s="1">
        <f>IFERROR(__xludf.DUMMYFUNCTION("""COMPUTED_VALUE"""),2433.15)</f>
        <v>2433.15</v>
      </c>
      <c r="D7961" s="1">
        <f>IFERROR(__xludf.DUMMYFUNCTION("""COMPUTED_VALUE"""),2422.88)</f>
        <v>2422.88</v>
      </c>
      <c r="E7961" s="1">
        <f>IFERROR(__xludf.DUMMYFUNCTION("""COMPUTED_VALUE"""),2433.15)</f>
        <v>2433.15</v>
      </c>
      <c r="F7961" s="1">
        <f>IFERROR(__xludf.DUMMYFUNCTION("""COMPUTED_VALUE"""),0.0)</f>
        <v>0</v>
      </c>
    </row>
    <row r="7962">
      <c r="A7962" s="2">
        <f>IFERROR(__xludf.DUMMYFUNCTION("""COMPUTED_VALUE"""),42905.66666666667)</f>
        <v>42905.66667</v>
      </c>
      <c r="B7962" s="1">
        <f>IFERROR(__xludf.DUMMYFUNCTION("""COMPUTED_VALUE"""),2442.55)</f>
        <v>2442.55</v>
      </c>
      <c r="C7962" s="1">
        <f>IFERROR(__xludf.DUMMYFUNCTION("""COMPUTED_VALUE"""),2453.82)</f>
        <v>2453.82</v>
      </c>
      <c r="D7962" s="1">
        <f>IFERROR(__xludf.DUMMYFUNCTION("""COMPUTED_VALUE"""),2441.79)</f>
        <v>2441.79</v>
      </c>
      <c r="E7962" s="1">
        <f>IFERROR(__xludf.DUMMYFUNCTION("""COMPUTED_VALUE"""),2453.46)</f>
        <v>2453.46</v>
      </c>
      <c r="F7962" s="1">
        <f>IFERROR(__xludf.DUMMYFUNCTION("""COMPUTED_VALUE"""),0.0)</f>
        <v>0</v>
      </c>
    </row>
    <row r="7963">
      <c r="A7963" s="2">
        <f>IFERROR(__xludf.DUMMYFUNCTION("""COMPUTED_VALUE"""),42906.66666666667)</f>
        <v>42906.66667</v>
      </c>
      <c r="B7963" s="1">
        <f>IFERROR(__xludf.DUMMYFUNCTION("""COMPUTED_VALUE"""),2450.66)</f>
        <v>2450.66</v>
      </c>
      <c r="C7963" s="1">
        <f>IFERROR(__xludf.DUMMYFUNCTION("""COMPUTED_VALUE"""),2450.66)</f>
        <v>2450.66</v>
      </c>
      <c r="D7963" s="1">
        <f>IFERROR(__xludf.DUMMYFUNCTION("""COMPUTED_VALUE"""),2436.6)</f>
        <v>2436.6</v>
      </c>
      <c r="E7963" s="1">
        <f>IFERROR(__xludf.DUMMYFUNCTION("""COMPUTED_VALUE"""),2437.03)</f>
        <v>2437.03</v>
      </c>
      <c r="F7963" s="1">
        <f>IFERROR(__xludf.DUMMYFUNCTION("""COMPUTED_VALUE"""),0.0)</f>
        <v>0</v>
      </c>
    </row>
    <row r="7964">
      <c r="A7964" s="2">
        <f>IFERROR(__xludf.DUMMYFUNCTION("""COMPUTED_VALUE"""),42907.66666666667)</f>
        <v>42907.66667</v>
      </c>
      <c r="B7964" s="1">
        <f>IFERROR(__xludf.DUMMYFUNCTION("""COMPUTED_VALUE"""),2439.31)</f>
        <v>2439.31</v>
      </c>
      <c r="C7964" s="1">
        <f>IFERROR(__xludf.DUMMYFUNCTION("""COMPUTED_VALUE"""),2442.23)</f>
        <v>2442.23</v>
      </c>
      <c r="D7964" s="1">
        <f>IFERROR(__xludf.DUMMYFUNCTION("""COMPUTED_VALUE"""),2430.74)</f>
        <v>2430.74</v>
      </c>
      <c r="E7964" s="1">
        <f>IFERROR(__xludf.DUMMYFUNCTION("""COMPUTED_VALUE"""),2435.61)</f>
        <v>2435.61</v>
      </c>
      <c r="F7964" s="1">
        <f>IFERROR(__xludf.DUMMYFUNCTION("""COMPUTED_VALUE"""),0.0)</f>
        <v>0</v>
      </c>
    </row>
    <row r="7965">
      <c r="A7965" s="2">
        <f>IFERROR(__xludf.DUMMYFUNCTION("""COMPUTED_VALUE"""),42908.66666666667)</f>
        <v>42908.66667</v>
      </c>
      <c r="B7965" s="1">
        <f>IFERROR(__xludf.DUMMYFUNCTION("""COMPUTED_VALUE"""),2437.4)</f>
        <v>2437.4</v>
      </c>
      <c r="C7965" s="1">
        <f>IFERROR(__xludf.DUMMYFUNCTION("""COMPUTED_VALUE"""),2441.62)</f>
        <v>2441.62</v>
      </c>
      <c r="D7965" s="1">
        <f>IFERROR(__xludf.DUMMYFUNCTION("""COMPUTED_VALUE"""),2433.27)</f>
        <v>2433.27</v>
      </c>
      <c r="E7965" s="1">
        <f>IFERROR(__xludf.DUMMYFUNCTION("""COMPUTED_VALUE"""),2434.5)</f>
        <v>2434.5</v>
      </c>
      <c r="F7965" s="1">
        <f>IFERROR(__xludf.DUMMYFUNCTION("""COMPUTED_VALUE"""),0.0)</f>
        <v>0</v>
      </c>
    </row>
    <row r="7966">
      <c r="A7966" s="2">
        <f>IFERROR(__xludf.DUMMYFUNCTION("""COMPUTED_VALUE"""),42909.66666666667)</f>
        <v>42909.66667</v>
      </c>
      <c r="B7966" s="1">
        <f>IFERROR(__xludf.DUMMYFUNCTION("""COMPUTED_VALUE"""),2434.65)</f>
        <v>2434.65</v>
      </c>
      <c r="C7966" s="1">
        <f>IFERROR(__xludf.DUMMYFUNCTION("""COMPUTED_VALUE"""),2441.4)</f>
        <v>2441.4</v>
      </c>
      <c r="D7966" s="1">
        <f>IFERROR(__xludf.DUMMYFUNCTION("""COMPUTED_VALUE"""),2431.11)</f>
        <v>2431.11</v>
      </c>
      <c r="E7966" s="1">
        <f>IFERROR(__xludf.DUMMYFUNCTION("""COMPUTED_VALUE"""),2438.3)</f>
        <v>2438.3</v>
      </c>
      <c r="F7966" s="1">
        <f>IFERROR(__xludf.DUMMYFUNCTION("""COMPUTED_VALUE"""),0.0)</f>
        <v>0</v>
      </c>
    </row>
    <row r="7967">
      <c r="A7967" s="2">
        <f>IFERROR(__xludf.DUMMYFUNCTION("""COMPUTED_VALUE"""),42912.66666666667)</f>
        <v>42912.66667</v>
      </c>
      <c r="B7967" s="1">
        <f>IFERROR(__xludf.DUMMYFUNCTION("""COMPUTED_VALUE"""),2443.32)</f>
        <v>2443.32</v>
      </c>
      <c r="C7967" s="1">
        <f>IFERROR(__xludf.DUMMYFUNCTION("""COMPUTED_VALUE"""),2450.42)</f>
        <v>2450.42</v>
      </c>
      <c r="D7967" s="1">
        <f>IFERROR(__xludf.DUMMYFUNCTION("""COMPUTED_VALUE"""),2437.03)</f>
        <v>2437.03</v>
      </c>
      <c r="E7967" s="1">
        <f>IFERROR(__xludf.DUMMYFUNCTION("""COMPUTED_VALUE"""),2439.07)</f>
        <v>2439.07</v>
      </c>
      <c r="F7967" s="1">
        <f>IFERROR(__xludf.DUMMYFUNCTION("""COMPUTED_VALUE"""),0.0)</f>
        <v>0</v>
      </c>
    </row>
    <row r="7968">
      <c r="A7968" s="2">
        <f>IFERROR(__xludf.DUMMYFUNCTION("""COMPUTED_VALUE"""),42913.66666666667)</f>
        <v>42913.66667</v>
      </c>
      <c r="B7968" s="1">
        <f>IFERROR(__xludf.DUMMYFUNCTION("""COMPUTED_VALUE"""),2436.34)</f>
        <v>2436.34</v>
      </c>
      <c r="C7968" s="1">
        <f>IFERROR(__xludf.DUMMYFUNCTION("""COMPUTED_VALUE"""),2440.15)</f>
        <v>2440.15</v>
      </c>
      <c r="D7968" s="1">
        <f>IFERROR(__xludf.DUMMYFUNCTION("""COMPUTED_VALUE"""),2419.38)</f>
        <v>2419.38</v>
      </c>
      <c r="E7968" s="1">
        <f>IFERROR(__xludf.DUMMYFUNCTION("""COMPUTED_VALUE"""),2419.38)</f>
        <v>2419.38</v>
      </c>
      <c r="F7968" s="1">
        <f>IFERROR(__xludf.DUMMYFUNCTION("""COMPUTED_VALUE"""),0.0)</f>
        <v>0</v>
      </c>
    </row>
    <row r="7969">
      <c r="A7969" s="2">
        <f>IFERROR(__xludf.DUMMYFUNCTION("""COMPUTED_VALUE"""),42914.66666666667)</f>
        <v>42914.66667</v>
      </c>
      <c r="B7969" s="1">
        <f>IFERROR(__xludf.DUMMYFUNCTION("""COMPUTED_VALUE"""),2428.7)</f>
        <v>2428.7</v>
      </c>
      <c r="C7969" s="1">
        <f>IFERROR(__xludf.DUMMYFUNCTION("""COMPUTED_VALUE"""),2442.97)</f>
        <v>2442.97</v>
      </c>
      <c r="D7969" s="1">
        <f>IFERROR(__xludf.DUMMYFUNCTION("""COMPUTED_VALUE"""),2428.02)</f>
        <v>2428.02</v>
      </c>
      <c r="E7969" s="1">
        <f>IFERROR(__xludf.DUMMYFUNCTION("""COMPUTED_VALUE"""),2440.69)</f>
        <v>2440.69</v>
      </c>
      <c r="F7969" s="1">
        <f>IFERROR(__xludf.DUMMYFUNCTION("""COMPUTED_VALUE"""),0.0)</f>
        <v>0</v>
      </c>
    </row>
    <row r="7970">
      <c r="A7970" s="2">
        <f>IFERROR(__xludf.DUMMYFUNCTION("""COMPUTED_VALUE"""),42915.66666666667)</f>
        <v>42915.66667</v>
      </c>
      <c r="B7970" s="1">
        <f>IFERROR(__xludf.DUMMYFUNCTION("""COMPUTED_VALUE"""),2442.38)</f>
        <v>2442.38</v>
      </c>
      <c r="C7970" s="1">
        <f>IFERROR(__xludf.DUMMYFUNCTION("""COMPUTED_VALUE"""),2442.73)</f>
        <v>2442.73</v>
      </c>
      <c r="D7970" s="1">
        <f>IFERROR(__xludf.DUMMYFUNCTION("""COMPUTED_VALUE"""),2405.7)</f>
        <v>2405.7</v>
      </c>
      <c r="E7970" s="1">
        <f>IFERROR(__xludf.DUMMYFUNCTION("""COMPUTED_VALUE"""),2419.7)</f>
        <v>2419.7</v>
      </c>
      <c r="F7970" s="1">
        <f>IFERROR(__xludf.DUMMYFUNCTION("""COMPUTED_VALUE"""),0.0)</f>
        <v>0</v>
      </c>
    </row>
    <row r="7971">
      <c r="A7971" s="2">
        <f>IFERROR(__xludf.DUMMYFUNCTION("""COMPUTED_VALUE"""),42916.66666666667)</f>
        <v>42916.66667</v>
      </c>
      <c r="B7971" s="1">
        <f>IFERROR(__xludf.DUMMYFUNCTION("""COMPUTED_VALUE"""),2428.51)</f>
        <v>2428.51</v>
      </c>
      <c r="C7971" s="1">
        <f>IFERROR(__xludf.DUMMYFUNCTION("""COMPUTED_VALUE"""),2432.71)</f>
        <v>2432.71</v>
      </c>
      <c r="D7971" s="1">
        <f>IFERROR(__xludf.DUMMYFUNCTION("""COMPUTED_VALUE"""),2421.65)</f>
        <v>2421.65</v>
      </c>
      <c r="E7971" s="1">
        <f>IFERROR(__xludf.DUMMYFUNCTION("""COMPUTED_VALUE"""),2423.41)</f>
        <v>2423.41</v>
      </c>
      <c r="F7971" s="1">
        <f>IFERROR(__xludf.DUMMYFUNCTION("""COMPUTED_VALUE"""),0.0)</f>
        <v>0</v>
      </c>
    </row>
    <row r="7972">
      <c r="A7972" s="2">
        <f>IFERROR(__xludf.DUMMYFUNCTION("""COMPUTED_VALUE"""),42919.66666666667)</f>
        <v>42919.66667</v>
      </c>
      <c r="B7972" s="1">
        <f>IFERROR(__xludf.DUMMYFUNCTION("""COMPUTED_VALUE"""),2431.39)</f>
        <v>2431.39</v>
      </c>
      <c r="C7972" s="1">
        <f>IFERROR(__xludf.DUMMYFUNCTION("""COMPUTED_VALUE"""),2439.17)</f>
        <v>2439.17</v>
      </c>
      <c r="D7972" s="1">
        <f>IFERROR(__xludf.DUMMYFUNCTION("""COMPUTED_VALUE"""),2428.69)</f>
        <v>2428.69</v>
      </c>
      <c r="E7972" s="1">
        <f>IFERROR(__xludf.DUMMYFUNCTION("""COMPUTED_VALUE"""),2429.01)</f>
        <v>2429.01</v>
      </c>
      <c r="F7972" s="1">
        <f>IFERROR(__xludf.DUMMYFUNCTION("""COMPUTED_VALUE"""),0.0)</f>
        <v>0</v>
      </c>
    </row>
    <row r="7973">
      <c r="A7973" s="2">
        <f>IFERROR(__xludf.DUMMYFUNCTION("""COMPUTED_VALUE"""),42921.66666666667)</f>
        <v>42921.66667</v>
      </c>
      <c r="B7973" s="1">
        <f>IFERROR(__xludf.DUMMYFUNCTION("""COMPUTED_VALUE"""),2430.78)</f>
        <v>2430.78</v>
      </c>
      <c r="C7973" s="1">
        <f>IFERROR(__xludf.DUMMYFUNCTION("""COMPUTED_VALUE"""),2434.9)</f>
        <v>2434.9</v>
      </c>
      <c r="D7973" s="1">
        <f>IFERROR(__xludf.DUMMYFUNCTION("""COMPUTED_VALUE"""),2422.05)</f>
        <v>2422.05</v>
      </c>
      <c r="E7973" s="1">
        <f>IFERROR(__xludf.DUMMYFUNCTION("""COMPUTED_VALUE"""),2432.54)</f>
        <v>2432.54</v>
      </c>
      <c r="F7973" s="1">
        <f>IFERROR(__xludf.DUMMYFUNCTION("""COMPUTED_VALUE"""),0.0)</f>
        <v>0</v>
      </c>
    </row>
    <row r="7974">
      <c r="A7974" s="2">
        <f>IFERROR(__xludf.DUMMYFUNCTION("""COMPUTED_VALUE"""),42922.66666666667)</f>
        <v>42922.66667</v>
      </c>
      <c r="B7974" s="1">
        <f>IFERROR(__xludf.DUMMYFUNCTION("""COMPUTED_VALUE"""),2423.44)</f>
        <v>2423.44</v>
      </c>
      <c r="C7974" s="1">
        <f>IFERROR(__xludf.DUMMYFUNCTION("""COMPUTED_VALUE"""),2424.28)</f>
        <v>2424.28</v>
      </c>
      <c r="D7974" s="1">
        <f>IFERROR(__xludf.DUMMYFUNCTION("""COMPUTED_VALUE"""),2407.7)</f>
        <v>2407.7</v>
      </c>
      <c r="E7974" s="1">
        <f>IFERROR(__xludf.DUMMYFUNCTION("""COMPUTED_VALUE"""),2409.75)</f>
        <v>2409.75</v>
      </c>
      <c r="F7974" s="1">
        <f>IFERROR(__xludf.DUMMYFUNCTION("""COMPUTED_VALUE"""),0.0)</f>
        <v>0</v>
      </c>
    </row>
    <row r="7975">
      <c r="A7975" s="2">
        <f>IFERROR(__xludf.DUMMYFUNCTION("""COMPUTED_VALUE"""),42923.66666666667)</f>
        <v>42923.66667</v>
      </c>
      <c r="B7975" s="1">
        <f>IFERROR(__xludf.DUMMYFUNCTION("""COMPUTED_VALUE"""),2413.52)</f>
        <v>2413.52</v>
      </c>
      <c r="C7975" s="1">
        <f>IFERROR(__xludf.DUMMYFUNCTION("""COMPUTED_VALUE"""),2426.92)</f>
        <v>2426.92</v>
      </c>
      <c r="D7975" s="1">
        <f>IFERROR(__xludf.DUMMYFUNCTION("""COMPUTED_VALUE"""),2413.52)</f>
        <v>2413.52</v>
      </c>
      <c r="E7975" s="1">
        <f>IFERROR(__xludf.DUMMYFUNCTION("""COMPUTED_VALUE"""),2425.18)</f>
        <v>2425.18</v>
      </c>
      <c r="F7975" s="1">
        <f>IFERROR(__xludf.DUMMYFUNCTION("""COMPUTED_VALUE"""),0.0)</f>
        <v>0</v>
      </c>
    </row>
    <row r="7976">
      <c r="A7976" s="2">
        <f>IFERROR(__xludf.DUMMYFUNCTION("""COMPUTED_VALUE"""),42926.66666666667)</f>
        <v>42926.66667</v>
      </c>
      <c r="B7976" s="1">
        <f>IFERROR(__xludf.DUMMYFUNCTION("""COMPUTED_VALUE"""),2424.51)</f>
        <v>2424.51</v>
      </c>
      <c r="C7976" s="1">
        <f>IFERROR(__xludf.DUMMYFUNCTION("""COMPUTED_VALUE"""),2432.0)</f>
        <v>2432</v>
      </c>
      <c r="D7976" s="1">
        <f>IFERROR(__xludf.DUMMYFUNCTION("""COMPUTED_VALUE"""),2422.27)</f>
        <v>2422.27</v>
      </c>
      <c r="E7976" s="1">
        <f>IFERROR(__xludf.DUMMYFUNCTION("""COMPUTED_VALUE"""),2427.43)</f>
        <v>2427.43</v>
      </c>
      <c r="F7976" s="1">
        <f>IFERROR(__xludf.DUMMYFUNCTION("""COMPUTED_VALUE"""),0.0)</f>
        <v>0</v>
      </c>
    </row>
    <row r="7977">
      <c r="A7977" s="2">
        <f>IFERROR(__xludf.DUMMYFUNCTION("""COMPUTED_VALUE"""),42927.66666666667)</f>
        <v>42927.66667</v>
      </c>
      <c r="B7977" s="1">
        <f>IFERROR(__xludf.DUMMYFUNCTION("""COMPUTED_VALUE"""),2427.35)</f>
        <v>2427.35</v>
      </c>
      <c r="C7977" s="1">
        <f>IFERROR(__xludf.DUMMYFUNCTION("""COMPUTED_VALUE"""),2429.3)</f>
        <v>2429.3</v>
      </c>
      <c r="D7977" s="1">
        <f>IFERROR(__xludf.DUMMYFUNCTION("""COMPUTED_VALUE"""),2412.79)</f>
        <v>2412.79</v>
      </c>
      <c r="E7977" s="1">
        <f>IFERROR(__xludf.DUMMYFUNCTION("""COMPUTED_VALUE"""),2425.53)</f>
        <v>2425.53</v>
      </c>
      <c r="F7977" s="1">
        <f>IFERROR(__xludf.DUMMYFUNCTION("""COMPUTED_VALUE"""),0.0)</f>
        <v>0</v>
      </c>
    </row>
    <row r="7978">
      <c r="A7978" s="2">
        <f>IFERROR(__xludf.DUMMYFUNCTION("""COMPUTED_VALUE"""),42928.66666666667)</f>
        <v>42928.66667</v>
      </c>
      <c r="B7978" s="1">
        <f>IFERROR(__xludf.DUMMYFUNCTION("""COMPUTED_VALUE"""),2435.75)</f>
        <v>2435.75</v>
      </c>
      <c r="C7978" s="1">
        <f>IFERROR(__xludf.DUMMYFUNCTION("""COMPUTED_VALUE"""),2445.76)</f>
        <v>2445.76</v>
      </c>
      <c r="D7978" s="1">
        <f>IFERROR(__xludf.DUMMYFUNCTION("""COMPUTED_VALUE"""),2435.75)</f>
        <v>2435.75</v>
      </c>
      <c r="E7978" s="1">
        <f>IFERROR(__xludf.DUMMYFUNCTION("""COMPUTED_VALUE"""),2443.25)</f>
        <v>2443.25</v>
      </c>
      <c r="F7978" s="1">
        <f>IFERROR(__xludf.DUMMYFUNCTION("""COMPUTED_VALUE"""),0.0)</f>
        <v>0</v>
      </c>
    </row>
    <row r="7979">
      <c r="A7979" s="2">
        <f>IFERROR(__xludf.DUMMYFUNCTION("""COMPUTED_VALUE"""),42929.66666666667)</f>
        <v>42929.66667</v>
      </c>
      <c r="B7979" s="1">
        <f>IFERROR(__xludf.DUMMYFUNCTION("""COMPUTED_VALUE"""),2444.99)</f>
        <v>2444.99</v>
      </c>
      <c r="C7979" s="1">
        <f>IFERROR(__xludf.DUMMYFUNCTION("""COMPUTED_VALUE"""),2449.32)</f>
        <v>2449.32</v>
      </c>
      <c r="D7979" s="1">
        <f>IFERROR(__xludf.DUMMYFUNCTION("""COMPUTED_VALUE"""),2441.69)</f>
        <v>2441.69</v>
      </c>
      <c r="E7979" s="1">
        <f>IFERROR(__xludf.DUMMYFUNCTION("""COMPUTED_VALUE"""),2447.83)</f>
        <v>2447.83</v>
      </c>
      <c r="F7979" s="1">
        <f>IFERROR(__xludf.DUMMYFUNCTION("""COMPUTED_VALUE"""),0.0)</f>
        <v>0</v>
      </c>
    </row>
    <row r="7980">
      <c r="A7980" s="2">
        <f>IFERROR(__xludf.DUMMYFUNCTION("""COMPUTED_VALUE"""),42930.66666666667)</f>
        <v>42930.66667</v>
      </c>
      <c r="B7980" s="1">
        <f>IFERROR(__xludf.DUMMYFUNCTION("""COMPUTED_VALUE"""),2449.16)</f>
        <v>2449.16</v>
      </c>
      <c r="C7980" s="1">
        <f>IFERROR(__xludf.DUMMYFUNCTION("""COMPUTED_VALUE"""),2463.54)</f>
        <v>2463.54</v>
      </c>
      <c r="D7980" s="1">
        <f>IFERROR(__xludf.DUMMYFUNCTION("""COMPUTED_VALUE"""),2446.69)</f>
        <v>2446.69</v>
      </c>
      <c r="E7980" s="1">
        <f>IFERROR(__xludf.DUMMYFUNCTION("""COMPUTED_VALUE"""),2459.27)</f>
        <v>2459.27</v>
      </c>
      <c r="F7980" s="1">
        <f>IFERROR(__xludf.DUMMYFUNCTION("""COMPUTED_VALUE"""),0.0)</f>
        <v>0</v>
      </c>
    </row>
    <row r="7981">
      <c r="A7981" s="2">
        <f>IFERROR(__xludf.DUMMYFUNCTION("""COMPUTED_VALUE"""),42933.66666666667)</f>
        <v>42933.66667</v>
      </c>
      <c r="B7981" s="1">
        <f>IFERROR(__xludf.DUMMYFUNCTION("""COMPUTED_VALUE"""),2459.5)</f>
        <v>2459.5</v>
      </c>
      <c r="C7981" s="1">
        <f>IFERROR(__xludf.DUMMYFUNCTION("""COMPUTED_VALUE"""),2462.82)</f>
        <v>2462.82</v>
      </c>
      <c r="D7981" s="1">
        <f>IFERROR(__xludf.DUMMYFUNCTION("""COMPUTED_VALUE"""),2457.16)</f>
        <v>2457.16</v>
      </c>
      <c r="E7981" s="1">
        <f>IFERROR(__xludf.DUMMYFUNCTION("""COMPUTED_VALUE"""),2459.14)</f>
        <v>2459.14</v>
      </c>
      <c r="F7981" s="1">
        <f>IFERROR(__xludf.DUMMYFUNCTION("""COMPUTED_VALUE"""),0.0)</f>
        <v>0</v>
      </c>
    </row>
    <row r="7982">
      <c r="A7982" s="2">
        <f>IFERROR(__xludf.DUMMYFUNCTION("""COMPUTED_VALUE"""),42934.66666666667)</f>
        <v>42934.66667</v>
      </c>
      <c r="B7982" s="1">
        <f>IFERROR(__xludf.DUMMYFUNCTION("""COMPUTED_VALUE"""),2455.88)</f>
        <v>2455.88</v>
      </c>
      <c r="C7982" s="1">
        <f>IFERROR(__xludf.DUMMYFUNCTION("""COMPUTED_VALUE"""),2460.92)</f>
        <v>2460.92</v>
      </c>
      <c r="D7982" s="1">
        <f>IFERROR(__xludf.DUMMYFUNCTION("""COMPUTED_VALUE"""),2450.34)</f>
        <v>2450.34</v>
      </c>
      <c r="E7982" s="1">
        <f>IFERROR(__xludf.DUMMYFUNCTION("""COMPUTED_VALUE"""),2460.61)</f>
        <v>2460.61</v>
      </c>
      <c r="F7982" s="1">
        <f>IFERROR(__xludf.DUMMYFUNCTION("""COMPUTED_VALUE"""),0.0)</f>
        <v>0</v>
      </c>
    </row>
    <row r="7983">
      <c r="A7983" s="2">
        <f>IFERROR(__xludf.DUMMYFUNCTION("""COMPUTED_VALUE"""),42935.66666666667)</f>
        <v>42935.66667</v>
      </c>
      <c r="B7983" s="1">
        <f>IFERROR(__xludf.DUMMYFUNCTION("""COMPUTED_VALUE"""),2463.85)</f>
        <v>2463.85</v>
      </c>
      <c r="C7983" s="1">
        <f>IFERROR(__xludf.DUMMYFUNCTION("""COMPUTED_VALUE"""),2473.83)</f>
        <v>2473.83</v>
      </c>
      <c r="D7983" s="1">
        <f>IFERROR(__xludf.DUMMYFUNCTION("""COMPUTED_VALUE"""),2463.85)</f>
        <v>2463.85</v>
      </c>
      <c r="E7983" s="1">
        <f>IFERROR(__xludf.DUMMYFUNCTION("""COMPUTED_VALUE"""),2473.83)</f>
        <v>2473.83</v>
      </c>
      <c r="F7983" s="1">
        <f>IFERROR(__xludf.DUMMYFUNCTION("""COMPUTED_VALUE"""),0.0)</f>
        <v>0</v>
      </c>
    </row>
    <row r="7984">
      <c r="A7984" s="2">
        <f>IFERROR(__xludf.DUMMYFUNCTION("""COMPUTED_VALUE"""),42936.66666666667)</f>
        <v>42936.66667</v>
      </c>
      <c r="B7984" s="1">
        <f>IFERROR(__xludf.DUMMYFUNCTION("""COMPUTED_VALUE"""),2475.56)</f>
        <v>2475.56</v>
      </c>
      <c r="C7984" s="1">
        <f>IFERROR(__xludf.DUMMYFUNCTION("""COMPUTED_VALUE"""),2477.62)</f>
        <v>2477.62</v>
      </c>
      <c r="D7984" s="1">
        <f>IFERROR(__xludf.DUMMYFUNCTION("""COMPUTED_VALUE"""),2468.43)</f>
        <v>2468.43</v>
      </c>
      <c r="E7984" s="1">
        <f>IFERROR(__xludf.DUMMYFUNCTION("""COMPUTED_VALUE"""),2473.45)</f>
        <v>2473.45</v>
      </c>
      <c r="F7984" s="1">
        <f>IFERROR(__xludf.DUMMYFUNCTION("""COMPUTED_VALUE"""),0.0)</f>
        <v>0</v>
      </c>
    </row>
    <row r="7985">
      <c r="A7985" s="2">
        <f>IFERROR(__xludf.DUMMYFUNCTION("""COMPUTED_VALUE"""),42937.66666666667)</f>
        <v>42937.66667</v>
      </c>
      <c r="B7985" s="1">
        <f>IFERROR(__xludf.DUMMYFUNCTION("""COMPUTED_VALUE"""),2467.4)</f>
        <v>2467.4</v>
      </c>
      <c r="C7985" s="1">
        <f>IFERROR(__xludf.DUMMYFUNCTION("""COMPUTED_VALUE"""),2472.54)</f>
        <v>2472.54</v>
      </c>
      <c r="D7985" s="1">
        <f>IFERROR(__xludf.DUMMYFUNCTION("""COMPUTED_VALUE"""),2465.06)</f>
        <v>2465.06</v>
      </c>
      <c r="E7985" s="1">
        <f>IFERROR(__xludf.DUMMYFUNCTION("""COMPUTED_VALUE"""),2472.54)</f>
        <v>2472.54</v>
      </c>
      <c r="F7985" s="1">
        <f>IFERROR(__xludf.DUMMYFUNCTION("""COMPUTED_VALUE"""),0.0)</f>
        <v>0</v>
      </c>
    </row>
    <row r="7986">
      <c r="A7986" s="2">
        <f>IFERROR(__xludf.DUMMYFUNCTION("""COMPUTED_VALUE"""),42940.66666666667)</f>
        <v>42940.66667</v>
      </c>
      <c r="B7986" s="1">
        <f>IFERROR(__xludf.DUMMYFUNCTION("""COMPUTED_VALUE"""),2472.04)</f>
        <v>2472.04</v>
      </c>
      <c r="C7986" s="1">
        <f>IFERROR(__xludf.DUMMYFUNCTION("""COMPUTED_VALUE"""),2473.1)</f>
        <v>2473.1</v>
      </c>
      <c r="D7986" s="1">
        <f>IFERROR(__xludf.DUMMYFUNCTION("""COMPUTED_VALUE"""),2466.32)</f>
        <v>2466.32</v>
      </c>
      <c r="E7986" s="1">
        <f>IFERROR(__xludf.DUMMYFUNCTION("""COMPUTED_VALUE"""),2469.91)</f>
        <v>2469.91</v>
      </c>
      <c r="F7986" s="1">
        <f>IFERROR(__xludf.DUMMYFUNCTION("""COMPUTED_VALUE"""),0.0)</f>
        <v>0</v>
      </c>
    </row>
    <row r="7987">
      <c r="A7987" s="2">
        <f>IFERROR(__xludf.DUMMYFUNCTION("""COMPUTED_VALUE"""),42941.66666666667)</f>
        <v>42941.66667</v>
      </c>
      <c r="B7987" s="1">
        <f>IFERROR(__xludf.DUMMYFUNCTION("""COMPUTED_VALUE"""),2477.88)</f>
        <v>2477.88</v>
      </c>
      <c r="C7987" s="1">
        <f>IFERROR(__xludf.DUMMYFUNCTION("""COMPUTED_VALUE"""),2481.24)</f>
        <v>2481.24</v>
      </c>
      <c r="D7987" s="1">
        <f>IFERROR(__xludf.DUMMYFUNCTION("""COMPUTED_VALUE"""),2474.91)</f>
        <v>2474.91</v>
      </c>
      <c r="E7987" s="1">
        <f>IFERROR(__xludf.DUMMYFUNCTION("""COMPUTED_VALUE"""),2477.13)</f>
        <v>2477.13</v>
      </c>
      <c r="F7987" s="1">
        <f>IFERROR(__xludf.DUMMYFUNCTION("""COMPUTED_VALUE"""),0.0)</f>
        <v>0</v>
      </c>
    </row>
    <row r="7988">
      <c r="A7988" s="2">
        <f>IFERROR(__xludf.DUMMYFUNCTION("""COMPUTED_VALUE"""),42942.66666666667)</f>
        <v>42942.66667</v>
      </c>
      <c r="B7988" s="1">
        <f>IFERROR(__xludf.DUMMYFUNCTION("""COMPUTED_VALUE"""),2479.97)</f>
        <v>2479.97</v>
      </c>
      <c r="C7988" s="1">
        <f>IFERROR(__xludf.DUMMYFUNCTION("""COMPUTED_VALUE"""),2481.69)</f>
        <v>2481.69</v>
      </c>
      <c r="D7988" s="1">
        <f>IFERROR(__xludf.DUMMYFUNCTION("""COMPUTED_VALUE"""),2474.94)</f>
        <v>2474.94</v>
      </c>
      <c r="E7988" s="1">
        <f>IFERROR(__xludf.DUMMYFUNCTION("""COMPUTED_VALUE"""),2477.83)</f>
        <v>2477.83</v>
      </c>
      <c r="F7988" s="1">
        <f>IFERROR(__xludf.DUMMYFUNCTION("""COMPUTED_VALUE"""),0.0)</f>
        <v>0</v>
      </c>
    </row>
    <row r="7989">
      <c r="A7989" s="2">
        <f>IFERROR(__xludf.DUMMYFUNCTION("""COMPUTED_VALUE"""),42943.66666666667)</f>
        <v>42943.66667</v>
      </c>
      <c r="B7989" s="1">
        <f>IFERROR(__xludf.DUMMYFUNCTION("""COMPUTED_VALUE"""),2482.76)</f>
        <v>2482.76</v>
      </c>
      <c r="C7989" s="1">
        <f>IFERROR(__xludf.DUMMYFUNCTION("""COMPUTED_VALUE"""),2484.04)</f>
        <v>2484.04</v>
      </c>
      <c r="D7989" s="1">
        <f>IFERROR(__xludf.DUMMYFUNCTION("""COMPUTED_VALUE"""),2459.93)</f>
        <v>2459.93</v>
      </c>
      <c r="E7989" s="1">
        <f>IFERROR(__xludf.DUMMYFUNCTION("""COMPUTED_VALUE"""),2475.42)</f>
        <v>2475.42</v>
      </c>
      <c r="F7989" s="1">
        <f>IFERROR(__xludf.DUMMYFUNCTION("""COMPUTED_VALUE"""),0.0)</f>
        <v>0</v>
      </c>
    </row>
    <row r="7990">
      <c r="A7990" s="2">
        <f>IFERROR(__xludf.DUMMYFUNCTION("""COMPUTED_VALUE"""),42944.66666666667)</f>
        <v>42944.66667</v>
      </c>
      <c r="B7990" s="1">
        <f>IFERROR(__xludf.DUMMYFUNCTION("""COMPUTED_VALUE"""),2469.12)</f>
        <v>2469.12</v>
      </c>
      <c r="C7990" s="1">
        <f>IFERROR(__xludf.DUMMYFUNCTION("""COMPUTED_VALUE"""),2473.53)</f>
        <v>2473.53</v>
      </c>
      <c r="D7990" s="1">
        <f>IFERROR(__xludf.DUMMYFUNCTION("""COMPUTED_VALUE"""),2464.66)</f>
        <v>2464.66</v>
      </c>
      <c r="E7990" s="1">
        <f>IFERROR(__xludf.DUMMYFUNCTION("""COMPUTED_VALUE"""),2472.1)</f>
        <v>2472.1</v>
      </c>
      <c r="F7990" s="1">
        <f>IFERROR(__xludf.DUMMYFUNCTION("""COMPUTED_VALUE"""),0.0)</f>
        <v>0</v>
      </c>
    </row>
    <row r="7991">
      <c r="A7991" s="2">
        <f>IFERROR(__xludf.DUMMYFUNCTION("""COMPUTED_VALUE"""),42947.66666666667)</f>
        <v>42947.66667</v>
      </c>
      <c r="B7991" s="1">
        <f>IFERROR(__xludf.DUMMYFUNCTION("""COMPUTED_VALUE"""),2475.94)</f>
        <v>2475.94</v>
      </c>
      <c r="C7991" s="1">
        <f>IFERROR(__xludf.DUMMYFUNCTION("""COMPUTED_VALUE"""),2477.96)</f>
        <v>2477.96</v>
      </c>
      <c r="D7991" s="1">
        <f>IFERROR(__xludf.DUMMYFUNCTION("""COMPUTED_VALUE"""),2468.53)</f>
        <v>2468.53</v>
      </c>
      <c r="E7991" s="1">
        <f>IFERROR(__xludf.DUMMYFUNCTION("""COMPUTED_VALUE"""),2470.3)</f>
        <v>2470.3</v>
      </c>
      <c r="F7991" s="1">
        <f>IFERROR(__xludf.DUMMYFUNCTION("""COMPUTED_VALUE"""),0.0)</f>
        <v>0</v>
      </c>
    </row>
    <row r="7992">
      <c r="A7992" s="2">
        <f>IFERROR(__xludf.DUMMYFUNCTION("""COMPUTED_VALUE"""),42948.66666666667)</f>
        <v>42948.66667</v>
      </c>
      <c r="B7992" s="1">
        <f>IFERROR(__xludf.DUMMYFUNCTION("""COMPUTED_VALUE"""),2477.1)</f>
        <v>2477.1</v>
      </c>
      <c r="C7992" s="1">
        <f>IFERROR(__xludf.DUMMYFUNCTION("""COMPUTED_VALUE"""),2478.51)</f>
        <v>2478.51</v>
      </c>
      <c r="D7992" s="1">
        <f>IFERROR(__xludf.DUMMYFUNCTION("""COMPUTED_VALUE"""),2471.14)</f>
        <v>2471.14</v>
      </c>
      <c r="E7992" s="1">
        <f>IFERROR(__xludf.DUMMYFUNCTION("""COMPUTED_VALUE"""),2476.35)</f>
        <v>2476.35</v>
      </c>
      <c r="F7992" s="1">
        <f>IFERROR(__xludf.DUMMYFUNCTION("""COMPUTED_VALUE"""),0.0)</f>
        <v>0</v>
      </c>
    </row>
    <row r="7993">
      <c r="A7993" s="2">
        <f>IFERROR(__xludf.DUMMYFUNCTION("""COMPUTED_VALUE"""),42949.66666666667)</f>
        <v>42949.66667</v>
      </c>
      <c r="B7993" s="1">
        <f>IFERROR(__xludf.DUMMYFUNCTION("""COMPUTED_VALUE"""),2480.38)</f>
        <v>2480.38</v>
      </c>
      <c r="C7993" s="1">
        <f>IFERROR(__xludf.DUMMYFUNCTION("""COMPUTED_VALUE"""),2480.38)</f>
        <v>2480.38</v>
      </c>
      <c r="D7993" s="1">
        <f>IFERROR(__xludf.DUMMYFUNCTION("""COMPUTED_VALUE"""),2466.48)</f>
        <v>2466.48</v>
      </c>
      <c r="E7993" s="1">
        <f>IFERROR(__xludf.DUMMYFUNCTION("""COMPUTED_VALUE"""),2477.57)</f>
        <v>2477.57</v>
      </c>
      <c r="F7993" s="1">
        <f>IFERROR(__xludf.DUMMYFUNCTION("""COMPUTED_VALUE"""),0.0)</f>
        <v>0</v>
      </c>
    </row>
    <row r="7994">
      <c r="A7994" s="2">
        <f>IFERROR(__xludf.DUMMYFUNCTION("""COMPUTED_VALUE"""),42950.66666666667)</f>
        <v>42950.66667</v>
      </c>
      <c r="B7994" s="1">
        <f>IFERROR(__xludf.DUMMYFUNCTION("""COMPUTED_VALUE"""),2476.03)</f>
        <v>2476.03</v>
      </c>
      <c r="C7994" s="1">
        <f>IFERROR(__xludf.DUMMYFUNCTION("""COMPUTED_VALUE"""),2476.03)</f>
        <v>2476.03</v>
      </c>
      <c r="D7994" s="1">
        <f>IFERROR(__xludf.DUMMYFUNCTION("""COMPUTED_VALUE"""),2468.85)</f>
        <v>2468.85</v>
      </c>
      <c r="E7994" s="1">
        <f>IFERROR(__xludf.DUMMYFUNCTION("""COMPUTED_VALUE"""),2472.16)</f>
        <v>2472.16</v>
      </c>
      <c r="F7994" s="1">
        <f>IFERROR(__xludf.DUMMYFUNCTION("""COMPUTED_VALUE"""),0.0)</f>
        <v>0</v>
      </c>
    </row>
    <row r="7995">
      <c r="A7995" s="2">
        <f>IFERROR(__xludf.DUMMYFUNCTION("""COMPUTED_VALUE"""),42951.66666666667)</f>
        <v>42951.66667</v>
      </c>
      <c r="B7995" s="1">
        <f>IFERROR(__xludf.DUMMYFUNCTION("""COMPUTED_VALUE"""),2476.88)</f>
        <v>2476.88</v>
      </c>
      <c r="C7995" s="1">
        <f>IFERROR(__xludf.DUMMYFUNCTION("""COMPUTED_VALUE"""),2480.0)</f>
        <v>2480</v>
      </c>
      <c r="D7995" s="1">
        <f>IFERROR(__xludf.DUMMYFUNCTION("""COMPUTED_VALUE"""),2472.08)</f>
        <v>2472.08</v>
      </c>
      <c r="E7995" s="1">
        <f>IFERROR(__xludf.DUMMYFUNCTION("""COMPUTED_VALUE"""),2476.83)</f>
        <v>2476.83</v>
      </c>
      <c r="F7995" s="1">
        <f>IFERROR(__xludf.DUMMYFUNCTION("""COMPUTED_VALUE"""),0.0)</f>
        <v>0</v>
      </c>
    </row>
    <row r="7996">
      <c r="A7996" s="2">
        <f>IFERROR(__xludf.DUMMYFUNCTION("""COMPUTED_VALUE"""),42954.66666666667)</f>
        <v>42954.66667</v>
      </c>
      <c r="B7996" s="1">
        <f>IFERROR(__xludf.DUMMYFUNCTION("""COMPUTED_VALUE"""),2477.14)</f>
        <v>2477.14</v>
      </c>
      <c r="C7996" s="1">
        <f>IFERROR(__xludf.DUMMYFUNCTION("""COMPUTED_VALUE"""),2480.95)</f>
        <v>2480.95</v>
      </c>
      <c r="D7996" s="1">
        <f>IFERROR(__xludf.DUMMYFUNCTION("""COMPUTED_VALUE"""),2475.88)</f>
        <v>2475.88</v>
      </c>
      <c r="E7996" s="1">
        <f>IFERROR(__xludf.DUMMYFUNCTION("""COMPUTED_VALUE"""),2480.91)</f>
        <v>2480.91</v>
      </c>
      <c r="F7996" s="1">
        <f>IFERROR(__xludf.DUMMYFUNCTION("""COMPUTED_VALUE"""),0.0)</f>
        <v>0</v>
      </c>
    </row>
    <row r="7997">
      <c r="A7997" s="2">
        <f>IFERROR(__xludf.DUMMYFUNCTION("""COMPUTED_VALUE"""),42955.66666666667)</f>
        <v>42955.66667</v>
      </c>
      <c r="B7997" s="1">
        <f>IFERROR(__xludf.DUMMYFUNCTION("""COMPUTED_VALUE"""),2478.35)</f>
        <v>2478.35</v>
      </c>
      <c r="C7997" s="1">
        <f>IFERROR(__xludf.DUMMYFUNCTION("""COMPUTED_VALUE"""),2490.87)</f>
        <v>2490.87</v>
      </c>
      <c r="D7997" s="1">
        <f>IFERROR(__xludf.DUMMYFUNCTION("""COMPUTED_VALUE"""),2470.32)</f>
        <v>2470.32</v>
      </c>
      <c r="E7997" s="1">
        <f>IFERROR(__xludf.DUMMYFUNCTION("""COMPUTED_VALUE"""),2474.92)</f>
        <v>2474.92</v>
      </c>
      <c r="F7997" s="1">
        <f>IFERROR(__xludf.DUMMYFUNCTION("""COMPUTED_VALUE"""),0.0)</f>
        <v>0</v>
      </c>
    </row>
    <row r="7998">
      <c r="A7998" s="2">
        <f>IFERROR(__xludf.DUMMYFUNCTION("""COMPUTED_VALUE"""),42956.66666666667)</f>
        <v>42956.66667</v>
      </c>
      <c r="B7998" s="1">
        <f>IFERROR(__xludf.DUMMYFUNCTION("""COMPUTED_VALUE"""),2465.35)</f>
        <v>2465.35</v>
      </c>
      <c r="C7998" s="1">
        <f>IFERROR(__xludf.DUMMYFUNCTION("""COMPUTED_VALUE"""),2474.41)</f>
        <v>2474.41</v>
      </c>
      <c r="D7998" s="1">
        <f>IFERROR(__xludf.DUMMYFUNCTION("""COMPUTED_VALUE"""),2462.08)</f>
        <v>2462.08</v>
      </c>
      <c r="E7998" s="1">
        <f>IFERROR(__xludf.DUMMYFUNCTION("""COMPUTED_VALUE"""),2474.02)</f>
        <v>2474.02</v>
      </c>
      <c r="F7998" s="1">
        <f>IFERROR(__xludf.DUMMYFUNCTION("""COMPUTED_VALUE"""),0.0)</f>
        <v>0</v>
      </c>
    </row>
    <row r="7999">
      <c r="A7999" s="2">
        <f>IFERROR(__xludf.DUMMYFUNCTION("""COMPUTED_VALUE"""),42957.66666666667)</f>
        <v>42957.66667</v>
      </c>
      <c r="B7999" s="1">
        <f>IFERROR(__xludf.DUMMYFUNCTION("""COMPUTED_VALUE"""),2465.38)</f>
        <v>2465.38</v>
      </c>
      <c r="C7999" s="1">
        <f>IFERROR(__xludf.DUMMYFUNCTION("""COMPUTED_VALUE"""),2465.38)</f>
        <v>2465.38</v>
      </c>
      <c r="D7999" s="1">
        <f>IFERROR(__xludf.DUMMYFUNCTION("""COMPUTED_VALUE"""),2437.75)</f>
        <v>2437.75</v>
      </c>
      <c r="E7999" s="1">
        <f>IFERROR(__xludf.DUMMYFUNCTION("""COMPUTED_VALUE"""),2438.21)</f>
        <v>2438.21</v>
      </c>
      <c r="F7999" s="1">
        <f>IFERROR(__xludf.DUMMYFUNCTION("""COMPUTED_VALUE"""),0.0)</f>
        <v>0</v>
      </c>
    </row>
    <row r="8000">
      <c r="A8000" s="2">
        <f>IFERROR(__xludf.DUMMYFUNCTION("""COMPUTED_VALUE"""),42958.66666666667)</f>
        <v>42958.66667</v>
      </c>
      <c r="B8000" s="1">
        <f>IFERROR(__xludf.DUMMYFUNCTION("""COMPUTED_VALUE"""),2441.04)</f>
        <v>2441.04</v>
      </c>
      <c r="C8000" s="1">
        <f>IFERROR(__xludf.DUMMYFUNCTION("""COMPUTED_VALUE"""),2448.09)</f>
        <v>2448.09</v>
      </c>
      <c r="D8000" s="1">
        <f>IFERROR(__xludf.DUMMYFUNCTION("""COMPUTED_VALUE"""),2437.85)</f>
        <v>2437.85</v>
      </c>
      <c r="E8000" s="1">
        <f>IFERROR(__xludf.DUMMYFUNCTION("""COMPUTED_VALUE"""),2441.32)</f>
        <v>2441.32</v>
      </c>
      <c r="F8000" s="1">
        <f>IFERROR(__xludf.DUMMYFUNCTION("""COMPUTED_VALUE"""),0.0)</f>
        <v>0</v>
      </c>
    </row>
    <row r="8001">
      <c r="A8001" s="2">
        <f>IFERROR(__xludf.DUMMYFUNCTION("""COMPUTED_VALUE"""),42961.66666666667)</f>
        <v>42961.66667</v>
      </c>
      <c r="B8001" s="1">
        <f>IFERROR(__xludf.DUMMYFUNCTION("""COMPUTED_VALUE"""),2454.96)</f>
        <v>2454.96</v>
      </c>
      <c r="C8001" s="1">
        <f>IFERROR(__xludf.DUMMYFUNCTION("""COMPUTED_VALUE"""),2468.22)</f>
        <v>2468.22</v>
      </c>
      <c r="D8001" s="1">
        <f>IFERROR(__xludf.DUMMYFUNCTION("""COMPUTED_VALUE"""),2454.96)</f>
        <v>2454.96</v>
      </c>
      <c r="E8001" s="1">
        <f>IFERROR(__xludf.DUMMYFUNCTION("""COMPUTED_VALUE"""),2465.84)</f>
        <v>2465.84</v>
      </c>
      <c r="F8001" s="1">
        <f>IFERROR(__xludf.DUMMYFUNCTION("""COMPUTED_VALUE"""),0.0)</f>
        <v>0</v>
      </c>
    </row>
    <row r="8002">
      <c r="A8002" s="2">
        <f>IFERROR(__xludf.DUMMYFUNCTION("""COMPUTED_VALUE"""),42962.66666666667)</f>
        <v>42962.66667</v>
      </c>
      <c r="B8002" s="1">
        <f>IFERROR(__xludf.DUMMYFUNCTION("""COMPUTED_VALUE"""),2468.66)</f>
        <v>2468.66</v>
      </c>
      <c r="C8002" s="1">
        <f>IFERROR(__xludf.DUMMYFUNCTION("""COMPUTED_VALUE"""),2468.9)</f>
        <v>2468.9</v>
      </c>
      <c r="D8002" s="1">
        <f>IFERROR(__xludf.DUMMYFUNCTION("""COMPUTED_VALUE"""),2461.61)</f>
        <v>2461.61</v>
      </c>
      <c r="E8002" s="1">
        <f>IFERROR(__xludf.DUMMYFUNCTION("""COMPUTED_VALUE"""),2464.61)</f>
        <v>2464.61</v>
      </c>
      <c r="F8002" s="1">
        <f>IFERROR(__xludf.DUMMYFUNCTION("""COMPUTED_VALUE"""),0.0)</f>
        <v>0</v>
      </c>
    </row>
    <row r="8003">
      <c r="A8003" s="2">
        <f>IFERROR(__xludf.DUMMYFUNCTION("""COMPUTED_VALUE"""),42963.66666666667)</f>
        <v>42963.66667</v>
      </c>
      <c r="B8003" s="1">
        <f>IFERROR(__xludf.DUMMYFUNCTION("""COMPUTED_VALUE"""),2468.63)</f>
        <v>2468.63</v>
      </c>
      <c r="C8003" s="1">
        <f>IFERROR(__xludf.DUMMYFUNCTION("""COMPUTED_VALUE"""),2474.93)</f>
        <v>2474.93</v>
      </c>
      <c r="D8003" s="1">
        <f>IFERROR(__xludf.DUMMYFUNCTION("""COMPUTED_VALUE"""),2463.86)</f>
        <v>2463.86</v>
      </c>
      <c r="E8003" s="1">
        <f>IFERROR(__xludf.DUMMYFUNCTION("""COMPUTED_VALUE"""),2468.11)</f>
        <v>2468.11</v>
      </c>
      <c r="F8003" s="1">
        <f>IFERROR(__xludf.DUMMYFUNCTION("""COMPUTED_VALUE"""),0.0)</f>
        <v>0</v>
      </c>
    </row>
    <row r="8004">
      <c r="A8004" s="2">
        <f>IFERROR(__xludf.DUMMYFUNCTION("""COMPUTED_VALUE"""),42964.66666666667)</f>
        <v>42964.66667</v>
      </c>
      <c r="B8004" s="1">
        <f>IFERROR(__xludf.DUMMYFUNCTION("""COMPUTED_VALUE"""),2462.95)</f>
        <v>2462.95</v>
      </c>
      <c r="C8004" s="1">
        <f>IFERROR(__xludf.DUMMYFUNCTION("""COMPUTED_VALUE"""),2465.02)</f>
        <v>2465.02</v>
      </c>
      <c r="D8004" s="1">
        <f>IFERROR(__xludf.DUMMYFUNCTION("""COMPUTED_VALUE"""),2430.01)</f>
        <v>2430.01</v>
      </c>
      <c r="E8004" s="1">
        <f>IFERROR(__xludf.DUMMYFUNCTION("""COMPUTED_VALUE"""),2430.01)</f>
        <v>2430.01</v>
      </c>
      <c r="F8004" s="1">
        <f>IFERROR(__xludf.DUMMYFUNCTION("""COMPUTED_VALUE"""),0.0)</f>
        <v>0</v>
      </c>
    </row>
    <row r="8005">
      <c r="A8005" s="2">
        <f>IFERROR(__xludf.DUMMYFUNCTION("""COMPUTED_VALUE"""),42965.66666666667)</f>
        <v>42965.66667</v>
      </c>
      <c r="B8005" s="1">
        <f>IFERROR(__xludf.DUMMYFUNCTION("""COMPUTED_VALUE"""),2427.64)</f>
        <v>2427.64</v>
      </c>
      <c r="C8005" s="1">
        <f>IFERROR(__xludf.DUMMYFUNCTION("""COMPUTED_VALUE"""),2440.27)</f>
        <v>2440.27</v>
      </c>
      <c r="D8005" s="1">
        <f>IFERROR(__xludf.DUMMYFUNCTION("""COMPUTED_VALUE"""),2420.69)</f>
        <v>2420.69</v>
      </c>
      <c r="E8005" s="1">
        <f>IFERROR(__xludf.DUMMYFUNCTION("""COMPUTED_VALUE"""),2425.55)</f>
        <v>2425.55</v>
      </c>
      <c r="F8005" s="1">
        <f>IFERROR(__xludf.DUMMYFUNCTION("""COMPUTED_VALUE"""),0.0)</f>
        <v>0</v>
      </c>
    </row>
    <row r="8006">
      <c r="A8006" s="2">
        <f>IFERROR(__xludf.DUMMYFUNCTION("""COMPUTED_VALUE"""),42968.66666666667)</f>
        <v>42968.66667</v>
      </c>
      <c r="B8006" s="1">
        <f>IFERROR(__xludf.DUMMYFUNCTION("""COMPUTED_VALUE"""),2425.5)</f>
        <v>2425.5</v>
      </c>
      <c r="C8006" s="1">
        <f>IFERROR(__xludf.DUMMYFUNCTION("""COMPUTED_VALUE"""),2430.58)</f>
        <v>2430.58</v>
      </c>
      <c r="D8006" s="1">
        <f>IFERROR(__xludf.DUMMYFUNCTION("""COMPUTED_VALUE"""),2417.35)</f>
        <v>2417.35</v>
      </c>
      <c r="E8006" s="1">
        <f>IFERROR(__xludf.DUMMYFUNCTION("""COMPUTED_VALUE"""),2428.37)</f>
        <v>2428.37</v>
      </c>
      <c r="F8006" s="1">
        <f>IFERROR(__xludf.DUMMYFUNCTION("""COMPUTED_VALUE"""),0.0)</f>
        <v>0</v>
      </c>
    </row>
    <row r="8007">
      <c r="A8007" s="2">
        <f>IFERROR(__xludf.DUMMYFUNCTION("""COMPUTED_VALUE"""),42969.66666666667)</f>
        <v>42969.66667</v>
      </c>
      <c r="B8007" s="1">
        <f>IFERROR(__xludf.DUMMYFUNCTION("""COMPUTED_VALUE"""),2433.75)</f>
        <v>2433.75</v>
      </c>
      <c r="C8007" s="1">
        <f>IFERROR(__xludf.DUMMYFUNCTION("""COMPUTED_VALUE"""),2454.77)</f>
        <v>2454.77</v>
      </c>
      <c r="D8007" s="1">
        <f>IFERROR(__xludf.DUMMYFUNCTION("""COMPUTED_VALUE"""),2433.67)</f>
        <v>2433.67</v>
      </c>
      <c r="E8007" s="1">
        <f>IFERROR(__xludf.DUMMYFUNCTION("""COMPUTED_VALUE"""),2452.51)</f>
        <v>2452.51</v>
      </c>
      <c r="F8007" s="1">
        <f>IFERROR(__xludf.DUMMYFUNCTION("""COMPUTED_VALUE"""),0.0)</f>
        <v>0</v>
      </c>
    </row>
    <row r="8008">
      <c r="A8008" s="2">
        <f>IFERROR(__xludf.DUMMYFUNCTION("""COMPUTED_VALUE"""),42970.66666666667)</f>
        <v>42970.66667</v>
      </c>
      <c r="B8008" s="1">
        <f>IFERROR(__xludf.DUMMYFUNCTION("""COMPUTED_VALUE"""),2444.88)</f>
        <v>2444.88</v>
      </c>
      <c r="C8008" s="1">
        <f>IFERROR(__xludf.DUMMYFUNCTION("""COMPUTED_VALUE"""),2448.91)</f>
        <v>2448.91</v>
      </c>
      <c r="D8008" s="1">
        <f>IFERROR(__xludf.DUMMYFUNCTION("""COMPUTED_VALUE"""),2441.42)</f>
        <v>2441.42</v>
      </c>
      <c r="E8008" s="1">
        <f>IFERROR(__xludf.DUMMYFUNCTION("""COMPUTED_VALUE"""),2444.04)</f>
        <v>2444.04</v>
      </c>
      <c r="F8008" s="1">
        <f>IFERROR(__xludf.DUMMYFUNCTION("""COMPUTED_VALUE"""),0.0)</f>
        <v>0</v>
      </c>
    </row>
    <row r="8009">
      <c r="A8009" s="2">
        <f>IFERROR(__xludf.DUMMYFUNCTION("""COMPUTED_VALUE"""),42971.66666666667)</f>
        <v>42971.66667</v>
      </c>
      <c r="B8009" s="1">
        <f>IFERROR(__xludf.DUMMYFUNCTION("""COMPUTED_VALUE"""),2447.91)</f>
        <v>2447.91</v>
      </c>
      <c r="C8009" s="1">
        <f>IFERROR(__xludf.DUMMYFUNCTION("""COMPUTED_VALUE"""),2450.39)</f>
        <v>2450.39</v>
      </c>
      <c r="D8009" s="1">
        <f>IFERROR(__xludf.DUMMYFUNCTION("""COMPUTED_VALUE"""),2436.31)</f>
        <v>2436.31</v>
      </c>
      <c r="E8009" s="1">
        <f>IFERROR(__xludf.DUMMYFUNCTION("""COMPUTED_VALUE"""),2438.97)</f>
        <v>2438.97</v>
      </c>
      <c r="F8009" s="1">
        <f>IFERROR(__xludf.DUMMYFUNCTION("""COMPUTED_VALUE"""),0.0)</f>
        <v>0</v>
      </c>
    </row>
    <row r="8010">
      <c r="A8010" s="2">
        <f>IFERROR(__xludf.DUMMYFUNCTION("""COMPUTED_VALUE"""),42972.66666666667)</f>
        <v>42972.66667</v>
      </c>
      <c r="B8010" s="1">
        <f>IFERROR(__xludf.DUMMYFUNCTION("""COMPUTED_VALUE"""),2444.72)</f>
        <v>2444.72</v>
      </c>
      <c r="C8010" s="1">
        <f>IFERROR(__xludf.DUMMYFUNCTION("""COMPUTED_VALUE"""),2453.96)</f>
        <v>2453.96</v>
      </c>
      <c r="D8010" s="1">
        <f>IFERROR(__xludf.DUMMYFUNCTION("""COMPUTED_VALUE"""),2442.22)</f>
        <v>2442.22</v>
      </c>
      <c r="E8010" s="1">
        <f>IFERROR(__xludf.DUMMYFUNCTION("""COMPUTED_VALUE"""),2443.05)</f>
        <v>2443.05</v>
      </c>
      <c r="F8010" s="1">
        <f>IFERROR(__xludf.DUMMYFUNCTION("""COMPUTED_VALUE"""),0.0)</f>
        <v>0</v>
      </c>
    </row>
    <row r="8011">
      <c r="A8011" s="2">
        <f>IFERROR(__xludf.DUMMYFUNCTION("""COMPUTED_VALUE"""),42975.66666666667)</f>
        <v>42975.66667</v>
      </c>
      <c r="B8011" s="1">
        <f>IFERROR(__xludf.DUMMYFUNCTION("""COMPUTED_VALUE"""),2447.35)</f>
        <v>2447.35</v>
      </c>
      <c r="C8011" s="1">
        <f>IFERROR(__xludf.DUMMYFUNCTION("""COMPUTED_VALUE"""),2449.12)</f>
        <v>2449.12</v>
      </c>
      <c r="D8011" s="1">
        <f>IFERROR(__xludf.DUMMYFUNCTION("""COMPUTED_VALUE"""),2439.03)</f>
        <v>2439.03</v>
      </c>
      <c r="E8011" s="1">
        <f>IFERROR(__xludf.DUMMYFUNCTION("""COMPUTED_VALUE"""),2444.24)</f>
        <v>2444.24</v>
      </c>
      <c r="F8011" s="1">
        <f>IFERROR(__xludf.DUMMYFUNCTION("""COMPUTED_VALUE"""),0.0)</f>
        <v>0</v>
      </c>
    </row>
    <row r="8012">
      <c r="A8012" s="2">
        <f>IFERROR(__xludf.DUMMYFUNCTION("""COMPUTED_VALUE"""),42976.66666666667)</f>
        <v>42976.66667</v>
      </c>
      <c r="B8012" s="1">
        <f>IFERROR(__xludf.DUMMYFUNCTION("""COMPUTED_VALUE"""),2431.94)</f>
        <v>2431.94</v>
      </c>
      <c r="C8012" s="1">
        <f>IFERROR(__xludf.DUMMYFUNCTION("""COMPUTED_VALUE"""),2449.19)</f>
        <v>2449.19</v>
      </c>
      <c r="D8012" s="1">
        <f>IFERROR(__xludf.DUMMYFUNCTION("""COMPUTED_VALUE"""),2428.2)</f>
        <v>2428.2</v>
      </c>
      <c r="E8012" s="1">
        <f>IFERROR(__xludf.DUMMYFUNCTION("""COMPUTED_VALUE"""),2446.3)</f>
        <v>2446.3</v>
      </c>
      <c r="F8012" s="1">
        <f>IFERROR(__xludf.DUMMYFUNCTION("""COMPUTED_VALUE"""),0.0)</f>
        <v>0</v>
      </c>
    </row>
    <row r="8013">
      <c r="A8013" s="2">
        <f>IFERROR(__xludf.DUMMYFUNCTION("""COMPUTED_VALUE"""),42977.66666666667)</f>
        <v>42977.66667</v>
      </c>
      <c r="B8013" s="1">
        <f>IFERROR(__xludf.DUMMYFUNCTION("""COMPUTED_VALUE"""),2446.06)</f>
        <v>2446.06</v>
      </c>
      <c r="C8013" s="1">
        <f>IFERROR(__xludf.DUMMYFUNCTION("""COMPUTED_VALUE"""),2460.31)</f>
        <v>2460.31</v>
      </c>
      <c r="D8013" s="1">
        <f>IFERROR(__xludf.DUMMYFUNCTION("""COMPUTED_VALUE"""),2443.77)</f>
        <v>2443.77</v>
      </c>
      <c r="E8013" s="1">
        <f>IFERROR(__xludf.DUMMYFUNCTION("""COMPUTED_VALUE"""),2457.59)</f>
        <v>2457.59</v>
      </c>
      <c r="F8013" s="1">
        <f>IFERROR(__xludf.DUMMYFUNCTION("""COMPUTED_VALUE"""),0.0)</f>
        <v>0</v>
      </c>
    </row>
    <row r="8014">
      <c r="A8014" s="2">
        <f>IFERROR(__xludf.DUMMYFUNCTION("""COMPUTED_VALUE"""),42978.66666666667)</f>
        <v>42978.66667</v>
      </c>
      <c r="B8014" s="1">
        <f>IFERROR(__xludf.DUMMYFUNCTION("""COMPUTED_VALUE"""),2462.65)</f>
        <v>2462.65</v>
      </c>
      <c r="C8014" s="1">
        <f>IFERROR(__xludf.DUMMYFUNCTION("""COMPUTED_VALUE"""),2475.01)</f>
        <v>2475.01</v>
      </c>
      <c r="D8014" s="1">
        <f>IFERROR(__xludf.DUMMYFUNCTION("""COMPUTED_VALUE"""),2462.65)</f>
        <v>2462.65</v>
      </c>
      <c r="E8014" s="1">
        <f>IFERROR(__xludf.DUMMYFUNCTION("""COMPUTED_VALUE"""),2471.65)</f>
        <v>2471.65</v>
      </c>
      <c r="F8014" s="1">
        <f>IFERROR(__xludf.DUMMYFUNCTION("""COMPUTED_VALUE"""),0.0)</f>
        <v>0</v>
      </c>
    </row>
    <row r="8015">
      <c r="A8015" s="2">
        <f>IFERROR(__xludf.DUMMYFUNCTION("""COMPUTED_VALUE"""),42979.66666666667)</f>
        <v>42979.66667</v>
      </c>
      <c r="B8015" s="1">
        <f>IFERROR(__xludf.DUMMYFUNCTION("""COMPUTED_VALUE"""),2474.42)</f>
        <v>2474.42</v>
      </c>
      <c r="C8015" s="1">
        <f>IFERROR(__xludf.DUMMYFUNCTION("""COMPUTED_VALUE"""),2480.38)</f>
        <v>2480.38</v>
      </c>
      <c r="D8015" s="1">
        <f>IFERROR(__xludf.DUMMYFUNCTION("""COMPUTED_VALUE"""),2473.85)</f>
        <v>2473.85</v>
      </c>
      <c r="E8015" s="1">
        <f>IFERROR(__xludf.DUMMYFUNCTION("""COMPUTED_VALUE"""),2476.55)</f>
        <v>2476.55</v>
      </c>
      <c r="F8015" s="1">
        <f>IFERROR(__xludf.DUMMYFUNCTION("""COMPUTED_VALUE"""),0.0)</f>
        <v>0</v>
      </c>
    </row>
    <row r="8016">
      <c r="A8016" s="2">
        <f>IFERROR(__xludf.DUMMYFUNCTION("""COMPUTED_VALUE"""),42983.66666666667)</f>
        <v>42983.66667</v>
      </c>
      <c r="B8016" s="1">
        <f>IFERROR(__xludf.DUMMYFUNCTION("""COMPUTED_VALUE"""),2470.35)</f>
        <v>2470.35</v>
      </c>
      <c r="C8016" s="1">
        <f>IFERROR(__xludf.DUMMYFUNCTION("""COMPUTED_VALUE"""),2471.97)</f>
        <v>2471.97</v>
      </c>
      <c r="D8016" s="1">
        <f>IFERROR(__xludf.DUMMYFUNCTION("""COMPUTED_VALUE"""),2446.55)</f>
        <v>2446.55</v>
      </c>
      <c r="E8016" s="1">
        <f>IFERROR(__xludf.DUMMYFUNCTION("""COMPUTED_VALUE"""),2457.85)</f>
        <v>2457.85</v>
      </c>
      <c r="F8016" s="1">
        <f>IFERROR(__xludf.DUMMYFUNCTION("""COMPUTED_VALUE"""),0.0)</f>
        <v>0</v>
      </c>
    </row>
    <row r="8017">
      <c r="A8017" s="2">
        <f>IFERROR(__xludf.DUMMYFUNCTION("""COMPUTED_VALUE"""),42984.66666666667)</f>
        <v>42984.66667</v>
      </c>
      <c r="B8017" s="1">
        <f>IFERROR(__xludf.DUMMYFUNCTION("""COMPUTED_VALUE"""),2463.83)</f>
        <v>2463.83</v>
      </c>
      <c r="C8017" s="1">
        <f>IFERROR(__xludf.DUMMYFUNCTION("""COMPUTED_VALUE"""),2469.64)</f>
        <v>2469.64</v>
      </c>
      <c r="D8017" s="1">
        <f>IFERROR(__xludf.DUMMYFUNCTION("""COMPUTED_VALUE"""),2459.2)</f>
        <v>2459.2</v>
      </c>
      <c r="E8017" s="1">
        <f>IFERROR(__xludf.DUMMYFUNCTION("""COMPUTED_VALUE"""),2465.54)</f>
        <v>2465.54</v>
      </c>
      <c r="F8017" s="1">
        <f>IFERROR(__xludf.DUMMYFUNCTION("""COMPUTED_VALUE"""),0.0)</f>
        <v>0</v>
      </c>
    </row>
    <row r="8018">
      <c r="A8018" s="2">
        <f>IFERROR(__xludf.DUMMYFUNCTION("""COMPUTED_VALUE"""),42985.66666666667)</f>
        <v>42985.66667</v>
      </c>
      <c r="B8018" s="1">
        <f>IFERROR(__xludf.DUMMYFUNCTION("""COMPUTED_VALUE"""),2468.06)</f>
        <v>2468.06</v>
      </c>
      <c r="C8018" s="1">
        <f>IFERROR(__xludf.DUMMYFUNCTION("""COMPUTED_VALUE"""),2468.62)</f>
        <v>2468.62</v>
      </c>
      <c r="D8018" s="1">
        <f>IFERROR(__xludf.DUMMYFUNCTION("""COMPUTED_VALUE"""),2460.29)</f>
        <v>2460.29</v>
      </c>
      <c r="E8018" s="1">
        <f>IFERROR(__xludf.DUMMYFUNCTION("""COMPUTED_VALUE"""),2465.1)</f>
        <v>2465.1</v>
      </c>
      <c r="F8018" s="1">
        <f>IFERROR(__xludf.DUMMYFUNCTION("""COMPUTED_VALUE"""),0.0)</f>
        <v>0</v>
      </c>
    </row>
    <row r="8019">
      <c r="A8019" s="2">
        <f>IFERROR(__xludf.DUMMYFUNCTION("""COMPUTED_VALUE"""),42986.66666666667)</f>
        <v>42986.66667</v>
      </c>
      <c r="B8019" s="1">
        <f>IFERROR(__xludf.DUMMYFUNCTION("""COMPUTED_VALUE"""),2462.25)</f>
        <v>2462.25</v>
      </c>
      <c r="C8019" s="1">
        <f>IFERROR(__xludf.DUMMYFUNCTION("""COMPUTED_VALUE"""),2467.11)</f>
        <v>2467.11</v>
      </c>
      <c r="D8019" s="1">
        <f>IFERROR(__xludf.DUMMYFUNCTION("""COMPUTED_VALUE"""),2459.4)</f>
        <v>2459.4</v>
      </c>
      <c r="E8019" s="1">
        <f>IFERROR(__xludf.DUMMYFUNCTION("""COMPUTED_VALUE"""),2461.43)</f>
        <v>2461.43</v>
      </c>
      <c r="F8019" s="1">
        <f>IFERROR(__xludf.DUMMYFUNCTION("""COMPUTED_VALUE"""),0.0)</f>
        <v>0</v>
      </c>
    </row>
    <row r="8020">
      <c r="A8020" s="2">
        <f>IFERROR(__xludf.DUMMYFUNCTION("""COMPUTED_VALUE"""),42989.66666666667)</f>
        <v>42989.66667</v>
      </c>
      <c r="B8020" s="1">
        <f>IFERROR(__xludf.DUMMYFUNCTION("""COMPUTED_VALUE"""),2474.52)</f>
        <v>2474.52</v>
      </c>
      <c r="C8020" s="1">
        <f>IFERROR(__xludf.DUMMYFUNCTION("""COMPUTED_VALUE"""),2488.95)</f>
        <v>2488.95</v>
      </c>
      <c r="D8020" s="1">
        <f>IFERROR(__xludf.DUMMYFUNCTION("""COMPUTED_VALUE"""),2474.52)</f>
        <v>2474.52</v>
      </c>
      <c r="E8020" s="1">
        <f>IFERROR(__xludf.DUMMYFUNCTION("""COMPUTED_VALUE"""),2488.11)</f>
        <v>2488.11</v>
      </c>
      <c r="F8020" s="1">
        <f>IFERROR(__xludf.DUMMYFUNCTION("""COMPUTED_VALUE"""),0.0)</f>
        <v>0</v>
      </c>
    </row>
    <row r="8021">
      <c r="A8021" s="2">
        <f>IFERROR(__xludf.DUMMYFUNCTION("""COMPUTED_VALUE"""),42990.66666666667)</f>
        <v>42990.66667</v>
      </c>
      <c r="B8021" s="1">
        <f>IFERROR(__xludf.DUMMYFUNCTION("""COMPUTED_VALUE"""),2491.94)</f>
        <v>2491.94</v>
      </c>
      <c r="C8021" s="1">
        <f>IFERROR(__xludf.DUMMYFUNCTION("""COMPUTED_VALUE"""),2496.77)</f>
        <v>2496.77</v>
      </c>
      <c r="D8021" s="1">
        <f>IFERROR(__xludf.DUMMYFUNCTION("""COMPUTED_VALUE"""),2490.37)</f>
        <v>2490.37</v>
      </c>
      <c r="E8021" s="1">
        <f>IFERROR(__xludf.DUMMYFUNCTION("""COMPUTED_VALUE"""),2496.48)</f>
        <v>2496.48</v>
      </c>
      <c r="F8021" s="1">
        <f>IFERROR(__xludf.DUMMYFUNCTION("""COMPUTED_VALUE"""),0.0)</f>
        <v>0</v>
      </c>
    </row>
    <row r="8022">
      <c r="A8022" s="2">
        <f>IFERROR(__xludf.DUMMYFUNCTION("""COMPUTED_VALUE"""),42991.66666666667)</f>
        <v>42991.66667</v>
      </c>
      <c r="B8022" s="1">
        <f>IFERROR(__xludf.DUMMYFUNCTION("""COMPUTED_VALUE"""),2493.89)</f>
        <v>2493.89</v>
      </c>
      <c r="C8022" s="1">
        <f>IFERROR(__xludf.DUMMYFUNCTION("""COMPUTED_VALUE"""),2498.37)</f>
        <v>2498.37</v>
      </c>
      <c r="D8022" s="1">
        <f>IFERROR(__xludf.DUMMYFUNCTION("""COMPUTED_VALUE"""),2492.14)</f>
        <v>2492.14</v>
      </c>
      <c r="E8022" s="1">
        <f>IFERROR(__xludf.DUMMYFUNCTION("""COMPUTED_VALUE"""),2498.37)</f>
        <v>2498.37</v>
      </c>
      <c r="F8022" s="1">
        <f>IFERROR(__xludf.DUMMYFUNCTION("""COMPUTED_VALUE"""),0.0)</f>
        <v>0</v>
      </c>
    </row>
    <row r="8023">
      <c r="A8023" s="2">
        <f>IFERROR(__xludf.DUMMYFUNCTION("""COMPUTED_VALUE"""),42992.66666666667)</f>
        <v>42992.66667</v>
      </c>
      <c r="B8023" s="1">
        <f>IFERROR(__xludf.DUMMYFUNCTION("""COMPUTED_VALUE"""),2494.56)</f>
        <v>2494.56</v>
      </c>
      <c r="C8023" s="1">
        <f>IFERROR(__xludf.DUMMYFUNCTION("""COMPUTED_VALUE"""),2498.43)</f>
        <v>2498.43</v>
      </c>
      <c r="D8023" s="1">
        <f>IFERROR(__xludf.DUMMYFUNCTION("""COMPUTED_VALUE"""),2491.35)</f>
        <v>2491.35</v>
      </c>
      <c r="E8023" s="1">
        <f>IFERROR(__xludf.DUMMYFUNCTION("""COMPUTED_VALUE"""),2495.62)</f>
        <v>2495.62</v>
      </c>
      <c r="F8023" s="1">
        <f>IFERROR(__xludf.DUMMYFUNCTION("""COMPUTED_VALUE"""),0.0)</f>
        <v>0</v>
      </c>
    </row>
    <row r="8024">
      <c r="A8024" s="2">
        <f>IFERROR(__xludf.DUMMYFUNCTION("""COMPUTED_VALUE"""),42993.66666666667)</f>
        <v>42993.66667</v>
      </c>
      <c r="B8024" s="1">
        <f>IFERROR(__xludf.DUMMYFUNCTION("""COMPUTED_VALUE"""),2495.67)</f>
        <v>2495.67</v>
      </c>
      <c r="C8024" s="1">
        <f>IFERROR(__xludf.DUMMYFUNCTION("""COMPUTED_VALUE"""),2500.23)</f>
        <v>2500.23</v>
      </c>
      <c r="D8024" s="1">
        <f>IFERROR(__xludf.DUMMYFUNCTION("""COMPUTED_VALUE"""),2493.16)</f>
        <v>2493.16</v>
      </c>
      <c r="E8024" s="1">
        <f>IFERROR(__xludf.DUMMYFUNCTION("""COMPUTED_VALUE"""),2500.23)</f>
        <v>2500.23</v>
      </c>
      <c r="F8024" s="1">
        <f>IFERROR(__xludf.DUMMYFUNCTION("""COMPUTED_VALUE"""),0.0)</f>
        <v>0</v>
      </c>
    </row>
    <row r="8025">
      <c r="A8025" s="2">
        <f>IFERROR(__xludf.DUMMYFUNCTION("""COMPUTED_VALUE"""),42996.66666666667)</f>
        <v>42996.66667</v>
      </c>
      <c r="B8025" s="1">
        <f>IFERROR(__xludf.DUMMYFUNCTION("""COMPUTED_VALUE"""),2502.51)</f>
        <v>2502.51</v>
      </c>
      <c r="C8025" s="1">
        <f>IFERROR(__xludf.DUMMYFUNCTION("""COMPUTED_VALUE"""),2508.32)</f>
        <v>2508.32</v>
      </c>
      <c r="D8025" s="1">
        <f>IFERROR(__xludf.DUMMYFUNCTION("""COMPUTED_VALUE"""),2499.92)</f>
        <v>2499.92</v>
      </c>
      <c r="E8025" s="1">
        <f>IFERROR(__xludf.DUMMYFUNCTION("""COMPUTED_VALUE"""),2503.87)</f>
        <v>2503.87</v>
      </c>
      <c r="F8025" s="1">
        <f>IFERROR(__xludf.DUMMYFUNCTION("""COMPUTED_VALUE"""),0.0)</f>
        <v>0</v>
      </c>
    </row>
    <row r="8026">
      <c r="A8026" s="2">
        <f>IFERROR(__xludf.DUMMYFUNCTION("""COMPUTED_VALUE"""),42997.66666666667)</f>
        <v>42997.66667</v>
      </c>
      <c r="B8026" s="1">
        <f>IFERROR(__xludf.DUMMYFUNCTION("""COMPUTED_VALUE"""),2506.29)</f>
        <v>2506.29</v>
      </c>
      <c r="C8026" s="1">
        <f>IFERROR(__xludf.DUMMYFUNCTION("""COMPUTED_VALUE"""),2507.84)</f>
        <v>2507.84</v>
      </c>
      <c r="D8026" s="1">
        <f>IFERROR(__xludf.DUMMYFUNCTION("""COMPUTED_VALUE"""),2503.19)</f>
        <v>2503.19</v>
      </c>
      <c r="E8026" s="1">
        <f>IFERROR(__xludf.DUMMYFUNCTION("""COMPUTED_VALUE"""),2506.65)</f>
        <v>2506.65</v>
      </c>
      <c r="F8026" s="1">
        <f>IFERROR(__xludf.DUMMYFUNCTION("""COMPUTED_VALUE"""),0.0)</f>
        <v>0</v>
      </c>
    </row>
    <row r="8027">
      <c r="A8027" s="2">
        <f>IFERROR(__xludf.DUMMYFUNCTION("""COMPUTED_VALUE"""),42998.66666666667)</f>
        <v>42998.66667</v>
      </c>
      <c r="B8027" s="1">
        <f>IFERROR(__xludf.DUMMYFUNCTION("""COMPUTED_VALUE"""),2506.84)</f>
        <v>2506.84</v>
      </c>
      <c r="C8027" s="1">
        <f>IFERROR(__xludf.DUMMYFUNCTION("""COMPUTED_VALUE"""),2508.85)</f>
        <v>2508.85</v>
      </c>
      <c r="D8027" s="1">
        <f>IFERROR(__xludf.DUMMYFUNCTION("""COMPUTED_VALUE"""),2496.67)</f>
        <v>2496.67</v>
      </c>
      <c r="E8027" s="1">
        <f>IFERROR(__xludf.DUMMYFUNCTION("""COMPUTED_VALUE"""),2508.24)</f>
        <v>2508.24</v>
      </c>
      <c r="F8027" s="1">
        <f>IFERROR(__xludf.DUMMYFUNCTION("""COMPUTED_VALUE"""),0.0)</f>
        <v>0</v>
      </c>
    </row>
    <row r="8028">
      <c r="A8028" s="2">
        <f>IFERROR(__xludf.DUMMYFUNCTION("""COMPUTED_VALUE"""),42999.66666666667)</f>
        <v>42999.66667</v>
      </c>
      <c r="B8028" s="1">
        <f>IFERROR(__xludf.DUMMYFUNCTION("""COMPUTED_VALUE"""),2507.16)</f>
        <v>2507.16</v>
      </c>
      <c r="C8028" s="1">
        <f>IFERROR(__xludf.DUMMYFUNCTION("""COMPUTED_VALUE"""),2507.16)</f>
        <v>2507.16</v>
      </c>
      <c r="D8028" s="1">
        <f>IFERROR(__xludf.DUMMYFUNCTION("""COMPUTED_VALUE"""),2499.0)</f>
        <v>2499</v>
      </c>
      <c r="E8028" s="1">
        <f>IFERROR(__xludf.DUMMYFUNCTION("""COMPUTED_VALUE"""),2500.6)</f>
        <v>2500.6</v>
      </c>
      <c r="F8028" s="1">
        <f>IFERROR(__xludf.DUMMYFUNCTION("""COMPUTED_VALUE"""),0.0)</f>
        <v>0</v>
      </c>
    </row>
    <row r="8029">
      <c r="A8029" s="2">
        <f>IFERROR(__xludf.DUMMYFUNCTION("""COMPUTED_VALUE"""),43000.66666666667)</f>
        <v>43000.66667</v>
      </c>
      <c r="B8029" s="1">
        <f>IFERROR(__xludf.DUMMYFUNCTION("""COMPUTED_VALUE"""),2497.26)</f>
        <v>2497.26</v>
      </c>
      <c r="C8029" s="1">
        <f>IFERROR(__xludf.DUMMYFUNCTION("""COMPUTED_VALUE"""),2503.47)</f>
        <v>2503.47</v>
      </c>
      <c r="D8029" s="1">
        <f>IFERROR(__xludf.DUMMYFUNCTION("""COMPUTED_VALUE"""),2496.54)</f>
        <v>2496.54</v>
      </c>
      <c r="E8029" s="1">
        <f>IFERROR(__xludf.DUMMYFUNCTION("""COMPUTED_VALUE"""),2502.22)</f>
        <v>2502.22</v>
      </c>
      <c r="F8029" s="1">
        <f>IFERROR(__xludf.DUMMYFUNCTION("""COMPUTED_VALUE"""),0.0)</f>
        <v>0</v>
      </c>
    </row>
    <row r="8030">
      <c r="A8030" s="2">
        <f>IFERROR(__xludf.DUMMYFUNCTION("""COMPUTED_VALUE"""),43003.66666666667)</f>
        <v>43003.66667</v>
      </c>
      <c r="B8030" s="1">
        <f>IFERROR(__xludf.DUMMYFUNCTION("""COMPUTED_VALUE"""),2499.39)</f>
        <v>2499.39</v>
      </c>
      <c r="C8030" s="1">
        <f>IFERROR(__xludf.DUMMYFUNCTION("""COMPUTED_VALUE"""),2502.54)</f>
        <v>2502.54</v>
      </c>
      <c r="D8030" s="1">
        <f>IFERROR(__xludf.DUMMYFUNCTION("""COMPUTED_VALUE"""),2488.03)</f>
        <v>2488.03</v>
      </c>
      <c r="E8030" s="1">
        <f>IFERROR(__xludf.DUMMYFUNCTION("""COMPUTED_VALUE"""),2496.66)</f>
        <v>2496.66</v>
      </c>
      <c r="F8030" s="1">
        <f>IFERROR(__xludf.DUMMYFUNCTION("""COMPUTED_VALUE"""),0.0)</f>
        <v>0</v>
      </c>
    </row>
    <row r="8031">
      <c r="A8031" s="2">
        <f>IFERROR(__xludf.DUMMYFUNCTION("""COMPUTED_VALUE"""),43004.66666666667)</f>
        <v>43004.66667</v>
      </c>
      <c r="B8031" s="1">
        <f>IFERROR(__xludf.DUMMYFUNCTION("""COMPUTED_VALUE"""),2501.04)</f>
        <v>2501.04</v>
      </c>
      <c r="C8031" s="1">
        <f>IFERROR(__xludf.DUMMYFUNCTION("""COMPUTED_VALUE"""),2503.51)</f>
        <v>2503.51</v>
      </c>
      <c r="D8031" s="1">
        <f>IFERROR(__xludf.DUMMYFUNCTION("""COMPUTED_VALUE"""),2495.12)</f>
        <v>2495.12</v>
      </c>
      <c r="E8031" s="1">
        <f>IFERROR(__xludf.DUMMYFUNCTION("""COMPUTED_VALUE"""),2496.84)</f>
        <v>2496.84</v>
      </c>
      <c r="F8031" s="1">
        <f>IFERROR(__xludf.DUMMYFUNCTION("""COMPUTED_VALUE"""),0.0)</f>
        <v>0</v>
      </c>
    </row>
    <row r="8032">
      <c r="A8032" s="2">
        <f>IFERROR(__xludf.DUMMYFUNCTION("""COMPUTED_VALUE"""),43005.66666666667)</f>
        <v>43005.66667</v>
      </c>
      <c r="B8032" s="1">
        <f>IFERROR(__xludf.DUMMYFUNCTION("""COMPUTED_VALUE"""),2503.3)</f>
        <v>2503.3</v>
      </c>
      <c r="C8032" s="1">
        <f>IFERROR(__xludf.DUMMYFUNCTION("""COMPUTED_VALUE"""),2511.75)</f>
        <v>2511.75</v>
      </c>
      <c r="D8032" s="1">
        <f>IFERROR(__xludf.DUMMYFUNCTION("""COMPUTED_VALUE"""),2495.91)</f>
        <v>2495.91</v>
      </c>
      <c r="E8032" s="1">
        <f>IFERROR(__xludf.DUMMYFUNCTION("""COMPUTED_VALUE"""),2507.04)</f>
        <v>2507.04</v>
      </c>
      <c r="F8032" s="1">
        <f>IFERROR(__xludf.DUMMYFUNCTION("""COMPUTED_VALUE"""),0.0)</f>
        <v>0</v>
      </c>
    </row>
    <row r="8033">
      <c r="A8033" s="2">
        <f>IFERROR(__xludf.DUMMYFUNCTION("""COMPUTED_VALUE"""),43006.66666666667)</f>
        <v>43006.66667</v>
      </c>
      <c r="B8033" s="1">
        <f>IFERROR(__xludf.DUMMYFUNCTION("""COMPUTED_VALUE"""),2503.41)</f>
        <v>2503.41</v>
      </c>
      <c r="C8033" s="1">
        <f>IFERROR(__xludf.DUMMYFUNCTION("""COMPUTED_VALUE"""),2510.81)</f>
        <v>2510.81</v>
      </c>
      <c r="D8033" s="1">
        <f>IFERROR(__xludf.DUMMYFUNCTION("""COMPUTED_VALUE"""),2502.93)</f>
        <v>2502.93</v>
      </c>
      <c r="E8033" s="1">
        <f>IFERROR(__xludf.DUMMYFUNCTION("""COMPUTED_VALUE"""),2510.06)</f>
        <v>2510.06</v>
      </c>
      <c r="F8033" s="1">
        <f>IFERROR(__xludf.DUMMYFUNCTION("""COMPUTED_VALUE"""),0.0)</f>
        <v>0</v>
      </c>
    </row>
    <row r="8034">
      <c r="A8034" s="2">
        <f>IFERROR(__xludf.DUMMYFUNCTION("""COMPUTED_VALUE"""),43007.66666666667)</f>
        <v>43007.66667</v>
      </c>
      <c r="B8034" s="1">
        <f>IFERROR(__xludf.DUMMYFUNCTION("""COMPUTED_VALUE"""),2509.96)</f>
        <v>2509.96</v>
      </c>
      <c r="C8034" s="1">
        <f>IFERROR(__xludf.DUMMYFUNCTION("""COMPUTED_VALUE"""),2519.44)</f>
        <v>2519.44</v>
      </c>
      <c r="D8034" s="1">
        <f>IFERROR(__xludf.DUMMYFUNCTION("""COMPUTED_VALUE"""),2509.11)</f>
        <v>2509.11</v>
      </c>
      <c r="E8034" s="1">
        <f>IFERROR(__xludf.DUMMYFUNCTION("""COMPUTED_VALUE"""),2519.36)</f>
        <v>2519.36</v>
      </c>
      <c r="F8034" s="1">
        <f>IFERROR(__xludf.DUMMYFUNCTION("""COMPUTED_VALUE"""),0.0)</f>
        <v>0</v>
      </c>
    </row>
    <row r="8035">
      <c r="A8035" s="2">
        <f>IFERROR(__xludf.DUMMYFUNCTION("""COMPUTED_VALUE"""),43010.66666666667)</f>
        <v>43010.66667</v>
      </c>
      <c r="B8035" s="1">
        <f>IFERROR(__xludf.DUMMYFUNCTION("""COMPUTED_VALUE"""),2521.2)</f>
        <v>2521.2</v>
      </c>
      <c r="C8035" s="1">
        <f>IFERROR(__xludf.DUMMYFUNCTION("""COMPUTED_VALUE"""),2529.23)</f>
        <v>2529.23</v>
      </c>
      <c r="D8035" s="1">
        <f>IFERROR(__xludf.DUMMYFUNCTION("""COMPUTED_VALUE"""),2520.4)</f>
        <v>2520.4</v>
      </c>
      <c r="E8035" s="1">
        <f>IFERROR(__xludf.DUMMYFUNCTION("""COMPUTED_VALUE"""),2529.12)</f>
        <v>2529.12</v>
      </c>
      <c r="F8035" s="1">
        <f>IFERROR(__xludf.DUMMYFUNCTION("""COMPUTED_VALUE"""),0.0)</f>
        <v>0</v>
      </c>
    </row>
    <row r="8036">
      <c r="A8036" s="2">
        <f>IFERROR(__xludf.DUMMYFUNCTION("""COMPUTED_VALUE"""),43011.66666666667)</f>
        <v>43011.66667</v>
      </c>
      <c r="B8036" s="1">
        <f>IFERROR(__xludf.DUMMYFUNCTION("""COMPUTED_VALUE"""),2530.34)</f>
        <v>2530.34</v>
      </c>
      <c r="C8036" s="1">
        <f>IFERROR(__xludf.DUMMYFUNCTION("""COMPUTED_VALUE"""),2535.13)</f>
        <v>2535.13</v>
      </c>
      <c r="D8036" s="1">
        <f>IFERROR(__xludf.DUMMYFUNCTION("""COMPUTED_VALUE"""),2528.85)</f>
        <v>2528.85</v>
      </c>
      <c r="E8036" s="1">
        <f>IFERROR(__xludf.DUMMYFUNCTION("""COMPUTED_VALUE"""),2534.58)</f>
        <v>2534.58</v>
      </c>
      <c r="F8036" s="1">
        <f>IFERROR(__xludf.DUMMYFUNCTION("""COMPUTED_VALUE"""),0.0)</f>
        <v>0</v>
      </c>
    </row>
    <row r="8037">
      <c r="A8037" s="2">
        <f>IFERROR(__xludf.DUMMYFUNCTION("""COMPUTED_VALUE"""),43012.66666666667)</f>
        <v>43012.66667</v>
      </c>
      <c r="B8037" s="1">
        <f>IFERROR(__xludf.DUMMYFUNCTION("""COMPUTED_VALUE"""),2533.48)</f>
        <v>2533.48</v>
      </c>
      <c r="C8037" s="1">
        <f>IFERROR(__xludf.DUMMYFUNCTION("""COMPUTED_VALUE"""),2540.53)</f>
        <v>2540.53</v>
      </c>
      <c r="D8037" s="1">
        <f>IFERROR(__xludf.DUMMYFUNCTION("""COMPUTED_VALUE"""),2531.8)</f>
        <v>2531.8</v>
      </c>
      <c r="E8037" s="1">
        <f>IFERROR(__xludf.DUMMYFUNCTION("""COMPUTED_VALUE"""),2537.74)</f>
        <v>2537.74</v>
      </c>
      <c r="F8037" s="1">
        <f>IFERROR(__xludf.DUMMYFUNCTION("""COMPUTED_VALUE"""),0.0)</f>
        <v>0</v>
      </c>
    </row>
    <row r="8038">
      <c r="A8038" s="2">
        <f>IFERROR(__xludf.DUMMYFUNCTION("""COMPUTED_VALUE"""),43013.66666666667)</f>
        <v>43013.66667</v>
      </c>
      <c r="B8038" s="1">
        <f>IFERROR(__xludf.DUMMYFUNCTION("""COMPUTED_VALUE"""),2540.86)</f>
        <v>2540.86</v>
      </c>
      <c r="C8038" s="1">
        <f>IFERROR(__xludf.DUMMYFUNCTION("""COMPUTED_VALUE"""),2552.51)</f>
        <v>2552.51</v>
      </c>
      <c r="D8038" s="1">
        <f>IFERROR(__xludf.DUMMYFUNCTION("""COMPUTED_VALUE"""),2540.02)</f>
        <v>2540.02</v>
      </c>
      <c r="E8038" s="1">
        <f>IFERROR(__xludf.DUMMYFUNCTION("""COMPUTED_VALUE"""),2552.07)</f>
        <v>2552.07</v>
      </c>
      <c r="F8038" s="1">
        <f>IFERROR(__xludf.DUMMYFUNCTION("""COMPUTED_VALUE"""),0.0)</f>
        <v>0</v>
      </c>
    </row>
    <row r="8039">
      <c r="A8039" s="2">
        <f>IFERROR(__xludf.DUMMYFUNCTION("""COMPUTED_VALUE"""),43014.66666666667)</f>
        <v>43014.66667</v>
      </c>
      <c r="B8039" s="1">
        <f>IFERROR(__xludf.DUMMYFUNCTION("""COMPUTED_VALUE"""),2547.44)</f>
        <v>2547.44</v>
      </c>
      <c r="C8039" s="1">
        <f>IFERROR(__xludf.DUMMYFUNCTION("""COMPUTED_VALUE"""),2549.41)</f>
        <v>2549.41</v>
      </c>
      <c r="D8039" s="1">
        <f>IFERROR(__xludf.DUMMYFUNCTION("""COMPUTED_VALUE"""),2543.79)</f>
        <v>2543.79</v>
      </c>
      <c r="E8039" s="1">
        <f>IFERROR(__xludf.DUMMYFUNCTION("""COMPUTED_VALUE"""),2549.33)</f>
        <v>2549.33</v>
      </c>
      <c r="F8039" s="1">
        <f>IFERROR(__xludf.DUMMYFUNCTION("""COMPUTED_VALUE"""),0.0)</f>
        <v>0</v>
      </c>
    </row>
    <row r="8040">
      <c r="A8040" s="2">
        <f>IFERROR(__xludf.DUMMYFUNCTION("""COMPUTED_VALUE"""),43017.66666666667)</f>
        <v>43017.66667</v>
      </c>
      <c r="B8040" s="1">
        <f>IFERROR(__xludf.DUMMYFUNCTION("""COMPUTED_VALUE"""),2551.39)</f>
        <v>2551.39</v>
      </c>
      <c r="C8040" s="1">
        <f>IFERROR(__xludf.DUMMYFUNCTION("""COMPUTED_VALUE"""),2551.82)</f>
        <v>2551.82</v>
      </c>
      <c r="D8040" s="1">
        <f>IFERROR(__xludf.DUMMYFUNCTION("""COMPUTED_VALUE"""),2541.6)</f>
        <v>2541.6</v>
      </c>
      <c r="E8040" s="1">
        <f>IFERROR(__xludf.DUMMYFUNCTION("""COMPUTED_VALUE"""),2544.73)</f>
        <v>2544.73</v>
      </c>
      <c r="F8040" s="1">
        <f>IFERROR(__xludf.DUMMYFUNCTION("""COMPUTED_VALUE"""),0.0)</f>
        <v>0</v>
      </c>
    </row>
    <row r="8041">
      <c r="A8041" s="2">
        <f>IFERROR(__xludf.DUMMYFUNCTION("""COMPUTED_VALUE"""),43018.66666666667)</f>
        <v>43018.66667</v>
      </c>
      <c r="B8041" s="1">
        <f>IFERROR(__xludf.DUMMYFUNCTION("""COMPUTED_VALUE"""),2549.99)</f>
        <v>2549.99</v>
      </c>
      <c r="C8041" s="1">
        <f>IFERROR(__xludf.DUMMYFUNCTION("""COMPUTED_VALUE"""),2555.23)</f>
        <v>2555.23</v>
      </c>
      <c r="D8041" s="1">
        <f>IFERROR(__xludf.DUMMYFUNCTION("""COMPUTED_VALUE"""),2544.86)</f>
        <v>2544.86</v>
      </c>
      <c r="E8041" s="1">
        <f>IFERROR(__xludf.DUMMYFUNCTION("""COMPUTED_VALUE"""),2550.64)</f>
        <v>2550.64</v>
      </c>
      <c r="F8041" s="1">
        <f>IFERROR(__xludf.DUMMYFUNCTION("""COMPUTED_VALUE"""),0.0)</f>
        <v>0</v>
      </c>
    </row>
    <row r="8042">
      <c r="A8042" s="2">
        <f>IFERROR(__xludf.DUMMYFUNCTION("""COMPUTED_VALUE"""),43019.66666666667)</f>
        <v>43019.66667</v>
      </c>
      <c r="B8042" s="1">
        <f>IFERROR(__xludf.DUMMYFUNCTION("""COMPUTED_VALUE"""),2550.62)</f>
        <v>2550.62</v>
      </c>
      <c r="C8042" s="1">
        <f>IFERROR(__xludf.DUMMYFUNCTION("""COMPUTED_VALUE"""),2555.24)</f>
        <v>2555.24</v>
      </c>
      <c r="D8042" s="1">
        <f>IFERROR(__xludf.DUMMYFUNCTION("""COMPUTED_VALUE"""),2547.95)</f>
        <v>2547.95</v>
      </c>
      <c r="E8042" s="1">
        <f>IFERROR(__xludf.DUMMYFUNCTION("""COMPUTED_VALUE"""),2555.24)</f>
        <v>2555.24</v>
      </c>
      <c r="F8042" s="1">
        <f>IFERROR(__xludf.DUMMYFUNCTION("""COMPUTED_VALUE"""),0.0)</f>
        <v>0</v>
      </c>
    </row>
    <row r="8043">
      <c r="A8043" s="2">
        <f>IFERROR(__xludf.DUMMYFUNCTION("""COMPUTED_VALUE"""),43020.66666666667)</f>
        <v>43020.66667</v>
      </c>
      <c r="B8043" s="1">
        <f>IFERROR(__xludf.DUMMYFUNCTION("""COMPUTED_VALUE"""),2552.88)</f>
        <v>2552.88</v>
      </c>
      <c r="C8043" s="1">
        <f>IFERROR(__xludf.DUMMYFUNCTION("""COMPUTED_VALUE"""),2555.33)</f>
        <v>2555.33</v>
      </c>
      <c r="D8043" s="1">
        <f>IFERROR(__xludf.DUMMYFUNCTION("""COMPUTED_VALUE"""),2548.31)</f>
        <v>2548.31</v>
      </c>
      <c r="E8043" s="1">
        <f>IFERROR(__xludf.DUMMYFUNCTION("""COMPUTED_VALUE"""),2550.93)</f>
        <v>2550.93</v>
      </c>
      <c r="F8043" s="1">
        <f>IFERROR(__xludf.DUMMYFUNCTION("""COMPUTED_VALUE"""),0.0)</f>
        <v>0</v>
      </c>
    </row>
    <row r="8044">
      <c r="A8044" s="2">
        <f>IFERROR(__xludf.DUMMYFUNCTION("""COMPUTED_VALUE"""),43021.66666666667)</f>
        <v>43021.66667</v>
      </c>
      <c r="B8044" s="1">
        <f>IFERROR(__xludf.DUMMYFUNCTION("""COMPUTED_VALUE"""),2555.66)</f>
        <v>2555.66</v>
      </c>
      <c r="C8044" s="1">
        <f>IFERROR(__xludf.DUMMYFUNCTION("""COMPUTED_VALUE"""),2557.65)</f>
        <v>2557.65</v>
      </c>
      <c r="D8044" s="1">
        <f>IFERROR(__xludf.DUMMYFUNCTION("""COMPUTED_VALUE"""),2552.09)</f>
        <v>2552.09</v>
      </c>
      <c r="E8044" s="1">
        <f>IFERROR(__xludf.DUMMYFUNCTION("""COMPUTED_VALUE"""),2553.17)</f>
        <v>2553.17</v>
      </c>
      <c r="F8044" s="1">
        <f>IFERROR(__xludf.DUMMYFUNCTION("""COMPUTED_VALUE"""),0.0)</f>
        <v>0</v>
      </c>
    </row>
    <row r="8045">
      <c r="A8045" s="2">
        <f>IFERROR(__xludf.DUMMYFUNCTION("""COMPUTED_VALUE"""),43024.66666666667)</f>
        <v>43024.66667</v>
      </c>
      <c r="B8045" s="1">
        <f>IFERROR(__xludf.DUMMYFUNCTION("""COMPUTED_VALUE"""),2555.57)</f>
        <v>2555.57</v>
      </c>
      <c r="C8045" s="1">
        <f>IFERROR(__xludf.DUMMYFUNCTION("""COMPUTED_VALUE"""),2559.47)</f>
        <v>2559.47</v>
      </c>
      <c r="D8045" s="1">
        <f>IFERROR(__xludf.DUMMYFUNCTION("""COMPUTED_VALUE"""),2552.64)</f>
        <v>2552.64</v>
      </c>
      <c r="E8045" s="1">
        <f>IFERROR(__xludf.DUMMYFUNCTION("""COMPUTED_VALUE"""),2557.64)</f>
        <v>2557.64</v>
      </c>
      <c r="F8045" s="1">
        <f>IFERROR(__xludf.DUMMYFUNCTION("""COMPUTED_VALUE"""),0.0)</f>
        <v>0</v>
      </c>
    </row>
    <row r="8046">
      <c r="A8046" s="2">
        <f>IFERROR(__xludf.DUMMYFUNCTION("""COMPUTED_VALUE"""),43025.66666666667)</f>
        <v>43025.66667</v>
      </c>
      <c r="B8046" s="1">
        <f>IFERROR(__xludf.DUMMYFUNCTION("""COMPUTED_VALUE"""),2557.17)</f>
        <v>2557.17</v>
      </c>
      <c r="C8046" s="1">
        <f>IFERROR(__xludf.DUMMYFUNCTION("""COMPUTED_VALUE"""),2559.71)</f>
        <v>2559.71</v>
      </c>
      <c r="D8046" s="1">
        <f>IFERROR(__xludf.DUMMYFUNCTION("""COMPUTED_VALUE"""),2554.69)</f>
        <v>2554.69</v>
      </c>
      <c r="E8046" s="1">
        <f>IFERROR(__xludf.DUMMYFUNCTION("""COMPUTED_VALUE"""),2559.36)</f>
        <v>2559.36</v>
      </c>
      <c r="F8046" s="1">
        <f>IFERROR(__xludf.DUMMYFUNCTION("""COMPUTED_VALUE"""),0.0)</f>
        <v>0</v>
      </c>
    </row>
    <row r="8047">
      <c r="A8047" s="2">
        <f>IFERROR(__xludf.DUMMYFUNCTION("""COMPUTED_VALUE"""),43026.66666666667)</f>
        <v>43026.66667</v>
      </c>
      <c r="B8047" s="1">
        <f>IFERROR(__xludf.DUMMYFUNCTION("""COMPUTED_VALUE"""),2562.87)</f>
        <v>2562.87</v>
      </c>
      <c r="C8047" s="1">
        <f>IFERROR(__xludf.DUMMYFUNCTION("""COMPUTED_VALUE"""),2564.11)</f>
        <v>2564.11</v>
      </c>
      <c r="D8047" s="1">
        <f>IFERROR(__xludf.DUMMYFUNCTION("""COMPUTED_VALUE"""),2559.67)</f>
        <v>2559.67</v>
      </c>
      <c r="E8047" s="1">
        <f>IFERROR(__xludf.DUMMYFUNCTION("""COMPUTED_VALUE"""),2561.26)</f>
        <v>2561.26</v>
      </c>
      <c r="F8047" s="1">
        <f>IFERROR(__xludf.DUMMYFUNCTION("""COMPUTED_VALUE"""),0.0)</f>
        <v>0</v>
      </c>
    </row>
    <row r="8048">
      <c r="A8048" s="2">
        <f>IFERROR(__xludf.DUMMYFUNCTION("""COMPUTED_VALUE"""),43027.66666666667)</f>
        <v>43027.66667</v>
      </c>
      <c r="B8048" s="1">
        <f>IFERROR(__xludf.DUMMYFUNCTION("""COMPUTED_VALUE"""),2553.39)</f>
        <v>2553.39</v>
      </c>
      <c r="C8048" s="1">
        <f>IFERROR(__xludf.DUMMYFUNCTION("""COMPUTED_VALUE"""),2562.36)</f>
        <v>2562.36</v>
      </c>
      <c r="D8048" s="1">
        <f>IFERROR(__xludf.DUMMYFUNCTION("""COMPUTED_VALUE"""),2547.92)</f>
        <v>2547.92</v>
      </c>
      <c r="E8048" s="1">
        <f>IFERROR(__xludf.DUMMYFUNCTION("""COMPUTED_VALUE"""),2562.1)</f>
        <v>2562.1</v>
      </c>
      <c r="F8048" s="1">
        <f>IFERROR(__xludf.DUMMYFUNCTION("""COMPUTED_VALUE"""),0.0)</f>
        <v>0</v>
      </c>
    </row>
    <row r="8049">
      <c r="A8049" s="2">
        <f>IFERROR(__xludf.DUMMYFUNCTION("""COMPUTED_VALUE"""),43028.66666666667)</f>
        <v>43028.66667</v>
      </c>
      <c r="B8049" s="1">
        <f>IFERROR(__xludf.DUMMYFUNCTION("""COMPUTED_VALUE"""),2567.56)</f>
        <v>2567.56</v>
      </c>
      <c r="C8049" s="1">
        <f>IFERROR(__xludf.DUMMYFUNCTION("""COMPUTED_VALUE"""),2575.44)</f>
        <v>2575.44</v>
      </c>
      <c r="D8049" s="1">
        <f>IFERROR(__xludf.DUMMYFUNCTION("""COMPUTED_VALUE"""),2567.56)</f>
        <v>2567.56</v>
      </c>
      <c r="E8049" s="1">
        <f>IFERROR(__xludf.DUMMYFUNCTION("""COMPUTED_VALUE"""),2575.21)</f>
        <v>2575.21</v>
      </c>
      <c r="F8049" s="1">
        <f>IFERROR(__xludf.DUMMYFUNCTION("""COMPUTED_VALUE"""),0.0)</f>
        <v>0</v>
      </c>
    </row>
    <row r="8050">
      <c r="A8050" s="2">
        <f>IFERROR(__xludf.DUMMYFUNCTION("""COMPUTED_VALUE"""),43031.66666666667)</f>
        <v>43031.66667</v>
      </c>
      <c r="B8050" s="1">
        <f>IFERROR(__xludf.DUMMYFUNCTION("""COMPUTED_VALUE"""),2578.08)</f>
        <v>2578.08</v>
      </c>
      <c r="C8050" s="1">
        <f>IFERROR(__xludf.DUMMYFUNCTION("""COMPUTED_VALUE"""),2578.29)</f>
        <v>2578.29</v>
      </c>
      <c r="D8050" s="1">
        <f>IFERROR(__xludf.DUMMYFUNCTION("""COMPUTED_VALUE"""),2564.33)</f>
        <v>2564.33</v>
      </c>
      <c r="E8050" s="1">
        <f>IFERROR(__xludf.DUMMYFUNCTION("""COMPUTED_VALUE"""),2564.98)</f>
        <v>2564.98</v>
      </c>
      <c r="F8050" s="1">
        <f>IFERROR(__xludf.DUMMYFUNCTION("""COMPUTED_VALUE"""),0.0)</f>
        <v>0</v>
      </c>
    </row>
    <row r="8051">
      <c r="A8051" s="2">
        <f>IFERROR(__xludf.DUMMYFUNCTION("""COMPUTED_VALUE"""),43032.66666666667)</f>
        <v>43032.66667</v>
      </c>
      <c r="B8051" s="1">
        <f>IFERROR(__xludf.DUMMYFUNCTION("""COMPUTED_VALUE"""),2568.66)</f>
        <v>2568.66</v>
      </c>
      <c r="C8051" s="1">
        <f>IFERROR(__xludf.DUMMYFUNCTION("""COMPUTED_VALUE"""),2572.18)</f>
        <v>2572.18</v>
      </c>
      <c r="D8051" s="1">
        <f>IFERROR(__xludf.DUMMYFUNCTION("""COMPUTED_VALUE"""),2565.58)</f>
        <v>2565.58</v>
      </c>
      <c r="E8051" s="1">
        <f>IFERROR(__xludf.DUMMYFUNCTION("""COMPUTED_VALUE"""),2569.13)</f>
        <v>2569.13</v>
      </c>
      <c r="F8051" s="1">
        <f>IFERROR(__xludf.DUMMYFUNCTION("""COMPUTED_VALUE"""),0.0)</f>
        <v>0</v>
      </c>
    </row>
    <row r="8052">
      <c r="A8052" s="2">
        <f>IFERROR(__xludf.DUMMYFUNCTION("""COMPUTED_VALUE"""),43033.66666666667)</f>
        <v>43033.66667</v>
      </c>
      <c r="B8052" s="1">
        <f>IFERROR(__xludf.DUMMYFUNCTION("""COMPUTED_VALUE"""),2566.52)</f>
        <v>2566.52</v>
      </c>
      <c r="C8052" s="1">
        <f>IFERROR(__xludf.DUMMYFUNCTION("""COMPUTED_VALUE"""),2567.4)</f>
        <v>2567.4</v>
      </c>
      <c r="D8052" s="1">
        <f>IFERROR(__xludf.DUMMYFUNCTION("""COMPUTED_VALUE"""),2544.0)</f>
        <v>2544</v>
      </c>
      <c r="E8052" s="1">
        <f>IFERROR(__xludf.DUMMYFUNCTION("""COMPUTED_VALUE"""),2557.15)</f>
        <v>2557.15</v>
      </c>
      <c r="F8052" s="1">
        <f>IFERROR(__xludf.DUMMYFUNCTION("""COMPUTED_VALUE"""),0.0)</f>
        <v>0</v>
      </c>
    </row>
    <row r="8053">
      <c r="A8053" s="2">
        <f>IFERROR(__xludf.DUMMYFUNCTION("""COMPUTED_VALUE"""),43034.66666666667)</f>
        <v>43034.66667</v>
      </c>
      <c r="B8053" s="1">
        <f>IFERROR(__xludf.DUMMYFUNCTION("""COMPUTED_VALUE"""),2560.08)</f>
        <v>2560.08</v>
      </c>
      <c r="C8053" s="1">
        <f>IFERROR(__xludf.DUMMYFUNCTION("""COMPUTED_VALUE"""),2567.07)</f>
        <v>2567.07</v>
      </c>
      <c r="D8053" s="1">
        <f>IFERROR(__xludf.DUMMYFUNCTION("""COMPUTED_VALUE"""),2559.8)</f>
        <v>2559.8</v>
      </c>
      <c r="E8053" s="1">
        <f>IFERROR(__xludf.DUMMYFUNCTION("""COMPUTED_VALUE"""),2560.4)</f>
        <v>2560.4</v>
      </c>
      <c r="F8053" s="1">
        <f>IFERROR(__xludf.DUMMYFUNCTION("""COMPUTED_VALUE"""),0.0)</f>
        <v>0</v>
      </c>
    </row>
    <row r="8054">
      <c r="A8054" s="2">
        <f>IFERROR(__xludf.DUMMYFUNCTION("""COMPUTED_VALUE"""),43035.66666666667)</f>
        <v>43035.66667</v>
      </c>
      <c r="B8054" s="1">
        <f>IFERROR(__xludf.DUMMYFUNCTION("""COMPUTED_VALUE"""),2570.26)</f>
        <v>2570.26</v>
      </c>
      <c r="C8054" s="1">
        <f>IFERROR(__xludf.DUMMYFUNCTION("""COMPUTED_VALUE"""),2582.98)</f>
        <v>2582.98</v>
      </c>
      <c r="D8054" s="1">
        <f>IFERROR(__xludf.DUMMYFUNCTION("""COMPUTED_VALUE"""),2565.94)</f>
        <v>2565.94</v>
      </c>
      <c r="E8054" s="1">
        <f>IFERROR(__xludf.DUMMYFUNCTION("""COMPUTED_VALUE"""),2581.07)</f>
        <v>2581.07</v>
      </c>
      <c r="F8054" s="1">
        <f>IFERROR(__xludf.DUMMYFUNCTION("""COMPUTED_VALUE"""),0.0)</f>
        <v>0</v>
      </c>
    </row>
    <row r="8055">
      <c r="A8055" s="2">
        <f>IFERROR(__xludf.DUMMYFUNCTION("""COMPUTED_VALUE"""),43038.66666666667)</f>
        <v>43038.66667</v>
      </c>
      <c r="B8055" s="1">
        <f>IFERROR(__xludf.DUMMYFUNCTION("""COMPUTED_VALUE"""),2577.75)</f>
        <v>2577.75</v>
      </c>
      <c r="C8055" s="1">
        <f>IFERROR(__xludf.DUMMYFUNCTION("""COMPUTED_VALUE"""),2580.03)</f>
        <v>2580.03</v>
      </c>
      <c r="D8055" s="1">
        <f>IFERROR(__xludf.DUMMYFUNCTION("""COMPUTED_VALUE"""),2568.25)</f>
        <v>2568.25</v>
      </c>
      <c r="E8055" s="1">
        <f>IFERROR(__xludf.DUMMYFUNCTION("""COMPUTED_VALUE"""),2572.83)</f>
        <v>2572.83</v>
      </c>
      <c r="F8055" s="1">
        <f>IFERROR(__xludf.DUMMYFUNCTION("""COMPUTED_VALUE"""),0.0)</f>
        <v>0</v>
      </c>
    </row>
    <row r="8056">
      <c r="A8056" s="2">
        <f>IFERROR(__xludf.DUMMYFUNCTION("""COMPUTED_VALUE"""),43039.66666666667)</f>
        <v>43039.66667</v>
      </c>
      <c r="B8056" s="1">
        <f>IFERROR(__xludf.DUMMYFUNCTION("""COMPUTED_VALUE"""),2575.99)</f>
        <v>2575.99</v>
      </c>
      <c r="C8056" s="1">
        <f>IFERROR(__xludf.DUMMYFUNCTION("""COMPUTED_VALUE"""),2578.29)</f>
        <v>2578.29</v>
      </c>
      <c r="D8056" s="1">
        <f>IFERROR(__xludf.DUMMYFUNCTION("""COMPUTED_VALUE"""),2572.15)</f>
        <v>2572.15</v>
      </c>
      <c r="E8056" s="1">
        <f>IFERROR(__xludf.DUMMYFUNCTION("""COMPUTED_VALUE"""),2575.26)</f>
        <v>2575.26</v>
      </c>
      <c r="F8056" s="1">
        <f>IFERROR(__xludf.DUMMYFUNCTION("""COMPUTED_VALUE"""),0.0)</f>
        <v>0</v>
      </c>
    </row>
    <row r="8057">
      <c r="A8057" s="2">
        <f>IFERROR(__xludf.DUMMYFUNCTION("""COMPUTED_VALUE"""),43040.66666666667)</f>
        <v>43040.66667</v>
      </c>
      <c r="B8057" s="1">
        <f>IFERROR(__xludf.DUMMYFUNCTION("""COMPUTED_VALUE"""),2583.21)</f>
        <v>2583.21</v>
      </c>
      <c r="C8057" s="1">
        <f>IFERROR(__xludf.DUMMYFUNCTION("""COMPUTED_VALUE"""),2588.4)</f>
        <v>2588.4</v>
      </c>
      <c r="D8057" s="1">
        <f>IFERROR(__xludf.DUMMYFUNCTION("""COMPUTED_VALUE"""),2574.92)</f>
        <v>2574.92</v>
      </c>
      <c r="E8057" s="1">
        <f>IFERROR(__xludf.DUMMYFUNCTION("""COMPUTED_VALUE"""),2579.36)</f>
        <v>2579.36</v>
      </c>
      <c r="F8057" s="1">
        <f>IFERROR(__xludf.DUMMYFUNCTION("""COMPUTED_VALUE"""),0.0)</f>
        <v>0</v>
      </c>
    </row>
    <row r="8058">
      <c r="A8058" s="2">
        <f>IFERROR(__xludf.DUMMYFUNCTION("""COMPUTED_VALUE"""),43041.66666666667)</f>
        <v>43041.66667</v>
      </c>
      <c r="B8058" s="1">
        <f>IFERROR(__xludf.DUMMYFUNCTION("""COMPUTED_VALUE"""),2579.46)</f>
        <v>2579.46</v>
      </c>
      <c r="C8058" s="1">
        <f>IFERROR(__xludf.DUMMYFUNCTION("""COMPUTED_VALUE"""),2581.11)</f>
        <v>2581.11</v>
      </c>
      <c r="D8058" s="1">
        <f>IFERROR(__xludf.DUMMYFUNCTION("""COMPUTED_VALUE"""),2566.17)</f>
        <v>2566.17</v>
      </c>
      <c r="E8058" s="1">
        <f>IFERROR(__xludf.DUMMYFUNCTION("""COMPUTED_VALUE"""),2579.85)</f>
        <v>2579.85</v>
      </c>
      <c r="F8058" s="1">
        <f>IFERROR(__xludf.DUMMYFUNCTION("""COMPUTED_VALUE"""),0.0)</f>
        <v>0</v>
      </c>
    </row>
    <row r="8059">
      <c r="A8059" s="2">
        <f>IFERROR(__xludf.DUMMYFUNCTION("""COMPUTED_VALUE"""),43042.66666666667)</f>
        <v>43042.66667</v>
      </c>
      <c r="B8059" s="1">
        <f>IFERROR(__xludf.DUMMYFUNCTION("""COMPUTED_VALUE"""),2581.93)</f>
        <v>2581.93</v>
      </c>
      <c r="C8059" s="1">
        <f>IFERROR(__xludf.DUMMYFUNCTION("""COMPUTED_VALUE"""),2588.42)</f>
        <v>2588.42</v>
      </c>
      <c r="D8059" s="1">
        <f>IFERROR(__xludf.DUMMYFUNCTION("""COMPUTED_VALUE"""),2576.77)</f>
        <v>2576.77</v>
      </c>
      <c r="E8059" s="1">
        <f>IFERROR(__xludf.DUMMYFUNCTION("""COMPUTED_VALUE"""),2587.84)</f>
        <v>2587.84</v>
      </c>
      <c r="F8059" s="1">
        <f>IFERROR(__xludf.DUMMYFUNCTION("""COMPUTED_VALUE"""),0.0)</f>
        <v>0</v>
      </c>
    </row>
    <row r="8060">
      <c r="A8060" s="2">
        <f>IFERROR(__xludf.DUMMYFUNCTION("""COMPUTED_VALUE"""),43045.66666666667)</f>
        <v>43045.66667</v>
      </c>
      <c r="B8060" s="1">
        <f>IFERROR(__xludf.DUMMYFUNCTION("""COMPUTED_VALUE"""),2587.47)</f>
        <v>2587.47</v>
      </c>
      <c r="C8060" s="1">
        <f>IFERROR(__xludf.DUMMYFUNCTION("""COMPUTED_VALUE"""),2593.38)</f>
        <v>2593.38</v>
      </c>
      <c r="D8060" s="1">
        <f>IFERROR(__xludf.DUMMYFUNCTION("""COMPUTED_VALUE"""),2585.66)</f>
        <v>2585.66</v>
      </c>
      <c r="E8060" s="1">
        <f>IFERROR(__xludf.DUMMYFUNCTION("""COMPUTED_VALUE"""),2591.13)</f>
        <v>2591.13</v>
      </c>
      <c r="F8060" s="1">
        <f>IFERROR(__xludf.DUMMYFUNCTION("""COMPUTED_VALUE"""),0.0)</f>
        <v>0</v>
      </c>
    </row>
    <row r="8061">
      <c r="A8061" s="2">
        <f>IFERROR(__xludf.DUMMYFUNCTION("""COMPUTED_VALUE"""),43046.66666666667)</f>
        <v>43046.66667</v>
      </c>
      <c r="B8061" s="1">
        <f>IFERROR(__xludf.DUMMYFUNCTION("""COMPUTED_VALUE"""),2592.11)</f>
        <v>2592.11</v>
      </c>
      <c r="C8061" s="1">
        <f>IFERROR(__xludf.DUMMYFUNCTION("""COMPUTED_VALUE"""),2597.02)</f>
        <v>2597.02</v>
      </c>
      <c r="D8061" s="1">
        <f>IFERROR(__xludf.DUMMYFUNCTION("""COMPUTED_VALUE"""),2584.35)</f>
        <v>2584.35</v>
      </c>
      <c r="E8061" s="1">
        <f>IFERROR(__xludf.DUMMYFUNCTION("""COMPUTED_VALUE"""),2590.64)</f>
        <v>2590.64</v>
      </c>
      <c r="F8061" s="1">
        <f>IFERROR(__xludf.DUMMYFUNCTION("""COMPUTED_VALUE"""),0.0)</f>
        <v>0</v>
      </c>
    </row>
    <row r="8062">
      <c r="A8062" s="2">
        <f>IFERROR(__xludf.DUMMYFUNCTION("""COMPUTED_VALUE"""),43047.66666666667)</f>
        <v>43047.66667</v>
      </c>
      <c r="B8062" s="1">
        <f>IFERROR(__xludf.DUMMYFUNCTION("""COMPUTED_VALUE"""),2588.71)</f>
        <v>2588.71</v>
      </c>
      <c r="C8062" s="1">
        <f>IFERROR(__xludf.DUMMYFUNCTION("""COMPUTED_VALUE"""),2595.47)</f>
        <v>2595.47</v>
      </c>
      <c r="D8062" s="1">
        <f>IFERROR(__xludf.DUMMYFUNCTION("""COMPUTED_VALUE"""),2585.02)</f>
        <v>2585.02</v>
      </c>
      <c r="E8062" s="1">
        <f>IFERROR(__xludf.DUMMYFUNCTION("""COMPUTED_VALUE"""),2594.38)</f>
        <v>2594.38</v>
      </c>
      <c r="F8062" s="1">
        <f>IFERROR(__xludf.DUMMYFUNCTION("""COMPUTED_VALUE"""),0.0)</f>
        <v>0</v>
      </c>
    </row>
    <row r="8063">
      <c r="A8063" s="2">
        <f>IFERROR(__xludf.DUMMYFUNCTION("""COMPUTED_VALUE"""),43048.66666666667)</f>
        <v>43048.66667</v>
      </c>
      <c r="B8063" s="1">
        <f>IFERROR(__xludf.DUMMYFUNCTION("""COMPUTED_VALUE"""),2584.0)</f>
        <v>2584</v>
      </c>
      <c r="C8063" s="1">
        <f>IFERROR(__xludf.DUMMYFUNCTION("""COMPUTED_VALUE"""),2586.5)</f>
        <v>2586.5</v>
      </c>
      <c r="D8063" s="1">
        <f>IFERROR(__xludf.DUMMYFUNCTION("""COMPUTED_VALUE"""),2566.33)</f>
        <v>2566.33</v>
      </c>
      <c r="E8063" s="1">
        <f>IFERROR(__xludf.DUMMYFUNCTION("""COMPUTED_VALUE"""),2584.62)</f>
        <v>2584.62</v>
      </c>
      <c r="F8063" s="1">
        <f>IFERROR(__xludf.DUMMYFUNCTION("""COMPUTED_VALUE"""),0.0)</f>
        <v>0</v>
      </c>
    </row>
    <row r="8064">
      <c r="A8064" s="2">
        <f>IFERROR(__xludf.DUMMYFUNCTION("""COMPUTED_VALUE"""),43049.66666666667)</f>
        <v>43049.66667</v>
      </c>
      <c r="B8064" s="1">
        <f>IFERROR(__xludf.DUMMYFUNCTION("""COMPUTED_VALUE"""),2580.18)</f>
        <v>2580.18</v>
      </c>
      <c r="C8064" s="1">
        <f>IFERROR(__xludf.DUMMYFUNCTION("""COMPUTED_VALUE"""),2583.81)</f>
        <v>2583.81</v>
      </c>
      <c r="D8064" s="1">
        <f>IFERROR(__xludf.DUMMYFUNCTION("""COMPUTED_VALUE"""),2575.57)</f>
        <v>2575.57</v>
      </c>
      <c r="E8064" s="1">
        <f>IFERROR(__xludf.DUMMYFUNCTION("""COMPUTED_VALUE"""),2582.3)</f>
        <v>2582.3</v>
      </c>
      <c r="F8064" s="1">
        <f>IFERROR(__xludf.DUMMYFUNCTION("""COMPUTED_VALUE"""),0.0)</f>
        <v>0</v>
      </c>
    </row>
    <row r="8065">
      <c r="A8065" s="2">
        <f>IFERROR(__xludf.DUMMYFUNCTION("""COMPUTED_VALUE"""),43052.66666666667)</f>
        <v>43052.66667</v>
      </c>
      <c r="B8065" s="1">
        <f>IFERROR(__xludf.DUMMYFUNCTION("""COMPUTED_VALUE"""),2576.53)</f>
        <v>2576.53</v>
      </c>
      <c r="C8065" s="1">
        <f>IFERROR(__xludf.DUMMYFUNCTION("""COMPUTED_VALUE"""),2587.66)</f>
        <v>2587.66</v>
      </c>
      <c r="D8065" s="1">
        <f>IFERROR(__xludf.DUMMYFUNCTION("""COMPUTED_VALUE"""),2574.48)</f>
        <v>2574.48</v>
      </c>
      <c r="E8065" s="1">
        <f>IFERROR(__xludf.DUMMYFUNCTION("""COMPUTED_VALUE"""),2584.84)</f>
        <v>2584.84</v>
      </c>
      <c r="F8065" s="1">
        <f>IFERROR(__xludf.DUMMYFUNCTION("""COMPUTED_VALUE"""),0.0)</f>
        <v>0</v>
      </c>
    </row>
    <row r="8066">
      <c r="A8066" s="2">
        <f>IFERROR(__xludf.DUMMYFUNCTION("""COMPUTED_VALUE"""),43053.66666666667)</f>
        <v>43053.66667</v>
      </c>
      <c r="B8066" s="1">
        <f>IFERROR(__xludf.DUMMYFUNCTION("""COMPUTED_VALUE"""),2577.75)</f>
        <v>2577.75</v>
      </c>
      <c r="C8066" s="1">
        <f>IFERROR(__xludf.DUMMYFUNCTION("""COMPUTED_VALUE"""),2579.66)</f>
        <v>2579.66</v>
      </c>
      <c r="D8066" s="1">
        <f>IFERROR(__xludf.DUMMYFUNCTION("""COMPUTED_VALUE"""),2566.56)</f>
        <v>2566.56</v>
      </c>
      <c r="E8066" s="1">
        <f>IFERROR(__xludf.DUMMYFUNCTION("""COMPUTED_VALUE"""),2578.87)</f>
        <v>2578.87</v>
      </c>
      <c r="F8066" s="1">
        <f>IFERROR(__xludf.DUMMYFUNCTION("""COMPUTED_VALUE"""),0.0)</f>
        <v>0</v>
      </c>
    </row>
    <row r="8067">
      <c r="A8067" s="2">
        <f>IFERROR(__xludf.DUMMYFUNCTION("""COMPUTED_VALUE"""),43054.66666666667)</f>
        <v>43054.66667</v>
      </c>
      <c r="B8067" s="1">
        <f>IFERROR(__xludf.DUMMYFUNCTION("""COMPUTED_VALUE"""),2569.45)</f>
        <v>2569.45</v>
      </c>
      <c r="C8067" s="1">
        <f>IFERROR(__xludf.DUMMYFUNCTION("""COMPUTED_VALUE"""),2572.84)</f>
        <v>2572.84</v>
      </c>
      <c r="D8067" s="1">
        <f>IFERROR(__xludf.DUMMYFUNCTION("""COMPUTED_VALUE"""),2557.45)</f>
        <v>2557.45</v>
      </c>
      <c r="E8067" s="1">
        <f>IFERROR(__xludf.DUMMYFUNCTION("""COMPUTED_VALUE"""),2564.62)</f>
        <v>2564.62</v>
      </c>
      <c r="F8067" s="1">
        <f>IFERROR(__xludf.DUMMYFUNCTION("""COMPUTED_VALUE"""),0.0)</f>
        <v>0</v>
      </c>
    </row>
    <row r="8068">
      <c r="A8068" s="2">
        <f>IFERROR(__xludf.DUMMYFUNCTION("""COMPUTED_VALUE"""),43055.66666666667)</f>
        <v>43055.66667</v>
      </c>
      <c r="B8068" s="1">
        <f>IFERROR(__xludf.DUMMYFUNCTION("""COMPUTED_VALUE"""),2572.95)</f>
        <v>2572.95</v>
      </c>
      <c r="C8068" s="1">
        <f>IFERROR(__xludf.DUMMYFUNCTION("""COMPUTED_VALUE"""),2590.09)</f>
        <v>2590.09</v>
      </c>
      <c r="D8068" s="1">
        <f>IFERROR(__xludf.DUMMYFUNCTION("""COMPUTED_VALUE"""),2572.95)</f>
        <v>2572.95</v>
      </c>
      <c r="E8068" s="1">
        <f>IFERROR(__xludf.DUMMYFUNCTION("""COMPUTED_VALUE"""),2585.64)</f>
        <v>2585.64</v>
      </c>
      <c r="F8068" s="1">
        <f>IFERROR(__xludf.DUMMYFUNCTION("""COMPUTED_VALUE"""),0.0)</f>
        <v>0</v>
      </c>
    </row>
    <row r="8069">
      <c r="A8069" s="2">
        <f>IFERROR(__xludf.DUMMYFUNCTION("""COMPUTED_VALUE"""),43056.66666666667)</f>
        <v>43056.66667</v>
      </c>
      <c r="B8069" s="1">
        <f>IFERROR(__xludf.DUMMYFUNCTION("""COMPUTED_VALUE"""),2582.94)</f>
        <v>2582.94</v>
      </c>
      <c r="C8069" s="1">
        <f>IFERROR(__xludf.DUMMYFUNCTION("""COMPUTED_VALUE"""),2583.96)</f>
        <v>2583.96</v>
      </c>
      <c r="D8069" s="1">
        <f>IFERROR(__xludf.DUMMYFUNCTION("""COMPUTED_VALUE"""),2577.62)</f>
        <v>2577.62</v>
      </c>
      <c r="E8069" s="1">
        <f>IFERROR(__xludf.DUMMYFUNCTION("""COMPUTED_VALUE"""),2578.85)</f>
        <v>2578.85</v>
      </c>
      <c r="F8069" s="1">
        <f>IFERROR(__xludf.DUMMYFUNCTION("""COMPUTED_VALUE"""),0.0)</f>
        <v>0</v>
      </c>
    </row>
    <row r="8070">
      <c r="A8070" s="2">
        <f>IFERROR(__xludf.DUMMYFUNCTION("""COMPUTED_VALUE"""),43059.66666666667)</f>
        <v>43059.66667</v>
      </c>
      <c r="B8070" s="1">
        <f>IFERROR(__xludf.DUMMYFUNCTION("""COMPUTED_VALUE"""),2579.49)</f>
        <v>2579.49</v>
      </c>
      <c r="C8070" s="1">
        <f>IFERROR(__xludf.DUMMYFUNCTION("""COMPUTED_VALUE"""),2584.64)</f>
        <v>2584.64</v>
      </c>
      <c r="D8070" s="1">
        <f>IFERROR(__xludf.DUMMYFUNCTION("""COMPUTED_VALUE"""),2578.24)</f>
        <v>2578.24</v>
      </c>
      <c r="E8070" s="1">
        <f>IFERROR(__xludf.DUMMYFUNCTION("""COMPUTED_VALUE"""),2582.14)</f>
        <v>2582.14</v>
      </c>
      <c r="F8070" s="1">
        <f>IFERROR(__xludf.DUMMYFUNCTION("""COMPUTED_VALUE"""),0.0)</f>
        <v>0</v>
      </c>
    </row>
    <row r="8071">
      <c r="A8071" s="2">
        <f>IFERROR(__xludf.DUMMYFUNCTION("""COMPUTED_VALUE"""),43060.66666666667)</f>
        <v>43060.66667</v>
      </c>
      <c r="B8071" s="1">
        <f>IFERROR(__xludf.DUMMYFUNCTION("""COMPUTED_VALUE"""),2589.17)</f>
        <v>2589.17</v>
      </c>
      <c r="C8071" s="1">
        <f>IFERROR(__xludf.DUMMYFUNCTION("""COMPUTED_VALUE"""),2601.19)</f>
        <v>2601.19</v>
      </c>
      <c r="D8071" s="1">
        <f>IFERROR(__xludf.DUMMYFUNCTION("""COMPUTED_VALUE"""),2589.17)</f>
        <v>2589.17</v>
      </c>
      <c r="E8071" s="1">
        <f>IFERROR(__xludf.DUMMYFUNCTION("""COMPUTED_VALUE"""),2599.03)</f>
        <v>2599.03</v>
      </c>
      <c r="F8071" s="1">
        <f>IFERROR(__xludf.DUMMYFUNCTION("""COMPUTED_VALUE"""),0.0)</f>
        <v>0</v>
      </c>
    </row>
    <row r="8072">
      <c r="A8072" s="2">
        <f>IFERROR(__xludf.DUMMYFUNCTION("""COMPUTED_VALUE"""),43061.66666666667)</f>
        <v>43061.66667</v>
      </c>
      <c r="B8072" s="1">
        <f>IFERROR(__xludf.DUMMYFUNCTION("""COMPUTED_VALUE"""),2600.31)</f>
        <v>2600.31</v>
      </c>
      <c r="C8072" s="1">
        <f>IFERROR(__xludf.DUMMYFUNCTION("""COMPUTED_VALUE"""),2600.94)</f>
        <v>2600.94</v>
      </c>
      <c r="D8072" s="1">
        <f>IFERROR(__xludf.DUMMYFUNCTION("""COMPUTED_VALUE"""),2595.23)</f>
        <v>2595.23</v>
      </c>
      <c r="E8072" s="1">
        <f>IFERROR(__xludf.DUMMYFUNCTION("""COMPUTED_VALUE"""),2597.08)</f>
        <v>2597.08</v>
      </c>
      <c r="F8072" s="1">
        <f>IFERROR(__xludf.DUMMYFUNCTION("""COMPUTED_VALUE"""),0.0)</f>
        <v>0</v>
      </c>
    </row>
    <row r="8073">
      <c r="A8073" s="2">
        <f>IFERROR(__xludf.DUMMYFUNCTION("""COMPUTED_VALUE"""),43063.54166666667)</f>
        <v>43063.54167</v>
      </c>
      <c r="B8073" s="1">
        <f>IFERROR(__xludf.DUMMYFUNCTION("""COMPUTED_VALUE"""),2600.42)</f>
        <v>2600.42</v>
      </c>
      <c r="C8073" s="1">
        <f>IFERROR(__xludf.DUMMYFUNCTION("""COMPUTED_VALUE"""),2604.21)</f>
        <v>2604.21</v>
      </c>
      <c r="D8073" s="1">
        <f>IFERROR(__xludf.DUMMYFUNCTION("""COMPUTED_VALUE"""),2600.42)</f>
        <v>2600.42</v>
      </c>
      <c r="E8073" s="1">
        <f>IFERROR(__xludf.DUMMYFUNCTION("""COMPUTED_VALUE"""),2602.42)</f>
        <v>2602.42</v>
      </c>
      <c r="F8073" s="1">
        <f>IFERROR(__xludf.DUMMYFUNCTION("""COMPUTED_VALUE"""),0.0)</f>
        <v>0</v>
      </c>
    </row>
    <row r="8074">
      <c r="A8074" s="2">
        <f>IFERROR(__xludf.DUMMYFUNCTION("""COMPUTED_VALUE"""),43066.66666666667)</f>
        <v>43066.66667</v>
      </c>
      <c r="B8074" s="1">
        <f>IFERROR(__xludf.DUMMYFUNCTION("""COMPUTED_VALUE"""),2602.66)</f>
        <v>2602.66</v>
      </c>
      <c r="C8074" s="1">
        <f>IFERROR(__xludf.DUMMYFUNCTION("""COMPUTED_VALUE"""),2606.41)</f>
        <v>2606.41</v>
      </c>
      <c r="D8074" s="1">
        <f>IFERROR(__xludf.DUMMYFUNCTION("""COMPUTED_VALUE"""),2598.87)</f>
        <v>2598.87</v>
      </c>
      <c r="E8074" s="1">
        <f>IFERROR(__xludf.DUMMYFUNCTION("""COMPUTED_VALUE"""),2601.42)</f>
        <v>2601.42</v>
      </c>
      <c r="F8074" s="1">
        <f>IFERROR(__xludf.DUMMYFUNCTION("""COMPUTED_VALUE"""),0.0)</f>
        <v>0</v>
      </c>
    </row>
    <row r="8075">
      <c r="A8075" s="2">
        <f>IFERROR(__xludf.DUMMYFUNCTION("""COMPUTED_VALUE"""),43067.66666666667)</f>
        <v>43067.66667</v>
      </c>
      <c r="B8075" s="1">
        <f>IFERROR(__xludf.DUMMYFUNCTION("""COMPUTED_VALUE"""),2605.94)</f>
        <v>2605.94</v>
      </c>
      <c r="C8075" s="1">
        <f>IFERROR(__xludf.DUMMYFUNCTION("""COMPUTED_VALUE"""),2627.69)</f>
        <v>2627.69</v>
      </c>
      <c r="D8075" s="1">
        <f>IFERROR(__xludf.DUMMYFUNCTION("""COMPUTED_VALUE"""),2605.44)</f>
        <v>2605.44</v>
      </c>
      <c r="E8075" s="1">
        <f>IFERROR(__xludf.DUMMYFUNCTION("""COMPUTED_VALUE"""),2627.04)</f>
        <v>2627.04</v>
      </c>
      <c r="F8075" s="1">
        <f>IFERROR(__xludf.DUMMYFUNCTION("""COMPUTED_VALUE"""),0.0)</f>
        <v>0</v>
      </c>
    </row>
    <row r="8076">
      <c r="A8076" s="2">
        <f>IFERROR(__xludf.DUMMYFUNCTION("""COMPUTED_VALUE"""),43068.66666666667)</f>
        <v>43068.66667</v>
      </c>
      <c r="B8076" s="1">
        <f>IFERROR(__xludf.DUMMYFUNCTION("""COMPUTED_VALUE"""),2627.82)</f>
        <v>2627.82</v>
      </c>
      <c r="C8076" s="1">
        <f>IFERROR(__xludf.DUMMYFUNCTION("""COMPUTED_VALUE"""),2634.89)</f>
        <v>2634.89</v>
      </c>
      <c r="D8076" s="1">
        <f>IFERROR(__xludf.DUMMYFUNCTION("""COMPUTED_VALUE"""),2620.32)</f>
        <v>2620.32</v>
      </c>
      <c r="E8076" s="1">
        <f>IFERROR(__xludf.DUMMYFUNCTION("""COMPUTED_VALUE"""),2626.07)</f>
        <v>2626.07</v>
      </c>
      <c r="F8076" s="1">
        <f>IFERROR(__xludf.DUMMYFUNCTION("""COMPUTED_VALUE"""),0.0)</f>
        <v>0</v>
      </c>
    </row>
    <row r="8077">
      <c r="A8077" s="2">
        <f>IFERROR(__xludf.DUMMYFUNCTION("""COMPUTED_VALUE"""),43069.66666666667)</f>
        <v>43069.66667</v>
      </c>
      <c r="B8077" s="1">
        <f>IFERROR(__xludf.DUMMYFUNCTION("""COMPUTED_VALUE"""),2633.93)</f>
        <v>2633.93</v>
      </c>
      <c r="C8077" s="1">
        <f>IFERROR(__xludf.DUMMYFUNCTION("""COMPUTED_VALUE"""),2657.74)</f>
        <v>2657.74</v>
      </c>
      <c r="D8077" s="1">
        <f>IFERROR(__xludf.DUMMYFUNCTION("""COMPUTED_VALUE"""),2633.93)</f>
        <v>2633.93</v>
      </c>
      <c r="E8077" s="1">
        <f>IFERROR(__xludf.DUMMYFUNCTION("""COMPUTED_VALUE"""),2647.58)</f>
        <v>2647.58</v>
      </c>
      <c r="F8077" s="1">
        <f>IFERROR(__xludf.DUMMYFUNCTION("""COMPUTED_VALUE"""),0.0)</f>
        <v>0</v>
      </c>
    </row>
    <row r="8078">
      <c r="A8078" s="2">
        <f>IFERROR(__xludf.DUMMYFUNCTION("""COMPUTED_VALUE"""),43070.66666666667)</f>
        <v>43070.66667</v>
      </c>
      <c r="B8078" s="1">
        <f>IFERROR(__xludf.DUMMYFUNCTION("""COMPUTED_VALUE"""),2645.1)</f>
        <v>2645.1</v>
      </c>
      <c r="C8078" s="1">
        <f>IFERROR(__xludf.DUMMYFUNCTION("""COMPUTED_VALUE"""),2650.62)</f>
        <v>2650.62</v>
      </c>
      <c r="D8078" s="1">
        <f>IFERROR(__xludf.DUMMYFUNCTION("""COMPUTED_VALUE"""),2605.52)</f>
        <v>2605.52</v>
      </c>
      <c r="E8078" s="1">
        <f>IFERROR(__xludf.DUMMYFUNCTION("""COMPUTED_VALUE"""),2642.22)</f>
        <v>2642.22</v>
      </c>
      <c r="F8078" s="1">
        <f>IFERROR(__xludf.DUMMYFUNCTION("""COMPUTED_VALUE"""),0.0)</f>
        <v>0</v>
      </c>
    </row>
    <row r="8079">
      <c r="A8079" s="2">
        <f>IFERROR(__xludf.DUMMYFUNCTION("""COMPUTED_VALUE"""),43073.66666666667)</f>
        <v>43073.66667</v>
      </c>
      <c r="B8079" s="1">
        <f>IFERROR(__xludf.DUMMYFUNCTION("""COMPUTED_VALUE"""),2657.19)</f>
        <v>2657.19</v>
      </c>
      <c r="C8079" s="1">
        <f>IFERROR(__xludf.DUMMYFUNCTION("""COMPUTED_VALUE"""),2665.19)</f>
        <v>2665.19</v>
      </c>
      <c r="D8079" s="1">
        <f>IFERROR(__xludf.DUMMYFUNCTION("""COMPUTED_VALUE"""),2639.03)</f>
        <v>2639.03</v>
      </c>
      <c r="E8079" s="1">
        <f>IFERROR(__xludf.DUMMYFUNCTION("""COMPUTED_VALUE"""),2639.44)</f>
        <v>2639.44</v>
      </c>
      <c r="F8079" s="1">
        <f>IFERROR(__xludf.DUMMYFUNCTION("""COMPUTED_VALUE"""),0.0)</f>
        <v>0</v>
      </c>
    </row>
    <row r="8080">
      <c r="A8080" s="2">
        <f>IFERROR(__xludf.DUMMYFUNCTION("""COMPUTED_VALUE"""),43074.66666666667)</f>
        <v>43074.66667</v>
      </c>
      <c r="B8080" s="1">
        <f>IFERROR(__xludf.DUMMYFUNCTION("""COMPUTED_VALUE"""),2639.78)</f>
        <v>2639.78</v>
      </c>
      <c r="C8080" s="1">
        <f>IFERROR(__xludf.DUMMYFUNCTION("""COMPUTED_VALUE"""),2648.72)</f>
        <v>2648.72</v>
      </c>
      <c r="D8080" s="1">
        <f>IFERROR(__xludf.DUMMYFUNCTION("""COMPUTED_VALUE"""),2627.73)</f>
        <v>2627.73</v>
      </c>
      <c r="E8080" s="1">
        <f>IFERROR(__xludf.DUMMYFUNCTION("""COMPUTED_VALUE"""),2629.57)</f>
        <v>2629.57</v>
      </c>
      <c r="F8080" s="1">
        <f>IFERROR(__xludf.DUMMYFUNCTION("""COMPUTED_VALUE"""),0.0)</f>
        <v>0</v>
      </c>
    </row>
    <row r="8081">
      <c r="A8081" s="2">
        <f>IFERROR(__xludf.DUMMYFUNCTION("""COMPUTED_VALUE"""),43075.66666666667)</f>
        <v>43075.66667</v>
      </c>
      <c r="B8081" s="1">
        <f>IFERROR(__xludf.DUMMYFUNCTION("""COMPUTED_VALUE"""),2626.24)</f>
        <v>2626.24</v>
      </c>
      <c r="C8081" s="1">
        <f>IFERROR(__xludf.DUMMYFUNCTION("""COMPUTED_VALUE"""),2634.41)</f>
        <v>2634.41</v>
      </c>
      <c r="D8081" s="1">
        <f>IFERROR(__xludf.DUMMYFUNCTION("""COMPUTED_VALUE"""),2624.83)</f>
        <v>2624.83</v>
      </c>
      <c r="E8081" s="1">
        <f>IFERROR(__xludf.DUMMYFUNCTION("""COMPUTED_VALUE"""),2629.27)</f>
        <v>2629.27</v>
      </c>
      <c r="F8081" s="1">
        <f>IFERROR(__xludf.DUMMYFUNCTION("""COMPUTED_VALUE"""),0.0)</f>
        <v>0</v>
      </c>
    </row>
    <row r="8082">
      <c r="A8082" s="2">
        <f>IFERROR(__xludf.DUMMYFUNCTION("""COMPUTED_VALUE"""),43076.66666666667)</f>
        <v>43076.66667</v>
      </c>
      <c r="B8082" s="1">
        <f>IFERROR(__xludf.DUMMYFUNCTION("""COMPUTED_VALUE"""),2628.38)</f>
        <v>2628.38</v>
      </c>
      <c r="C8082" s="1">
        <f>IFERROR(__xludf.DUMMYFUNCTION("""COMPUTED_VALUE"""),2640.99)</f>
        <v>2640.99</v>
      </c>
      <c r="D8082" s="1">
        <f>IFERROR(__xludf.DUMMYFUNCTION("""COMPUTED_VALUE"""),2626.53)</f>
        <v>2626.53</v>
      </c>
      <c r="E8082" s="1">
        <f>IFERROR(__xludf.DUMMYFUNCTION("""COMPUTED_VALUE"""),2636.98)</f>
        <v>2636.98</v>
      </c>
      <c r="F8082" s="1">
        <f>IFERROR(__xludf.DUMMYFUNCTION("""COMPUTED_VALUE"""),0.0)</f>
        <v>0</v>
      </c>
    </row>
    <row r="8083">
      <c r="A8083" s="2">
        <f>IFERROR(__xludf.DUMMYFUNCTION("""COMPUTED_VALUE"""),43077.66666666667)</f>
        <v>43077.66667</v>
      </c>
      <c r="B8083" s="1">
        <f>IFERROR(__xludf.DUMMYFUNCTION("""COMPUTED_VALUE"""),2646.21)</f>
        <v>2646.21</v>
      </c>
      <c r="C8083" s="1">
        <f>IFERROR(__xludf.DUMMYFUNCTION("""COMPUTED_VALUE"""),2651.65)</f>
        <v>2651.65</v>
      </c>
      <c r="D8083" s="1">
        <f>IFERROR(__xludf.DUMMYFUNCTION("""COMPUTED_VALUE"""),2644.1)</f>
        <v>2644.1</v>
      </c>
      <c r="E8083" s="1">
        <f>IFERROR(__xludf.DUMMYFUNCTION("""COMPUTED_VALUE"""),2651.5)</f>
        <v>2651.5</v>
      </c>
      <c r="F8083" s="1">
        <f>IFERROR(__xludf.DUMMYFUNCTION("""COMPUTED_VALUE"""),0.0)</f>
        <v>0</v>
      </c>
    </row>
    <row r="8084">
      <c r="A8084" s="2">
        <f>IFERROR(__xludf.DUMMYFUNCTION("""COMPUTED_VALUE"""),43080.66666666667)</f>
        <v>43080.66667</v>
      </c>
      <c r="B8084" s="1">
        <f>IFERROR(__xludf.DUMMYFUNCTION("""COMPUTED_VALUE"""),2652.19)</f>
        <v>2652.19</v>
      </c>
      <c r="C8084" s="1">
        <f>IFERROR(__xludf.DUMMYFUNCTION("""COMPUTED_VALUE"""),2660.33)</f>
        <v>2660.33</v>
      </c>
      <c r="D8084" s="1">
        <f>IFERROR(__xludf.DUMMYFUNCTION("""COMPUTED_VALUE"""),2651.47)</f>
        <v>2651.47</v>
      </c>
      <c r="E8084" s="1">
        <f>IFERROR(__xludf.DUMMYFUNCTION("""COMPUTED_VALUE"""),2659.99)</f>
        <v>2659.99</v>
      </c>
      <c r="F8084" s="1">
        <f>IFERROR(__xludf.DUMMYFUNCTION("""COMPUTED_VALUE"""),0.0)</f>
        <v>0</v>
      </c>
    </row>
    <row r="8085">
      <c r="A8085" s="2">
        <f>IFERROR(__xludf.DUMMYFUNCTION("""COMPUTED_VALUE"""),43081.66666666667)</f>
        <v>43081.66667</v>
      </c>
      <c r="B8085" s="1">
        <f>IFERROR(__xludf.DUMMYFUNCTION("""COMPUTED_VALUE"""),2661.73)</f>
        <v>2661.73</v>
      </c>
      <c r="C8085" s="1">
        <f>IFERROR(__xludf.DUMMYFUNCTION("""COMPUTED_VALUE"""),2669.72)</f>
        <v>2669.72</v>
      </c>
      <c r="D8085" s="1">
        <f>IFERROR(__xludf.DUMMYFUNCTION("""COMPUTED_VALUE"""),2659.78)</f>
        <v>2659.78</v>
      </c>
      <c r="E8085" s="1">
        <f>IFERROR(__xludf.DUMMYFUNCTION("""COMPUTED_VALUE"""),2664.11)</f>
        <v>2664.11</v>
      </c>
      <c r="F8085" s="1">
        <f>IFERROR(__xludf.DUMMYFUNCTION("""COMPUTED_VALUE"""),0.0)</f>
        <v>0</v>
      </c>
    </row>
    <row r="8086">
      <c r="A8086" s="2">
        <f>IFERROR(__xludf.DUMMYFUNCTION("""COMPUTED_VALUE"""),43082.66666666667)</f>
        <v>43082.66667</v>
      </c>
      <c r="B8086" s="1">
        <f>IFERROR(__xludf.DUMMYFUNCTION("""COMPUTED_VALUE"""),2667.59)</f>
        <v>2667.59</v>
      </c>
      <c r="C8086" s="1">
        <f>IFERROR(__xludf.DUMMYFUNCTION("""COMPUTED_VALUE"""),2671.88)</f>
        <v>2671.88</v>
      </c>
      <c r="D8086" s="1">
        <f>IFERROR(__xludf.DUMMYFUNCTION("""COMPUTED_VALUE"""),2662.85)</f>
        <v>2662.85</v>
      </c>
      <c r="E8086" s="1">
        <f>IFERROR(__xludf.DUMMYFUNCTION("""COMPUTED_VALUE"""),2662.85)</f>
        <v>2662.85</v>
      </c>
      <c r="F8086" s="1">
        <f>IFERROR(__xludf.DUMMYFUNCTION("""COMPUTED_VALUE"""),0.0)</f>
        <v>0</v>
      </c>
    </row>
    <row r="8087">
      <c r="A8087" s="2">
        <f>IFERROR(__xludf.DUMMYFUNCTION("""COMPUTED_VALUE"""),43083.66666666667)</f>
        <v>43083.66667</v>
      </c>
      <c r="B8087" s="1">
        <f>IFERROR(__xludf.DUMMYFUNCTION("""COMPUTED_VALUE"""),2665.87)</f>
        <v>2665.87</v>
      </c>
      <c r="C8087" s="1">
        <f>IFERROR(__xludf.DUMMYFUNCTION("""COMPUTED_VALUE"""),2668.09)</f>
        <v>2668.09</v>
      </c>
      <c r="D8087" s="1">
        <f>IFERROR(__xludf.DUMMYFUNCTION("""COMPUTED_VALUE"""),2652.01)</f>
        <v>2652.01</v>
      </c>
      <c r="E8087" s="1">
        <f>IFERROR(__xludf.DUMMYFUNCTION("""COMPUTED_VALUE"""),2652.01)</f>
        <v>2652.01</v>
      </c>
      <c r="F8087" s="1">
        <f>IFERROR(__xludf.DUMMYFUNCTION("""COMPUTED_VALUE"""),0.0)</f>
        <v>0</v>
      </c>
    </row>
    <row r="8088">
      <c r="A8088" s="2">
        <f>IFERROR(__xludf.DUMMYFUNCTION("""COMPUTED_VALUE"""),43084.66666666667)</f>
        <v>43084.66667</v>
      </c>
      <c r="B8088" s="1">
        <f>IFERROR(__xludf.DUMMYFUNCTION("""COMPUTED_VALUE"""),2660.63)</f>
        <v>2660.63</v>
      </c>
      <c r="C8088" s="1">
        <f>IFERROR(__xludf.DUMMYFUNCTION("""COMPUTED_VALUE"""),2679.63)</f>
        <v>2679.63</v>
      </c>
      <c r="D8088" s="1">
        <f>IFERROR(__xludf.DUMMYFUNCTION("""COMPUTED_VALUE"""),2659.14)</f>
        <v>2659.14</v>
      </c>
      <c r="E8088" s="1">
        <f>IFERROR(__xludf.DUMMYFUNCTION("""COMPUTED_VALUE"""),2675.81)</f>
        <v>2675.81</v>
      </c>
      <c r="F8088" s="1">
        <f>IFERROR(__xludf.DUMMYFUNCTION("""COMPUTED_VALUE"""),0.0)</f>
        <v>0</v>
      </c>
    </row>
    <row r="8089">
      <c r="A8089" s="2">
        <f>IFERROR(__xludf.DUMMYFUNCTION("""COMPUTED_VALUE"""),43087.66666666667)</f>
        <v>43087.66667</v>
      </c>
      <c r="B8089" s="1">
        <f>IFERROR(__xludf.DUMMYFUNCTION("""COMPUTED_VALUE"""),2685.92)</f>
        <v>2685.92</v>
      </c>
      <c r="C8089" s="1">
        <f>IFERROR(__xludf.DUMMYFUNCTION("""COMPUTED_VALUE"""),2694.97)</f>
        <v>2694.97</v>
      </c>
      <c r="D8089" s="1">
        <f>IFERROR(__xludf.DUMMYFUNCTION("""COMPUTED_VALUE"""),2685.92)</f>
        <v>2685.92</v>
      </c>
      <c r="E8089" s="1">
        <f>IFERROR(__xludf.DUMMYFUNCTION("""COMPUTED_VALUE"""),2690.16)</f>
        <v>2690.16</v>
      </c>
      <c r="F8089" s="1">
        <f>IFERROR(__xludf.DUMMYFUNCTION("""COMPUTED_VALUE"""),0.0)</f>
        <v>0</v>
      </c>
    </row>
    <row r="8090">
      <c r="A8090" s="2">
        <f>IFERROR(__xludf.DUMMYFUNCTION("""COMPUTED_VALUE"""),43088.66666666667)</f>
        <v>43088.66667</v>
      </c>
      <c r="B8090" s="1">
        <f>IFERROR(__xludf.DUMMYFUNCTION("""COMPUTED_VALUE"""),2692.71)</f>
        <v>2692.71</v>
      </c>
      <c r="C8090" s="1">
        <f>IFERROR(__xludf.DUMMYFUNCTION("""COMPUTED_VALUE"""),2694.44)</f>
        <v>2694.44</v>
      </c>
      <c r="D8090" s="1">
        <f>IFERROR(__xludf.DUMMYFUNCTION("""COMPUTED_VALUE"""),2680.74)</f>
        <v>2680.74</v>
      </c>
      <c r="E8090" s="1">
        <f>IFERROR(__xludf.DUMMYFUNCTION("""COMPUTED_VALUE"""),2681.47)</f>
        <v>2681.47</v>
      </c>
      <c r="F8090" s="1">
        <f>IFERROR(__xludf.DUMMYFUNCTION("""COMPUTED_VALUE"""),0.0)</f>
        <v>0</v>
      </c>
    </row>
    <row r="8091">
      <c r="A8091" s="2">
        <f>IFERROR(__xludf.DUMMYFUNCTION("""COMPUTED_VALUE"""),43089.66666666667)</f>
        <v>43089.66667</v>
      </c>
      <c r="B8091" s="1">
        <f>IFERROR(__xludf.DUMMYFUNCTION("""COMPUTED_VALUE"""),2688.18)</f>
        <v>2688.18</v>
      </c>
      <c r="C8091" s="1">
        <f>IFERROR(__xludf.DUMMYFUNCTION("""COMPUTED_VALUE"""),2691.01)</f>
        <v>2691.01</v>
      </c>
      <c r="D8091" s="1">
        <f>IFERROR(__xludf.DUMMYFUNCTION("""COMPUTED_VALUE"""),2676.11)</f>
        <v>2676.11</v>
      </c>
      <c r="E8091" s="1">
        <f>IFERROR(__xludf.DUMMYFUNCTION("""COMPUTED_VALUE"""),2679.25)</f>
        <v>2679.25</v>
      </c>
      <c r="F8091" s="1">
        <f>IFERROR(__xludf.DUMMYFUNCTION("""COMPUTED_VALUE"""),0.0)</f>
        <v>0</v>
      </c>
    </row>
    <row r="8092">
      <c r="A8092" s="2">
        <f>IFERROR(__xludf.DUMMYFUNCTION("""COMPUTED_VALUE"""),43090.66666666667)</f>
        <v>43090.66667</v>
      </c>
      <c r="B8092" s="1">
        <f>IFERROR(__xludf.DUMMYFUNCTION("""COMPUTED_VALUE"""),2683.02)</f>
        <v>2683.02</v>
      </c>
      <c r="C8092" s="1">
        <f>IFERROR(__xludf.DUMMYFUNCTION("""COMPUTED_VALUE"""),2692.64)</f>
        <v>2692.64</v>
      </c>
      <c r="D8092" s="1">
        <f>IFERROR(__xludf.DUMMYFUNCTION("""COMPUTED_VALUE"""),2682.4)</f>
        <v>2682.4</v>
      </c>
      <c r="E8092" s="1">
        <f>IFERROR(__xludf.DUMMYFUNCTION("""COMPUTED_VALUE"""),2684.57)</f>
        <v>2684.57</v>
      </c>
      <c r="F8092" s="1">
        <f>IFERROR(__xludf.DUMMYFUNCTION("""COMPUTED_VALUE"""),0.0)</f>
        <v>0</v>
      </c>
    </row>
    <row r="8093">
      <c r="A8093" s="2">
        <f>IFERROR(__xludf.DUMMYFUNCTION("""COMPUTED_VALUE"""),43091.66666666667)</f>
        <v>43091.66667</v>
      </c>
      <c r="B8093" s="1">
        <f>IFERROR(__xludf.DUMMYFUNCTION("""COMPUTED_VALUE"""),2684.22)</f>
        <v>2684.22</v>
      </c>
      <c r="C8093" s="1">
        <f>IFERROR(__xludf.DUMMYFUNCTION("""COMPUTED_VALUE"""),2685.35)</f>
        <v>2685.35</v>
      </c>
      <c r="D8093" s="1">
        <f>IFERROR(__xludf.DUMMYFUNCTION("""COMPUTED_VALUE"""),2678.13)</f>
        <v>2678.13</v>
      </c>
      <c r="E8093" s="1">
        <f>IFERROR(__xludf.DUMMYFUNCTION("""COMPUTED_VALUE"""),2683.34)</f>
        <v>2683.34</v>
      </c>
      <c r="F8093" s="1">
        <f>IFERROR(__xludf.DUMMYFUNCTION("""COMPUTED_VALUE"""),0.0)</f>
        <v>0</v>
      </c>
    </row>
    <row r="8094">
      <c r="A8094" s="2">
        <f>IFERROR(__xludf.DUMMYFUNCTION("""COMPUTED_VALUE"""),43095.66666666667)</f>
        <v>43095.66667</v>
      </c>
      <c r="B8094" s="1">
        <f>IFERROR(__xludf.DUMMYFUNCTION("""COMPUTED_VALUE"""),2679.09)</f>
        <v>2679.09</v>
      </c>
      <c r="C8094" s="1">
        <f>IFERROR(__xludf.DUMMYFUNCTION("""COMPUTED_VALUE"""),2682.74)</f>
        <v>2682.74</v>
      </c>
      <c r="D8094" s="1">
        <f>IFERROR(__xludf.DUMMYFUNCTION("""COMPUTED_VALUE"""),2677.96)</f>
        <v>2677.96</v>
      </c>
      <c r="E8094" s="1">
        <f>IFERROR(__xludf.DUMMYFUNCTION("""COMPUTED_VALUE"""),2680.5)</f>
        <v>2680.5</v>
      </c>
      <c r="F8094" s="1">
        <f>IFERROR(__xludf.DUMMYFUNCTION("""COMPUTED_VALUE"""),0.0)</f>
        <v>0</v>
      </c>
    </row>
    <row r="8095">
      <c r="A8095" s="2">
        <f>IFERROR(__xludf.DUMMYFUNCTION("""COMPUTED_VALUE"""),43096.66666666667)</f>
        <v>43096.66667</v>
      </c>
      <c r="B8095" s="1">
        <f>IFERROR(__xludf.DUMMYFUNCTION("""COMPUTED_VALUE"""),2682.1)</f>
        <v>2682.1</v>
      </c>
      <c r="C8095" s="1">
        <f>IFERROR(__xludf.DUMMYFUNCTION("""COMPUTED_VALUE"""),2685.64)</f>
        <v>2685.64</v>
      </c>
      <c r="D8095" s="1">
        <f>IFERROR(__xludf.DUMMYFUNCTION("""COMPUTED_VALUE"""),2678.91)</f>
        <v>2678.91</v>
      </c>
      <c r="E8095" s="1">
        <f>IFERROR(__xludf.DUMMYFUNCTION("""COMPUTED_VALUE"""),2682.62)</f>
        <v>2682.62</v>
      </c>
      <c r="F8095" s="1">
        <f>IFERROR(__xludf.DUMMYFUNCTION("""COMPUTED_VALUE"""),0.0)</f>
        <v>0</v>
      </c>
    </row>
    <row r="8096">
      <c r="A8096" s="2">
        <f>IFERROR(__xludf.DUMMYFUNCTION("""COMPUTED_VALUE"""),43097.66666666667)</f>
        <v>43097.66667</v>
      </c>
      <c r="B8096" s="1">
        <f>IFERROR(__xludf.DUMMYFUNCTION("""COMPUTED_VALUE"""),2686.1)</f>
        <v>2686.1</v>
      </c>
      <c r="C8096" s="1">
        <f>IFERROR(__xludf.DUMMYFUNCTION("""COMPUTED_VALUE"""),2687.66)</f>
        <v>2687.66</v>
      </c>
      <c r="D8096" s="1">
        <f>IFERROR(__xludf.DUMMYFUNCTION("""COMPUTED_VALUE"""),2682.69)</f>
        <v>2682.69</v>
      </c>
      <c r="E8096" s="1">
        <f>IFERROR(__xludf.DUMMYFUNCTION("""COMPUTED_VALUE"""),2687.54)</f>
        <v>2687.54</v>
      </c>
      <c r="F8096" s="1">
        <f>IFERROR(__xludf.DUMMYFUNCTION("""COMPUTED_VALUE"""),0.0)</f>
        <v>0</v>
      </c>
    </row>
    <row r="8097">
      <c r="A8097" s="2">
        <f>IFERROR(__xludf.DUMMYFUNCTION("""COMPUTED_VALUE"""),43098.66666666667)</f>
        <v>43098.66667</v>
      </c>
      <c r="B8097" s="1">
        <f>IFERROR(__xludf.DUMMYFUNCTION("""COMPUTED_VALUE"""),2689.15)</f>
        <v>2689.15</v>
      </c>
      <c r="C8097" s="1">
        <f>IFERROR(__xludf.DUMMYFUNCTION("""COMPUTED_VALUE"""),2692.12)</f>
        <v>2692.12</v>
      </c>
      <c r="D8097" s="1">
        <f>IFERROR(__xludf.DUMMYFUNCTION("""COMPUTED_VALUE"""),2673.61)</f>
        <v>2673.61</v>
      </c>
      <c r="E8097" s="1">
        <f>IFERROR(__xludf.DUMMYFUNCTION("""COMPUTED_VALUE"""),2673.61)</f>
        <v>2673.61</v>
      </c>
      <c r="F8097" s="1">
        <f>IFERROR(__xludf.DUMMYFUNCTION("""COMPUTED_VALUE"""),0.0)</f>
        <v>0</v>
      </c>
    </row>
    <row r="8098">
      <c r="A8098" s="2">
        <f>IFERROR(__xludf.DUMMYFUNCTION("""COMPUTED_VALUE"""),43102.66666666667)</f>
        <v>43102.66667</v>
      </c>
      <c r="B8098" s="1">
        <f>IFERROR(__xludf.DUMMYFUNCTION("""COMPUTED_VALUE"""),2683.73)</f>
        <v>2683.73</v>
      </c>
      <c r="C8098" s="1">
        <f>IFERROR(__xludf.DUMMYFUNCTION("""COMPUTED_VALUE"""),2695.89)</f>
        <v>2695.89</v>
      </c>
      <c r="D8098" s="1">
        <f>IFERROR(__xludf.DUMMYFUNCTION("""COMPUTED_VALUE"""),2682.36)</f>
        <v>2682.36</v>
      </c>
      <c r="E8098" s="1">
        <f>IFERROR(__xludf.DUMMYFUNCTION("""COMPUTED_VALUE"""),2695.81)</f>
        <v>2695.81</v>
      </c>
      <c r="F8098" s="1">
        <f>IFERROR(__xludf.DUMMYFUNCTION("""COMPUTED_VALUE"""),0.0)</f>
        <v>0</v>
      </c>
    </row>
    <row r="8099">
      <c r="A8099" s="2">
        <f>IFERROR(__xludf.DUMMYFUNCTION("""COMPUTED_VALUE"""),43103.66666666667)</f>
        <v>43103.66667</v>
      </c>
      <c r="B8099" s="1">
        <f>IFERROR(__xludf.DUMMYFUNCTION("""COMPUTED_VALUE"""),2697.85)</f>
        <v>2697.85</v>
      </c>
      <c r="C8099" s="1">
        <f>IFERROR(__xludf.DUMMYFUNCTION("""COMPUTED_VALUE"""),2714.37)</f>
        <v>2714.37</v>
      </c>
      <c r="D8099" s="1">
        <f>IFERROR(__xludf.DUMMYFUNCTION("""COMPUTED_VALUE"""),2697.77)</f>
        <v>2697.77</v>
      </c>
      <c r="E8099" s="1">
        <f>IFERROR(__xludf.DUMMYFUNCTION("""COMPUTED_VALUE"""),2713.06)</f>
        <v>2713.06</v>
      </c>
      <c r="F8099" s="1">
        <f>IFERROR(__xludf.DUMMYFUNCTION("""COMPUTED_VALUE"""),0.0)</f>
        <v>0</v>
      </c>
    </row>
    <row r="8100">
      <c r="A8100" s="2">
        <f>IFERROR(__xludf.DUMMYFUNCTION("""COMPUTED_VALUE"""),43104.66666666667)</f>
        <v>43104.66667</v>
      </c>
      <c r="B8100" s="1">
        <f>IFERROR(__xludf.DUMMYFUNCTION("""COMPUTED_VALUE"""),2719.31)</f>
        <v>2719.31</v>
      </c>
      <c r="C8100" s="1">
        <f>IFERROR(__xludf.DUMMYFUNCTION("""COMPUTED_VALUE"""),2729.29)</f>
        <v>2729.29</v>
      </c>
      <c r="D8100" s="1">
        <f>IFERROR(__xludf.DUMMYFUNCTION("""COMPUTED_VALUE"""),2719.07)</f>
        <v>2719.07</v>
      </c>
      <c r="E8100" s="1">
        <f>IFERROR(__xludf.DUMMYFUNCTION("""COMPUTED_VALUE"""),2723.99)</f>
        <v>2723.99</v>
      </c>
      <c r="F8100" s="1">
        <f>IFERROR(__xludf.DUMMYFUNCTION("""COMPUTED_VALUE"""),0.0)</f>
        <v>0</v>
      </c>
    </row>
    <row r="8101">
      <c r="A8101" s="2">
        <f>IFERROR(__xludf.DUMMYFUNCTION("""COMPUTED_VALUE"""),43105.66666666667)</f>
        <v>43105.66667</v>
      </c>
      <c r="B8101" s="1">
        <f>IFERROR(__xludf.DUMMYFUNCTION("""COMPUTED_VALUE"""),2731.33)</f>
        <v>2731.33</v>
      </c>
      <c r="C8101" s="1">
        <f>IFERROR(__xludf.DUMMYFUNCTION("""COMPUTED_VALUE"""),2743.45)</f>
        <v>2743.45</v>
      </c>
      <c r="D8101" s="1">
        <f>IFERROR(__xludf.DUMMYFUNCTION("""COMPUTED_VALUE"""),2727.92)</f>
        <v>2727.92</v>
      </c>
      <c r="E8101" s="1">
        <f>IFERROR(__xludf.DUMMYFUNCTION("""COMPUTED_VALUE"""),2743.15)</f>
        <v>2743.15</v>
      </c>
      <c r="F8101" s="1">
        <f>IFERROR(__xludf.DUMMYFUNCTION("""COMPUTED_VALUE"""),0.0)</f>
        <v>0</v>
      </c>
    </row>
    <row r="8102">
      <c r="A8102" s="2">
        <f>IFERROR(__xludf.DUMMYFUNCTION("""COMPUTED_VALUE"""),43108.66666666667)</f>
        <v>43108.66667</v>
      </c>
      <c r="B8102" s="1">
        <f>IFERROR(__xludf.DUMMYFUNCTION("""COMPUTED_VALUE"""),2742.67)</f>
        <v>2742.67</v>
      </c>
      <c r="C8102" s="1">
        <f>IFERROR(__xludf.DUMMYFUNCTION("""COMPUTED_VALUE"""),2748.51)</f>
        <v>2748.51</v>
      </c>
      <c r="D8102" s="1">
        <f>IFERROR(__xludf.DUMMYFUNCTION("""COMPUTED_VALUE"""),2737.6)</f>
        <v>2737.6</v>
      </c>
      <c r="E8102" s="1">
        <f>IFERROR(__xludf.DUMMYFUNCTION("""COMPUTED_VALUE"""),2747.71)</f>
        <v>2747.71</v>
      </c>
      <c r="F8102" s="1">
        <f>IFERROR(__xludf.DUMMYFUNCTION("""COMPUTED_VALUE"""),0.0)</f>
        <v>0</v>
      </c>
    </row>
    <row r="8103">
      <c r="A8103" s="2">
        <f>IFERROR(__xludf.DUMMYFUNCTION("""COMPUTED_VALUE"""),43109.66666666667)</f>
        <v>43109.66667</v>
      </c>
      <c r="B8103" s="1">
        <f>IFERROR(__xludf.DUMMYFUNCTION("""COMPUTED_VALUE"""),2751.15)</f>
        <v>2751.15</v>
      </c>
      <c r="C8103" s="1">
        <f>IFERROR(__xludf.DUMMYFUNCTION("""COMPUTED_VALUE"""),2759.14)</f>
        <v>2759.14</v>
      </c>
      <c r="D8103" s="1">
        <f>IFERROR(__xludf.DUMMYFUNCTION("""COMPUTED_VALUE"""),2747.86)</f>
        <v>2747.86</v>
      </c>
      <c r="E8103" s="1">
        <f>IFERROR(__xludf.DUMMYFUNCTION("""COMPUTED_VALUE"""),2751.29)</f>
        <v>2751.29</v>
      </c>
      <c r="F8103" s="1">
        <f>IFERROR(__xludf.DUMMYFUNCTION("""COMPUTED_VALUE"""),0.0)</f>
        <v>0</v>
      </c>
    </row>
    <row r="8104">
      <c r="A8104" s="2">
        <f>IFERROR(__xludf.DUMMYFUNCTION("""COMPUTED_VALUE"""),43110.66666666667)</f>
        <v>43110.66667</v>
      </c>
      <c r="B8104" s="1">
        <f>IFERROR(__xludf.DUMMYFUNCTION("""COMPUTED_VALUE"""),2745.55)</f>
        <v>2745.55</v>
      </c>
      <c r="C8104" s="1">
        <f>IFERROR(__xludf.DUMMYFUNCTION("""COMPUTED_VALUE"""),2750.8)</f>
        <v>2750.8</v>
      </c>
      <c r="D8104" s="1">
        <f>IFERROR(__xludf.DUMMYFUNCTION("""COMPUTED_VALUE"""),2736.06)</f>
        <v>2736.06</v>
      </c>
      <c r="E8104" s="1">
        <f>IFERROR(__xludf.DUMMYFUNCTION("""COMPUTED_VALUE"""),2748.23)</f>
        <v>2748.23</v>
      </c>
      <c r="F8104" s="1">
        <f>IFERROR(__xludf.DUMMYFUNCTION("""COMPUTED_VALUE"""),0.0)</f>
        <v>0</v>
      </c>
    </row>
    <row r="8105">
      <c r="A8105" s="2">
        <f>IFERROR(__xludf.DUMMYFUNCTION("""COMPUTED_VALUE"""),43111.66666666667)</f>
        <v>43111.66667</v>
      </c>
      <c r="B8105" s="1">
        <f>IFERROR(__xludf.DUMMYFUNCTION("""COMPUTED_VALUE"""),2752.97)</f>
        <v>2752.97</v>
      </c>
      <c r="C8105" s="1">
        <f>IFERROR(__xludf.DUMMYFUNCTION("""COMPUTED_VALUE"""),2767.56)</f>
        <v>2767.56</v>
      </c>
      <c r="D8105" s="1">
        <f>IFERROR(__xludf.DUMMYFUNCTION("""COMPUTED_VALUE"""),2752.78)</f>
        <v>2752.78</v>
      </c>
      <c r="E8105" s="1">
        <f>IFERROR(__xludf.DUMMYFUNCTION("""COMPUTED_VALUE"""),2767.56)</f>
        <v>2767.56</v>
      </c>
      <c r="F8105" s="1">
        <f>IFERROR(__xludf.DUMMYFUNCTION("""COMPUTED_VALUE"""),0.0)</f>
        <v>0</v>
      </c>
    </row>
    <row r="8106">
      <c r="A8106" s="2">
        <f>IFERROR(__xludf.DUMMYFUNCTION("""COMPUTED_VALUE"""),43112.66666666667)</f>
        <v>43112.66667</v>
      </c>
      <c r="B8106" s="1">
        <f>IFERROR(__xludf.DUMMYFUNCTION("""COMPUTED_VALUE"""),2770.18)</f>
        <v>2770.18</v>
      </c>
      <c r="C8106" s="1">
        <f>IFERROR(__xludf.DUMMYFUNCTION("""COMPUTED_VALUE"""),2787.85)</f>
        <v>2787.85</v>
      </c>
      <c r="D8106" s="1">
        <f>IFERROR(__xludf.DUMMYFUNCTION("""COMPUTED_VALUE"""),2769.64)</f>
        <v>2769.64</v>
      </c>
      <c r="E8106" s="1">
        <f>IFERROR(__xludf.DUMMYFUNCTION("""COMPUTED_VALUE"""),2786.24)</f>
        <v>2786.24</v>
      </c>
      <c r="F8106" s="1">
        <f>IFERROR(__xludf.DUMMYFUNCTION("""COMPUTED_VALUE"""),0.0)</f>
        <v>0</v>
      </c>
    </row>
    <row r="8107">
      <c r="A8107" s="2">
        <f>IFERROR(__xludf.DUMMYFUNCTION("""COMPUTED_VALUE"""),43116.66666666667)</f>
        <v>43116.66667</v>
      </c>
      <c r="B8107" s="1">
        <f>IFERROR(__xludf.DUMMYFUNCTION("""COMPUTED_VALUE"""),2798.96)</f>
        <v>2798.96</v>
      </c>
      <c r="C8107" s="1">
        <f>IFERROR(__xludf.DUMMYFUNCTION("""COMPUTED_VALUE"""),2807.54)</f>
        <v>2807.54</v>
      </c>
      <c r="D8107" s="1">
        <f>IFERROR(__xludf.DUMMYFUNCTION("""COMPUTED_VALUE"""),2768.64)</f>
        <v>2768.64</v>
      </c>
      <c r="E8107" s="1">
        <f>IFERROR(__xludf.DUMMYFUNCTION("""COMPUTED_VALUE"""),2776.42)</f>
        <v>2776.42</v>
      </c>
      <c r="F8107" s="1">
        <f>IFERROR(__xludf.DUMMYFUNCTION("""COMPUTED_VALUE"""),0.0)</f>
        <v>0</v>
      </c>
    </row>
    <row r="8108">
      <c r="A8108" s="2">
        <f>IFERROR(__xludf.DUMMYFUNCTION("""COMPUTED_VALUE"""),43117.66666666667)</f>
        <v>43117.66667</v>
      </c>
      <c r="B8108" s="1">
        <f>IFERROR(__xludf.DUMMYFUNCTION("""COMPUTED_VALUE"""),2784.99)</f>
        <v>2784.99</v>
      </c>
      <c r="C8108" s="1">
        <f>IFERROR(__xludf.DUMMYFUNCTION("""COMPUTED_VALUE"""),2807.04)</f>
        <v>2807.04</v>
      </c>
      <c r="D8108" s="1">
        <f>IFERROR(__xludf.DUMMYFUNCTION("""COMPUTED_VALUE"""),2778.38)</f>
        <v>2778.38</v>
      </c>
      <c r="E8108" s="1">
        <f>IFERROR(__xludf.DUMMYFUNCTION("""COMPUTED_VALUE"""),2802.56)</f>
        <v>2802.56</v>
      </c>
      <c r="F8108" s="1">
        <f>IFERROR(__xludf.DUMMYFUNCTION("""COMPUTED_VALUE"""),0.0)</f>
        <v>0</v>
      </c>
    </row>
    <row r="8109">
      <c r="A8109" s="2">
        <f>IFERROR(__xludf.DUMMYFUNCTION("""COMPUTED_VALUE"""),43118.66666666667)</f>
        <v>43118.66667</v>
      </c>
      <c r="B8109" s="1">
        <f>IFERROR(__xludf.DUMMYFUNCTION("""COMPUTED_VALUE"""),2802.4)</f>
        <v>2802.4</v>
      </c>
      <c r="C8109" s="1">
        <f>IFERROR(__xludf.DUMMYFUNCTION("""COMPUTED_VALUE"""),2805.83)</f>
        <v>2805.83</v>
      </c>
      <c r="D8109" s="1">
        <f>IFERROR(__xludf.DUMMYFUNCTION("""COMPUTED_VALUE"""),2792.56)</f>
        <v>2792.56</v>
      </c>
      <c r="E8109" s="1">
        <f>IFERROR(__xludf.DUMMYFUNCTION("""COMPUTED_VALUE"""),2798.03)</f>
        <v>2798.03</v>
      </c>
      <c r="F8109" s="1">
        <f>IFERROR(__xludf.DUMMYFUNCTION("""COMPUTED_VALUE"""),0.0)</f>
        <v>0</v>
      </c>
    </row>
    <row r="8110">
      <c r="A8110" s="2">
        <f>IFERROR(__xludf.DUMMYFUNCTION("""COMPUTED_VALUE"""),43119.66666666667)</f>
        <v>43119.66667</v>
      </c>
      <c r="B8110" s="1">
        <f>IFERROR(__xludf.DUMMYFUNCTION("""COMPUTED_VALUE"""),2802.6)</f>
        <v>2802.6</v>
      </c>
      <c r="C8110" s="1">
        <f>IFERROR(__xludf.DUMMYFUNCTION("""COMPUTED_VALUE"""),2810.33)</f>
        <v>2810.33</v>
      </c>
      <c r="D8110" s="1">
        <f>IFERROR(__xludf.DUMMYFUNCTION("""COMPUTED_VALUE"""),2798.08)</f>
        <v>2798.08</v>
      </c>
      <c r="E8110" s="1">
        <f>IFERROR(__xludf.DUMMYFUNCTION("""COMPUTED_VALUE"""),2810.3)</f>
        <v>2810.3</v>
      </c>
      <c r="F8110" s="1">
        <f>IFERROR(__xludf.DUMMYFUNCTION("""COMPUTED_VALUE"""),0.0)</f>
        <v>0</v>
      </c>
    </row>
    <row r="8111">
      <c r="A8111" s="2">
        <f>IFERROR(__xludf.DUMMYFUNCTION("""COMPUTED_VALUE"""),43122.66666666667)</f>
        <v>43122.66667</v>
      </c>
      <c r="B8111" s="1">
        <f>IFERROR(__xludf.DUMMYFUNCTION("""COMPUTED_VALUE"""),2809.16)</f>
        <v>2809.16</v>
      </c>
      <c r="C8111" s="1">
        <f>IFERROR(__xludf.DUMMYFUNCTION("""COMPUTED_VALUE"""),2833.03)</f>
        <v>2833.03</v>
      </c>
      <c r="D8111" s="1">
        <f>IFERROR(__xludf.DUMMYFUNCTION("""COMPUTED_VALUE"""),2808.12)</f>
        <v>2808.12</v>
      </c>
      <c r="E8111" s="1">
        <f>IFERROR(__xludf.DUMMYFUNCTION("""COMPUTED_VALUE"""),2832.97)</f>
        <v>2832.97</v>
      </c>
      <c r="F8111" s="1">
        <f>IFERROR(__xludf.DUMMYFUNCTION("""COMPUTED_VALUE"""),0.0)</f>
        <v>0</v>
      </c>
    </row>
    <row r="8112">
      <c r="A8112" s="2">
        <f>IFERROR(__xludf.DUMMYFUNCTION("""COMPUTED_VALUE"""),43123.66666666667)</f>
        <v>43123.66667</v>
      </c>
      <c r="B8112" s="1">
        <f>IFERROR(__xludf.DUMMYFUNCTION("""COMPUTED_VALUE"""),2835.05)</f>
        <v>2835.05</v>
      </c>
      <c r="C8112" s="1">
        <f>IFERROR(__xludf.DUMMYFUNCTION("""COMPUTED_VALUE"""),2842.24)</f>
        <v>2842.24</v>
      </c>
      <c r="D8112" s="1">
        <f>IFERROR(__xludf.DUMMYFUNCTION("""COMPUTED_VALUE"""),2830.59)</f>
        <v>2830.59</v>
      </c>
      <c r="E8112" s="1">
        <f>IFERROR(__xludf.DUMMYFUNCTION("""COMPUTED_VALUE"""),2839.13)</f>
        <v>2839.13</v>
      </c>
      <c r="F8112" s="1">
        <f>IFERROR(__xludf.DUMMYFUNCTION("""COMPUTED_VALUE"""),0.0)</f>
        <v>0</v>
      </c>
    </row>
    <row r="8113">
      <c r="A8113" s="2">
        <f>IFERROR(__xludf.DUMMYFUNCTION("""COMPUTED_VALUE"""),43124.66666666667)</f>
        <v>43124.66667</v>
      </c>
      <c r="B8113" s="1">
        <f>IFERROR(__xludf.DUMMYFUNCTION("""COMPUTED_VALUE"""),2845.42)</f>
        <v>2845.42</v>
      </c>
      <c r="C8113" s="1">
        <f>IFERROR(__xludf.DUMMYFUNCTION("""COMPUTED_VALUE"""),2852.97)</f>
        <v>2852.97</v>
      </c>
      <c r="D8113" s="1">
        <f>IFERROR(__xludf.DUMMYFUNCTION("""COMPUTED_VALUE"""),2824.81)</f>
        <v>2824.81</v>
      </c>
      <c r="E8113" s="1">
        <f>IFERROR(__xludf.DUMMYFUNCTION("""COMPUTED_VALUE"""),2837.54)</f>
        <v>2837.54</v>
      </c>
      <c r="F8113" s="1">
        <f>IFERROR(__xludf.DUMMYFUNCTION("""COMPUTED_VALUE"""),0.0)</f>
        <v>0</v>
      </c>
    </row>
    <row r="8114">
      <c r="A8114" s="2">
        <f>IFERROR(__xludf.DUMMYFUNCTION("""COMPUTED_VALUE"""),43125.66666666667)</f>
        <v>43125.66667</v>
      </c>
      <c r="B8114" s="1">
        <f>IFERROR(__xludf.DUMMYFUNCTION("""COMPUTED_VALUE"""),2846.24)</f>
        <v>2846.24</v>
      </c>
      <c r="C8114" s="1">
        <f>IFERROR(__xludf.DUMMYFUNCTION("""COMPUTED_VALUE"""),2848.56)</f>
        <v>2848.56</v>
      </c>
      <c r="D8114" s="1">
        <f>IFERROR(__xludf.DUMMYFUNCTION("""COMPUTED_VALUE"""),2830.94)</f>
        <v>2830.94</v>
      </c>
      <c r="E8114" s="1">
        <f>IFERROR(__xludf.DUMMYFUNCTION("""COMPUTED_VALUE"""),2839.25)</f>
        <v>2839.25</v>
      </c>
      <c r="F8114" s="1">
        <f>IFERROR(__xludf.DUMMYFUNCTION("""COMPUTED_VALUE"""),0.0)</f>
        <v>0</v>
      </c>
    </row>
    <row r="8115">
      <c r="A8115" s="2">
        <f>IFERROR(__xludf.DUMMYFUNCTION("""COMPUTED_VALUE"""),43126.66666666667)</f>
        <v>43126.66667</v>
      </c>
      <c r="B8115" s="1">
        <f>IFERROR(__xludf.DUMMYFUNCTION("""COMPUTED_VALUE"""),2847.48)</f>
        <v>2847.48</v>
      </c>
      <c r="C8115" s="1">
        <f>IFERROR(__xludf.DUMMYFUNCTION("""COMPUTED_VALUE"""),2872.87)</f>
        <v>2872.87</v>
      </c>
      <c r="D8115" s="1">
        <f>IFERROR(__xludf.DUMMYFUNCTION("""COMPUTED_VALUE"""),2846.18)</f>
        <v>2846.18</v>
      </c>
      <c r="E8115" s="1">
        <f>IFERROR(__xludf.DUMMYFUNCTION("""COMPUTED_VALUE"""),2872.87)</f>
        <v>2872.87</v>
      </c>
      <c r="F8115" s="1">
        <f>IFERROR(__xludf.DUMMYFUNCTION("""COMPUTED_VALUE"""),0.0)</f>
        <v>0</v>
      </c>
    </row>
    <row r="8116">
      <c r="A8116" s="2">
        <f>IFERROR(__xludf.DUMMYFUNCTION("""COMPUTED_VALUE"""),43129.66666666667)</f>
        <v>43129.66667</v>
      </c>
      <c r="B8116" s="1">
        <f>IFERROR(__xludf.DUMMYFUNCTION("""COMPUTED_VALUE"""),2867.23)</f>
        <v>2867.23</v>
      </c>
      <c r="C8116" s="1">
        <f>IFERROR(__xludf.DUMMYFUNCTION("""COMPUTED_VALUE"""),2870.62)</f>
        <v>2870.62</v>
      </c>
      <c r="D8116" s="1">
        <f>IFERROR(__xludf.DUMMYFUNCTION("""COMPUTED_VALUE"""),2851.48)</f>
        <v>2851.48</v>
      </c>
      <c r="E8116" s="1">
        <f>IFERROR(__xludf.DUMMYFUNCTION("""COMPUTED_VALUE"""),2853.53)</f>
        <v>2853.53</v>
      </c>
      <c r="F8116" s="1">
        <f>IFERROR(__xludf.DUMMYFUNCTION("""COMPUTED_VALUE"""),0.0)</f>
        <v>0</v>
      </c>
    </row>
    <row r="8117">
      <c r="A8117" s="2">
        <f>IFERROR(__xludf.DUMMYFUNCTION("""COMPUTED_VALUE"""),43130.66666666667)</f>
        <v>43130.66667</v>
      </c>
      <c r="B8117" s="1">
        <f>IFERROR(__xludf.DUMMYFUNCTION("""COMPUTED_VALUE"""),2832.74)</f>
        <v>2832.74</v>
      </c>
      <c r="C8117" s="1">
        <f>IFERROR(__xludf.DUMMYFUNCTION("""COMPUTED_VALUE"""),2837.75)</f>
        <v>2837.75</v>
      </c>
      <c r="D8117" s="1">
        <f>IFERROR(__xludf.DUMMYFUNCTION("""COMPUTED_VALUE"""),2818.27)</f>
        <v>2818.27</v>
      </c>
      <c r="E8117" s="1">
        <f>IFERROR(__xludf.DUMMYFUNCTION("""COMPUTED_VALUE"""),2822.43)</f>
        <v>2822.43</v>
      </c>
      <c r="F8117" s="1">
        <f>IFERROR(__xludf.DUMMYFUNCTION("""COMPUTED_VALUE"""),0.0)</f>
        <v>0</v>
      </c>
    </row>
    <row r="8118">
      <c r="A8118" s="2">
        <f>IFERROR(__xludf.DUMMYFUNCTION("""COMPUTED_VALUE"""),43131.66666666667)</f>
        <v>43131.66667</v>
      </c>
      <c r="B8118" s="1">
        <f>IFERROR(__xludf.DUMMYFUNCTION("""COMPUTED_VALUE"""),2832.41)</f>
        <v>2832.41</v>
      </c>
      <c r="C8118" s="1">
        <f>IFERROR(__xludf.DUMMYFUNCTION("""COMPUTED_VALUE"""),2839.26)</f>
        <v>2839.26</v>
      </c>
      <c r="D8118" s="1">
        <f>IFERROR(__xludf.DUMMYFUNCTION("""COMPUTED_VALUE"""),2813.04)</f>
        <v>2813.04</v>
      </c>
      <c r="E8118" s="1">
        <f>IFERROR(__xludf.DUMMYFUNCTION("""COMPUTED_VALUE"""),2823.81)</f>
        <v>2823.81</v>
      </c>
      <c r="F8118" s="1">
        <f>IFERROR(__xludf.DUMMYFUNCTION("""COMPUTED_VALUE"""),0.0)</f>
        <v>0</v>
      </c>
    </row>
    <row r="8119">
      <c r="A8119" s="2">
        <f>IFERROR(__xludf.DUMMYFUNCTION("""COMPUTED_VALUE"""),43132.66666666667)</f>
        <v>43132.66667</v>
      </c>
      <c r="B8119" s="1">
        <f>IFERROR(__xludf.DUMMYFUNCTION("""COMPUTED_VALUE"""),2816.45)</f>
        <v>2816.45</v>
      </c>
      <c r="C8119" s="1">
        <f>IFERROR(__xludf.DUMMYFUNCTION("""COMPUTED_VALUE"""),2835.96)</f>
        <v>2835.96</v>
      </c>
      <c r="D8119" s="1">
        <f>IFERROR(__xludf.DUMMYFUNCTION("""COMPUTED_VALUE"""),2812.7)</f>
        <v>2812.7</v>
      </c>
      <c r="E8119" s="1">
        <f>IFERROR(__xludf.DUMMYFUNCTION("""COMPUTED_VALUE"""),2821.98)</f>
        <v>2821.98</v>
      </c>
      <c r="F8119" s="1">
        <f>IFERROR(__xludf.DUMMYFUNCTION("""COMPUTED_VALUE"""),0.0)</f>
        <v>0</v>
      </c>
    </row>
    <row r="8120">
      <c r="A8120" s="2">
        <f>IFERROR(__xludf.DUMMYFUNCTION("""COMPUTED_VALUE"""),43133.66666666667)</f>
        <v>43133.66667</v>
      </c>
      <c r="B8120" s="1">
        <f>IFERROR(__xludf.DUMMYFUNCTION("""COMPUTED_VALUE"""),2808.92)</f>
        <v>2808.92</v>
      </c>
      <c r="C8120" s="1">
        <f>IFERROR(__xludf.DUMMYFUNCTION("""COMPUTED_VALUE"""),2808.92)</f>
        <v>2808.92</v>
      </c>
      <c r="D8120" s="1">
        <f>IFERROR(__xludf.DUMMYFUNCTION("""COMPUTED_VALUE"""),2759.97)</f>
        <v>2759.97</v>
      </c>
      <c r="E8120" s="1">
        <f>IFERROR(__xludf.DUMMYFUNCTION("""COMPUTED_VALUE"""),2762.13)</f>
        <v>2762.13</v>
      </c>
      <c r="F8120" s="1">
        <f>IFERROR(__xludf.DUMMYFUNCTION("""COMPUTED_VALUE"""),0.0)</f>
        <v>0</v>
      </c>
    </row>
    <row r="8121">
      <c r="A8121" s="2">
        <f>IFERROR(__xludf.DUMMYFUNCTION("""COMPUTED_VALUE"""),43136.66666666667)</f>
        <v>43136.66667</v>
      </c>
      <c r="B8121" s="1">
        <f>IFERROR(__xludf.DUMMYFUNCTION("""COMPUTED_VALUE"""),2741.06)</f>
        <v>2741.06</v>
      </c>
      <c r="C8121" s="1">
        <f>IFERROR(__xludf.DUMMYFUNCTION("""COMPUTED_VALUE"""),2763.39)</f>
        <v>2763.39</v>
      </c>
      <c r="D8121" s="1">
        <f>IFERROR(__xludf.DUMMYFUNCTION("""COMPUTED_VALUE"""),2638.17)</f>
        <v>2638.17</v>
      </c>
      <c r="E8121" s="1">
        <f>IFERROR(__xludf.DUMMYFUNCTION("""COMPUTED_VALUE"""),2648.94)</f>
        <v>2648.94</v>
      </c>
      <c r="F8121" s="1">
        <f>IFERROR(__xludf.DUMMYFUNCTION("""COMPUTED_VALUE"""),0.0)</f>
        <v>0</v>
      </c>
    </row>
    <row r="8122">
      <c r="A8122" s="2">
        <f>IFERROR(__xludf.DUMMYFUNCTION("""COMPUTED_VALUE"""),43137.66666666667)</f>
        <v>43137.66667</v>
      </c>
      <c r="B8122" s="1">
        <f>IFERROR(__xludf.DUMMYFUNCTION("""COMPUTED_VALUE"""),2614.78)</f>
        <v>2614.78</v>
      </c>
      <c r="C8122" s="1">
        <f>IFERROR(__xludf.DUMMYFUNCTION("""COMPUTED_VALUE"""),2701.04)</f>
        <v>2701.04</v>
      </c>
      <c r="D8122" s="1">
        <f>IFERROR(__xludf.DUMMYFUNCTION("""COMPUTED_VALUE"""),2593.6)</f>
        <v>2593.6</v>
      </c>
      <c r="E8122" s="1">
        <f>IFERROR(__xludf.DUMMYFUNCTION("""COMPUTED_VALUE"""),2695.14)</f>
        <v>2695.14</v>
      </c>
      <c r="F8122" s="1">
        <f>IFERROR(__xludf.DUMMYFUNCTION("""COMPUTED_VALUE"""),0.0)</f>
        <v>0</v>
      </c>
    </row>
    <row r="8123">
      <c r="A8123" s="2">
        <f>IFERROR(__xludf.DUMMYFUNCTION("""COMPUTED_VALUE"""),43138.66666666667)</f>
        <v>43138.66667</v>
      </c>
      <c r="B8123" s="1">
        <f>IFERROR(__xludf.DUMMYFUNCTION("""COMPUTED_VALUE"""),2690.95)</f>
        <v>2690.95</v>
      </c>
      <c r="C8123" s="1">
        <f>IFERROR(__xludf.DUMMYFUNCTION("""COMPUTED_VALUE"""),2727.67)</f>
        <v>2727.67</v>
      </c>
      <c r="D8123" s="1">
        <f>IFERROR(__xludf.DUMMYFUNCTION("""COMPUTED_VALUE"""),2681.33)</f>
        <v>2681.33</v>
      </c>
      <c r="E8123" s="1">
        <f>IFERROR(__xludf.DUMMYFUNCTION("""COMPUTED_VALUE"""),2681.66)</f>
        <v>2681.66</v>
      </c>
      <c r="F8123" s="1">
        <f>IFERROR(__xludf.DUMMYFUNCTION("""COMPUTED_VALUE"""),0.0)</f>
        <v>0</v>
      </c>
    </row>
    <row r="8124">
      <c r="A8124" s="2">
        <f>IFERROR(__xludf.DUMMYFUNCTION("""COMPUTED_VALUE"""),43139.66666666667)</f>
        <v>43139.66667</v>
      </c>
      <c r="B8124" s="1">
        <f>IFERROR(__xludf.DUMMYFUNCTION("""COMPUTED_VALUE"""),2685.01)</f>
        <v>2685.01</v>
      </c>
      <c r="C8124" s="1">
        <f>IFERROR(__xludf.DUMMYFUNCTION("""COMPUTED_VALUE"""),2685.27)</f>
        <v>2685.27</v>
      </c>
      <c r="D8124" s="1">
        <f>IFERROR(__xludf.DUMMYFUNCTION("""COMPUTED_VALUE"""),2580.56)</f>
        <v>2580.56</v>
      </c>
      <c r="E8124" s="1">
        <f>IFERROR(__xludf.DUMMYFUNCTION("""COMPUTED_VALUE"""),2581.0)</f>
        <v>2581</v>
      </c>
      <c r="F8124" s="1">
        <f>IFERROR(__xludf.DUMMYFUNCTION("""COMPUTED_VALUE"""),0.0)</f>
        <v>0</v>
      </c>
    </row>
    <row r="8125">
      <c r="A8125" s="2">
        <f>IFERROR(__xludf.DUMMYFUNCTION("""COMPUTED_VALUE"""),43140.66666666667)</f>
        <v>43140.66667</v>
      </c>
      <c r="B8125" s="1">
        <f>IFERROR(__xludf.DUMMYFUNCTION("""COMPUTED_VALUE"""),2601.78)</f>
        <v>2601.78</v>
      </c>
      <c r="C8125" s="1">
        <f>IFERROR(__xludf.DUMMYFUNCTION("""COMPUTED_VALUE"""),2638.67)</f>
        <v>2638.67</v>
      </c>
      <c r="D8125" s="1">
        <f>IFERROR(__xludf.DUMMYFUNCTION("""COMPUTED_VALUE"""),2532.69)</f>
        <v>2532.69</v>
      </c>
      <c r="E8125" s="1">
        <f>IFERROR(__xludf.DUMMYFUNCTION("""COMPUTED_VALUE"""),2619.55)</f>
        <v>2619.55</v>
      </c>
      <c r="F8125" s="1">
        <f>IFERROR(__xludf.DUMMYFUNCTION("""COMPUTED_VALUE"""),0.0)</f>
        <v>0</v>
      </c>
    </row>
    <row r="8126">
      <c r="A8126" s="2">
        <f>IFERROR(__xludf.DUMMYFUNCTION("""COMPUTED_VALUE"""),43143.66666666667)</f>
        <v>43143.66667</v>
      </c>
      <c r="B8126" s="1">
        <f>IFERROR(__xludf.DUMMYFUNCTION("""COMPUTED_VALUE"""),2636.75)</f>
        <v>2636.75</v>
      </c>
      <c r="C8126" s="1">
        <f>IFERROR(__xludf.DUMMYFUNCTION("""COMPUTED_VALUE"""),2672.61)</f>
        <v>2672.61</v>
      </c>
      <c r="D8126" s="1">
        <f>IFERROR(__xludf.DUMMYFUNCTION("""COMPUTED_VALUE"""),2622.45)</f>
        <v>2622.45</v>
      </c>
      <c r="E8126" s="1">
        <f>IFERROR(__xludf.DUMMYFUNCTION("""COMPUTED_VALUE"""),2656.0)</f>
        <v>2656</v>
      </c>
      <c r="F8126" s="1">
        <f>IFERROR(__xludf.DUMMYFUNCTION("""COMPUTED_VALUE"""),0.0)</f>
        <v>0</v>
      </c>
    </row>
    <row r="8127">
      <c r="A8127" s="2">
        <f>IFERROR(__xludf.DUMMYFUNCTION("""COMPUTED_VALUE"""),43144.66666666667)</f>
        <v>43144.66667</v>
      </c>
      <c r="B8127" s="1">
        <f>IFERROR(__xludf.DUMMYFUNCTION("""COMPUTED_VALUE"""),2646.27)</f>
        <v>2646.27</v>
      </c>
      <c r="C8127" s="1">
        <f>IFERROR(__xludf.DUMMYFUNCTION("""COMPUTED_VALUE"""),2668.84)</f>
        <v>2668.84</v>
      </c>
      <c r="D8127" s="1">
        <f>IFERROR(__xludf.DUMMYFUNCTION("""COMPUTED_VALUE"""),2637.08)</f>
        <v>2637.08</v>
      </c>
      <c r="E8127" s="1">
        <f>IFERROR(__xludf.DUMMYFUNCTION("""COMPUTED_VALUE"""),2662.94)</f>
        <v>2662.94</v>
      </c>
      <c r="F8127" s="1">
        <f>IFERROR(__xludf.DUMMYFUNCTION("""COMPUTED_VALUE"""),0.0)</f>
        <v>0</v>
      </c>
    </row>
    <row r="8128">
      <c r="A8128" s="2">
        <f>IFERROR(__xludf.DUMMYFUNCTION("""COMPUTED_VALUE"""),43145.66666666667)</f>
        <v>43145.66667</v>
      </c>
      <c r="B8128" s="1">
        <f>IFERROR(__xludf.DUMMYFUNCTION("""COMPUTED_VALUE"""),2651.21)</f>
        <v>2651.21</v>
      </c>
      <c r="C8128" s="1">
        <f>IFERROR(__xludf.DUMMYFUNCTION("""COMPUTED_VALUE"""),2702.1)</f>
        <v>2702.1</v>
      </c>
      <c r="D8128" s="1">
        <f>IFERROR(__xludf.DUMMYFUNCTION("""COMPUTED_VALUE"""),2648.89)</f>
        <v>2648.89</v>
      </c>
      <c r="E8128" s="1">
        <f>IFERROR(__xludf.DUMMYFUNCTION("""COMPUTED_VALUE"""),2698.63)</f>
        <v>2698.63</v>
      </c>
      <c r="F8128" s="1">
        <f>IFERROR(__xludf.DUMMYFUNCTION("""COMPUTED_VALUE"""),0.0)</f>
        <v>0</v>
      </c>
    </row>
    <row r="8129">
      <c r="A8129" s="2">
        <f>IFERROR(__xludf.DUMMYFUNCTION("""COMPUTED_VALUE"""),43146.66666666667)</f>
        <v>43146.66667</v>
      </c>
      <c r="B8129" s="1">
        <f>IFERROR(__xludf.DUMMYFUNCTION("""COMPUTED_VALUE"""),2713.46)</f>
        <v>2713.46</v>
      </c>
      <c r="C8129" s="1">
        <f>IFERROR(__xludf.DUMMYFUNCTION("""COMPUTED_VALUE"""),2731.51)</f>
        <v>2731.51</v>
      </c>
      <c r="D8129" s="1">
        <f>IFERROR(__xludf.DUMMYFUNCTION("""COMPUTED_VALUE"""),2689.82)</f>
        <v>2689.82</v>
      </c>
      <c r="E8129" s="1">
        <f>IFERROR(__xludf.DUMMYFUNCTION("""COMPUTED_VALUE"""),2731.2)</f>
        <v>2731.2</v>
      </c>
      <c r="F8129" s="1">
        <f>IFERROR(__xludf.DUMMYFUNCTION("""COMPUTED_VALUE"""),0.0)</f>
        <v>0</v>
      </c>
    </row>
    <row r="8130">
      <c r="A8130" s="2">
        <f>IFERROR(__xludf.DUMMYFUNCTION("""COMPUTED_VALUE"""),43147.66666666667)</f>
        <v>43147.66667</v>
      </c>
      <c r="B8130" s="1">
        <f>IFERROR(__xludf.DUMMYFUNCTION("""COMPUTED_VALUE"""),2727.14)</f>
        <v>2727.14</v>
      </c>
      <c r="C8130" s="1">
        <f>IFERROR(__xludf.DUMMYFUNCTION("""COMPUTED_VALUE"""),2754.42)</f>
        <v>2754.42</v>
      </c>
      <c r="D8130" s="1">
        <f>IFERROR(__xludf.DUMMYFUNCTION("""COMPUTED_VALUE"""),2725.11)</f>
        <v>2725.11</v>
      </c>
      <c r="E8130" s="1">
        <f>IFERROR(__xludf.DUMMYFUNCTION("""COMPUTED_VALUE"""),2732.22)</f>
        <v>2732.22</v>
      </c>
      <c r="F8130" s="1">
        <f>IFERROR(__xludf.DUMMYFUNCTION("""COMPUTED_VALUE"""),0.0)</f>
        <v>0</v>
      </c>
    </row>
    <row r="8131">
      <c r="A8131" s="2">
        <f>IFERROR(__xludf.DUMMYFUNCTION("""COMPUTED_VALUE"""),43151.66666666667)</f>
        <v>43151.66667</v>
      </c>
      <c r="B8131" s="1">
        <f>IFERROR(__xludf.DUMMYFUNCTION("""COMPUTED_VALUE"""),2722.99)</f>
        <v>2722.99</v>
      </c>
      <c r="C8131" s="1">
        <f>IFERROR(__xludf.DUMMYFUNCTION("""COMPUTED_VALUE"""),2737.6)</f>
        <v>2737.6</v>
      </c>
      <c r="D8131" s="1">
        <f>IFERROR(__xludf.DUMMYFUNCTION("""COMPUTED_VALUE"""),2706.76)</f>
        <v>2706.76</v>
      </c>
      <c r="E8131" s="1">
        <f>IFERROR(__xludf.DUMMYFUNCTION("""COMPUTED_VALUE"""),2716.26)</f>
        <v>2716.26</v>
      </c>
      <c r="F8131" s="1">
        <f>IFERROR(__xludf.DUMMYFUNCTION("""COMPUTED_VALUE"""),0.0)</f>
        <v>0</v>
      </c>
    </row>
    <row r="8132">
      <c r="A8132" s="2">
        <f>IFERROR(__xludf.DUMMYFUNCTION("""COMPUTED_VALUE"""),43152.66666666667)</f>
        <v>43152.66667</v>
      </c>
      <c r="B8132" s="1">
        <f>IFERROR(__xludf.DUMMYFUNCTION("""COMPUTED_VALUE"""),2720.53)</f>
        <v>2720.53</v>
      </c>
      <c r="C8132" s="1">
        <f>IFERROR(__xludf.DUMMYFUNCTION("""COMPUTED_VALUE"""),2747.75)</f>
        <v>2747.75</v>
      </c>
      <c r="D8132" s="1">
        <f>IFERROR(__xludf.DUMMYFUNCTION("""COMPUTED_VALUE"""),2701.29)</f>
        <v>2701.29</v>
      </c>
      <c r="E8132" s="1">
        <f>IFERROR(__xludf.DUMMYFUNCTION("""COMPUTED_VALUE"""),2701.33)</f>
        <v>2701.33</v>
      </c>
      <c r="F8132" s="1">
        <f>IFERROR(__xludf.DUMMYFUNCTION("""COMPUTED_VALUE"""),0.0)</f>
        <v>0</v>
      </c>
    </row>
    <row r="8133">
      <c r="A8133" s="2">
        <f>IFERROR(__xludf.DUMMYFUNCTION("""COMPUTED_VALUE"""),43153.66666666667)</f>
        <v>43153.66667</v>
      </c>
      <c r="B8133" s="1">
        <f>IFERROR(__xludf.DUMMYFUNCTION("""COMPUTED_VALUE"""),2710.42)</f>
        <v>2710.42</v>
      </c>
      <c r="C8133" s="1">
        <f>IFERROR(__xludf.DUMMYFUNCTION("""COMPUTED_VALUE"""),2731.26)</f>
        <v>2731.26</v>
      </c>
      <c r="D8133" s="1">
        <f>IFERROR(__xludf.DUMMYFUNCTION("""COMPUTED_VALUE"""),2697.77)</f>
        <v>2697.77</v>
      </c>
      <c r="E8133" s="1">
        <f>IFERROR(__xludf.DUMMYFUNCTION("""COMPUTED_VALUE"""),2703.96)</f>
        <v>2703.96</v>
      </c>
      <c r="F8133" s="1">
        <f>IFERROR(__xludf.DUMMYFUNCTION("""COMPUTED_VALUE"""),0.0)</f>
        <v>0</v>
      </c>
    </row>
    <row r="8134">
      <c r="A8134" s="2">
        <f>IFERROR(__xludf.DUMMYFUNCTION("""COMPUTED_VALUE"""),43154.66666666667)</f>
        <v>43154.66667</v>
      </c>
      <c r="B8134" s="1">
        <f>IFERROR(__xludf.DUMMYFUNCTION("""COMPUTED_VALUE"""),2715.8)</f>
        <v>2715.8</v>
      </c>
      <c r="C8134" s="1">
        <f>IFERROR(__xludf.DUMMYFUNCTION("""COMPUTED_VALUE"""),2747.76)</f>
        <v>2747.76</v>
      </c>
      <c r="D8134" s="1">
        <f>IFERROR(__xludf.DUMMYFUNCTION("""COMPUTED_VALUE"""),2713.74)</f>
        <v>2713.74</v>
      </c>
      <c r="E8134" s="1">
        <f>IFERROR(__xludf.DUMMYFUNCTION("""COMPUTED_VALUE"""),2747.3)</f>
        <v>2747.3</v>
      </c>
      <c r="F8134" s="1">
        <f>IFERROR(__xludf.DUMMYFUNCTION("""COMPUTED_VALUE"""),0.0)</f>
        <v>0</v>
      </c>
    </row>
    <row r="8135">
      <c r="A8135" s="2">
        <f>IFERROR(__xludf.DUMMYFUNCTION("""COMPUTED_VALUE"""),43157.66666666667)</f>
        <v>43157.66667</v>
      </c>
      <c r="B8135" s="1">
        <f>IFERROR(__xludf.DUMMYFUNCTION("""COMPUTED_VALUE"""),2757.37)</f>
        <v>2757.37</v>
      </c>
      <c r="C8135" s="1">
        <f>IFERROR(__xludf.DUMMYFUNCTION("""COMPUTED_VALUE"""),2780.64)</f>
        <v>2780.64</v>
      </c>
      <c r="D8135" s="1">
        <f>IFERROR(__xludf.DUMMYFUNCTION("""COMPUTED_VALUE"""),2753.78)</f>
        <v>2753.78</v>
      </c>
      <c r="E8135" s="1">
        <f>IFERROR(__xludf.DUMMYFUNCTION("""COMPUTED_VALUE"""),2779.6)</f>
        <v>2779.6</v>
      </c>
      <c r="F8135" s="1">
        <f>IFERROR(__xludf.DUMMYFUNCTION("""COMPUTED_VALUE"""),0.0)</f>
        <v>0</v>
      </c>
    </row>
    <row r="8136">
      <c r="A8136" s="2">
        <f>IFERROR(__xludf.DUMMYFUNCTION("""COMPUTED_VALUE"""),43158.66666666667)</f>
        <v>43158.66667</v>
      </c>
      <c r="B8136" s="1">
        <f>IFERROR(__xludf.DUMMYFUNCTION("""COMPUTED_VALUE"""),2780.45)</f>
        <v>2780.45</v>
      </c>
      <c r="C8136" s="1">
        <f>IFERROR(__xludf.DUMMYFUNCTION("""COMPUTED_VALUE"""),2789.15)</f>
        <v>2789.15</v>
      </c>
      <c r="D8136" s="1">
        <f>IFERROR(__xludf.DUMMYFUNCTION("""COMPUTED_VALUE"""),2744.22)</f>
        <v>2744.22</v>
      </c>
      <c r="E8136" s="1">
        <f>IFERROR(__xludf.DUMMYFUNCTION("""COMPUTED_VALUE"""),2744.28)</f>
        <v>2744.28</v>
      </c>
      <c r="F8136" s="1">
        <f>IFERROR(__xludf.DUMMYFUNCTION("""COMPUTED_VALUE"""),0.0)</f>
        <v>0</v>
      </c>
    </row>
    <row r="8137">
      <c r="A8137" s="2">
        <f>IFERROR(__xludf.DUMMYFUNCTION("""COMPUTED_VALUE"""),43159.66666666667)</f>
        <v>43159.66667</v>
      </c>
      <c r="B8137" s="1">
        <f>IFERROR(__xludf.DUMMYFUNCTION("""COMPUTED_VALUE"""),2753.78)</f>
        <v>2753.78</v>
      </c>
      <c r="C8137" s="1">
        <f>IFERROR(__xludf.DUMMYFUNCTION("""COMPUTED_VALUE"""),2761.52)</f>
        <v>2761.52</v>
      </c>
      <c r="D8137" s="1">
        <f>IFERROR(__xludf.DUMMYFUNCTION("""COMPUTED_VALUE"""),2713.54)</f>
        <v>2713.54</v>
      </c>
      <c r="E8137" s="1">
        <f>IFERROR(__xludf.DUMMYFUNCTION("""COMPUTED_VALUE"""),2713.83)</f>
        <v>2713.83</v>
      </c>
      <c r="F8137" s="1">
        <f>IFERROR(__xludf.DUMMYFUNCTION("""COMPUTED_VALUE"""),0.0)</f>
        <v>0</v>
      </c>
    </row>
    <row r="8138">
      <c r="A8138" s="2">
        <f>IFERROR(__xludf.DUMMYFUNCTION("""COMPUTED_VALUE"""),43160.66666666667)</f>
        <v>43160.66667</v>
      </c>
      <c r="B8138" s="1">
        <f>IFERROR(__xludf.DUMMYFUNCTION("""COMPUTED_VALUE"""),2715.22)</f>
        <v>2715.22</v>
      </c>
      <c r="C8138" s="1">
        <f>IFERROR(__xludf.DUMMYFUNCTION("""COMPUTED_VALUE"""),2730.89)</f>
        <v>2730.89</v>
      </c>
      <c r="D8138" s="1">
        <f>IFERROR(__xludf.DUMMYFUNCTION("""COMPUTED_VALUE"""),2659.65)</f>
        <v>2659.65</v>
      </c>
      <c r="E8138" s="1">
        <f>IFERROR(__xludf.DUMMYFUNCTION("""COMPUTED_VALUE"""),2677.67)</f>
        <v>2677.67</v>
      </c>
      <c r="F8138" s="1">
        <f>IFERROR(__xludf.DUMMYFUNCTION("""COMPUTED_VALUE"""),0.0)</f>
        <v>0</v>
      </c>
    </row>
    <row r="8139">
      <c r="A8139" s="2">
        <f>IFERROR(__xludf.DUMMYFUNCTION("""COMPUTED_VALUE"""),43161.66666666667)</f>
        <v>43161.66667</v>
      </c>
      <c r="B8139" s="1">
        <f>IFERROR(__xludf.DUMMYFUNCTION("""COMPUTED_VALUE"""),2658.89)</f>
        <v>2658.89</v>
      </c>
      <c r="C8139" s="1">
        <f>IFERROR(__xludf.DUMMYFUNCTION("""COMPUTED_VALUE"""),2696.25)</f>
        <v>2696.25</v>
      </c>
      <c r="D8139" s="1">
        <f>IFERROR(__xludf.DUMMYFUNCTION("""COMPUTED_VALUE"""),2647.32)</f>
        <v>2647.32</v>
      </c>
      <c r="E8139" s="1">
        <f>IFERROR(__xludf.DUMMYFUNCTION("""COMPUTED_VALUE"""),2691.25)</f>
        <v>2691.25</v>
      </c>
      <c r="F8139" s="1">
        <f>IFERROR(__xludf.DUMMYFUNCTION("""COMPUTED_VALUE"""),0.0)</f>
        <v>0</v>
      </c>
    </row>
    <row r="8140">
      <c r="A8140" s="2">
        <f>IFERROR(__xludf.DUMMYFUNCTION("""COMPUTED_VALUE"""),43164.66666666667)</f>
        <v>43164.66667</v>
      </c>
      <c r="B8140" s="1">
        <f>IFERROR(__xludf.DUMMYFUNCTION("""COMPUTED_VALUE"""),2681.06)</f>
        <v>2681.06</v>
      </c>
      <c r="C8140" s="1">
        <f>IFERROR(__xludf.DUMMYFUNCTION("""COMPUTED_VALUE"""),2728.09)</f>
        <v>2728.09</v>
      </c>
      <c r="D8140" s="1">
        <f>IFERROR(__xludf.DUMMYFUNCTION("""COMPUTED_VALUE"""),2675.75)</f>
        <v>2675.75</v>
      </c>
      <c r="E8140" s="1">
        <f>IFERROR(__xludf.DUMMYFUNCTION("""COMPUTED_VALUE"""),2720.94)</f>
        <v>2720.94</v>
      </c>
      <c r="F8140" s="1">
        <f>IFERROR(__xludf.DUMMYFUNCTION("""COMPUTED_VALUE"""),0.0)</f>
        <v>0</v>
      </c>
    </row>
    <row r="8141">
      <c r="A8141" s="2">
        <f>IFERROR(__xludf.DUMMYFUNCTION("""COMPUTED_VALUE"""),43165.66666666667)</f>
        <v>43165.66667</v>
      </c>
      <c r="B8141" s="1">
        <f>IFERROR(__xludf.DUMMYFUNCTION("""COMPUTED_VALUE"""),2730.18)</f>
        <v>2730.18</v>
      </c>
      <c r="C8141" s="1">
        <f>IFERROR(__xludf.DUMMYFUNCTION("""COMPUTED_VALUE"""),2732.08)</f>
        <v>2732.08</v>
      </c>
      <c r="D8141" s="1">
        <f>IFERROR(__xludf.DUMMYFUNCTION("""COMPUTED_VALUE"""),2711.26)</f>
        <v>2711.26</v>
      </c>
      <c r="E8141" s="1">
        <f>IFERROR(__xludf.DUMMYFUNCTION("""COMPUTED_VALUE"""),2728.12)</f>
        <v>2728.12</v>
      </c>
      <c r="F8141" s="1">
        <f>IFERROR(__xludf.DUMMYFUNCTION("""COMPUTED_VALUE"""),0.0)</f>
        <v>0</v>
      </c>
    </row>
    <row r="8142">
      <c r="A8142" s="2">
        <f>IFERROR(__xludf.DUMMYFUNCTION("""COMPUTED_VALUE"""),43166.66666666667)</f>
        <v>43166.66667</v>
      </c>
      <c r="B8142" s="1">
        <f>IFERROR(__xludf.DUMMYFUNCTION("""COMPUTED_VALUE"""),2710.18)</f>
        <v>2710.18</v>
      </c>
      <c r="C8142" s="1">
        <f>IFERROR(__xludf.DUMMYFUNCTION("""COMPUTED_VALUE"""),2730.6)</f>
        <v>2730.6</v>
      </c>
      <c r="D8142" s="1">
        <f>IFERROR(__xludf.DUMMYFUNCTION("""COMPUTED_VALUE"""),2701.74)</f>
        <v>2701.74</v>
      </c>
      <c r="E8142" s="1">
        <f>IFERROR(__xludf.DUMMYFUNCTION("""COMPUTED_VALUE"""),2726.8)</f>
        <v>2726.8</v>
      </c>
      <c r="F8142" s="1">
        <f>IFERROR(__xludf.DUMMYFUNCTION("""COMPUTED_VALUE"""),0.0)</f>
        <v>0</v>
      </c>
    </row>
    <row r="8143">
      <c r="A8143" s="2">
        <f>IFERROR(__xludf.DUMMYFUNCTION("""COMPUTED_VALUE"""),43167.66666666667)</f>
        <v>43167.66667</v>
      </c>
      <c r="B8143" s="1">
        <f>IFERROR(__xludf.DUMMYFUNCTION("""COMPUTED_VALUE"""),2732.75)</f>
        <v>2732.75</v>
      </c>
      <c r="C8143" s="1">
        <f>IFERROR(__xludf.DUMMYFUNCTION("""COMPUTED_VALUE"""),2740.45)</f>
        <v>2740.45</v>
      </c>
      <c r="D8143" s="1">
        <f>IFERROR(__xludf.DUMMYFUNCTION("""COMPUTED_VALUE"""),2722.65)</f>
        <v>2722.65</v>
      </c>
      <c r="E8143" s="1">
        <f>IFERROR(__xludf.DUMMYFUNCTION("""COMPUTED_VALUE"""),2738.97)</f>
        <v>2738.97</v>
      </c>
      <c r="F8143" s="1">
        <f>IFERROR(__xludf.DUMMYFUNCTION("""COMPUTED_VALUE"""),0.0)</f>
        <v>0</v>
      </c>
    </row>
    <row r="8144">
      <c r="A8144" s="2">
        <f>IFERROR(__xludf.DUMMYFUNCTION("""COMPUTED_VALUE"""),43168.66666666667)</f>
        <v>43168.66667</v>
      </c>
      <c r="B8144" s="1">
        <f>IFERROR(__xludf.DUMMYFUNCTION("""COMPUTED_VALUE"""),2752.91)</f>
        <v>2752.91</v>
      </c>
      <c r="C8144" s="1">
        <f>IFERROR(__xludf.DUMMYFUNCTION("""COMPUTED_VALUE"""),2786.57)</f>
        <v>2786.57</v>
      </c>
      <c r="D8144" s="1">
        <f>IFERROR(__xludf.DUMMYFUNCTION("""COMPUTED_VALUE"""),2751.54)</f>
        <v>2751.54</v>
      </c>
      <c r="E8144" s="1">
        <f>IFERROR(__xludf.DUMMYFUNCTION("""COMPUTED_VALUE"""),2786.57)</f>
        <v>2786.57</v>
      </c>
      <c r="F8144" s="1">
        <f>IFERROR(__xludf.DUMMYFUNCTION("""COMPUTED_VALUE"""),0.0)</f>
        <v>0</v>
      </c>
    </row>
    <row r="8145">
      <c r="A8145" s="2">
        <f>IFERROR(__xludf.DUMMYFUNCTION("""COMPUTED_VALUE"""),43171.66666666667)</f>
        <v>43171.66667</v>
      </c>
      <c r="B8145" s="1">
        <f>IFERROR(__xludf.DUMMYFUNCTION("""COMPUTED_VALUE"""),2790.54)</f>
        <v>2790.54</v>
      </c>
      <c r="C8145" s="1">
        <f>IFERROR(__xludf.DUMMYFUNCTION("""COMPUTED_VALUE"""),2796.98)</f>
        <v>2796.98</v>
      </c>
      <c r="D8145" s="1">
        <f>IFERROR(__xludf.DUMMYFUNCTION("""COMPUTED_VALUE"""),2779.26)</f>
        <v>2779.26</v>
      </c>
      <c r="E8145" s="1">
        <f>IFERROR(__xludf.DUMMYFUNCTION("""COMPUTED_VALUE"""),2783.02)</f>
        <v>2783.02</v>
      </c>
      <c r="F8145" s="1">
        <f>IFERROR(__xludf.DUMMYFUNCTION("""COMPUTED_VALUE"""),0.0)</f>
        <v>0</v>
      </c>
    </row>
    <row r="8146">
      <c r="A8146" s="2">
        <f>IFERROR(__xludf.DUMMYFUNCTION("""COMPUTED_VALUE"""),43172.66666666667)</f>
        <v>43172.66667</v>
      </c>
      <c r="B8146" s="1">
        <f>IFERROR(__xludf.DUMMYFUNCTION("""COMPUTED_VALUE"""),2792.31)</f>
        <v>2792.31</v>
      </c>
      <c r="C8146" s="1">
        <f>IFERROR(__xludf.DUMMYFUNCTION("""COMPUTED_VALUE"""),2801.9)</f>
        <v>2801.9</v>
      </c>
      <c r="D8146" s="1">
        <f>IFERROR(__xludf.DUMMYFUNCTION("""COMPUTED_VALUE"""),2758.68)</f>
        <v>2758.68</v>
      </c>
      <c r="E8146" s="1">
        <f>IFERROR(__xludf.DUMMYFUNCTION("""COMPUTED_VALUE"""),2765.31)</f>
        <v>2765.31</v>
      </c>
      <c r="F8146" s="1">
        <f>IFERROR(__xludf.DUMMYFUNCTION("""COMPUTED_VALUE"""),0.0)</f>
        <v>0</v>
      </c>
    </row>
    <row r="8147">
      <c r="A8147" s="2">
        <f>IFERROR(__xludf.DUMMYFUNCTION("""COMPUTED_VALUE"""),43173.66666666667)</f>
        <v>43173.66667</v>
      </c>
      <c r="B8147" s="1">
        <f>IFERROR(__xludf.DUMMYFUNCTION("""COMPUTED_VALUE"""),2774.06)</f>
        <v>2774.06</v>
      </c>
      <c r="C8147" s="1">
        <f>IFERROR(__xludf.DUMMYFUNCTION("""COMPUTED_VALUE"""),2777.11)</f>
        <v>2777.11</v>
      </c>
      <c r="D8147" s="1">
        <f>IFERROR(__xludf.DUMMYFUNCTION("""COMPUTED_VALUE"""),2744.38)</f>
        <v>2744.38</v>
      </c>
      <c r="E8147" s="1">
        <f>IFERROR(__xludf.DUMMYFUNCTION("""COMPUTED_VALUE"""),2749.48)</f>
        <v>2749.48</v>
      </c>
      <c r="F8147" s="1">
        <f>IFERROR(__xludf.DUMMYFUNCTION("""COMPUTED_VALUE"""),0.0)</f>
        <v>0</v>
      </c>
    </row>
    <row r="8148">
      <c r="A8148" s="2">
        <f>IFERROR(__xludf.DUMMYFUNCTION("""COMPUTED_VALUE"""),43174.66666666667)</f>
        <v>43174.66667</v>
      </c>
      <c r="B8148" s="1">
        <f>IFERROR(__xludf.DUMMYFUNCTION("""COMPUTED_VALUE"""),2754.27)</f>
        <v>2754.27</v>
      </c>
      <c r="C8148" s="1">
        <f>IFERROR(__xludf.DUMMYFUNCTION("""COMPUTED_VALUE"""),2763.03)</f>
        <v>2763.03</v>
      </c>
      <c r="D8148" s="1">
        <f>IFERROR(__xludf.DUMMYFUNCTION("""COMPUTED_VALUE"""),2741.47)</f>
        <v>2741.47</v>
      </c>
      <c r="E8148" s="1">
        <f>IFERROR(__xludf.DUMMYFUNCTION("""COMPUTED_VALUE"""),2747.33)</f>
        <v>2747.33</v>
      </c>
      <c r="F8148" s="1">
        <f>IFERROR(__xludf.DUMMYFUNCTION("""COMPUTED_VALUE"""),0.0)</f>
        <v>0</v>
      </c>
    </row>
    <row r="8149">
      <c r="A8149" s="2">
        <f>IFERROR(__xludf.DUMMYFUNCTION("""COMPUTED_VALUE"""),43175.66666666667)</f>
        <v>43175.66667</v>
      </c>
      <c r="B8149" s="1">
        <f>IFERROR(__xludf.DUMMYFUNCTION("""COMPUTED_VALUE"""),2750.57)</f>
        <v>2750.57</v>
      </c>
      <c r="C8149" s="1">
        <f>IFERROR(__xludf.DUMMYFUNCTION("""COMPUTED_VALUE"""),2761.85)</f>
        <v>2761.85</v>
      </c>
      <c r="D8149" s="1">
        <f>IFERROR(__xludf.DUMMYFUNCTION("""COMPUTED_VALUE"""),2749.97)</f>
        <v>2749.97</v>
      </c>
      <c r="E8149" s="1">
        <f>IFERROR(__xludf.DUMMYFUNCTION("""COMPUTED_VALUE"""),2752.01)</f>
        <v>2752.01</v>
      </c>
      <c r="F8149" s="1">
        <f>IFERROR(__xludf.DUMMYFUNCTION("""COMPUTED_VALUE"""),0.0)</f>
        <v>0</v>
      </c>
    </row>
    <row r="8150">
      <c r="A8150" s="2">
        <f>IFERROR(__xludf.DUMMYFUNCTION("""COMPUTED_VALUE"""),43178.66666666667)</f>
        <v>43178.66667</v>
      </c>
      <c r="B8150" s="1">
        <f>IFERROR(__xludf.DUMMYFUNCTION("""COMPUTED_VALUE"""),2741.38)</f>
        <v>2741.38</v>
      </c>
      <c r="C8150" s="1">
        <f>IFERROR(__xludf.DUMMYFUNCTION("""COMPUTED_VALUE"""),2741.38)</f>
        <v>2741.38</v>
      </c>
      <c r="D8150" s="1">
        <f>IFERROR(__xludf.DUMMYFUNCTION("""COMPUTED_VALUE"""),2694.59)</f>
        <v>2694.59</v>
      </c>
      <c r="E8150" s="1">
        <f>IFERROR(__xludf.DUMMYFUNCTION("""COMPUTED_VALUE"""),2712.92)</f>
        <v>2712.92</v>
      </c>
      <c r="F8150" s="1">
        <f>IFERROR(__xludf.DUMMYFUNCTION("""COMPUTED_VALUE"""),0.0)</f>
        <v>0</v>
      </c>
    </row>
    <row r="8151">
      <c r="A8151" s="2">
        <f>IFERROR(__xludf.DUMMYFUNCTION("""COMPUTED_VALUE"""),43179.66666666667)</f>
        <v>43179.66667</v>
      </c>
      <c r="B8151" s="1">
        <f>IFERROR(__xludf.DUMMYFUNCTION("""COMPUTED_VALUE"""),2715.05)</f>
        <v>2715.05</v>
      </c>
      <c r="C8151" s="1">
        <f>IFERROR(__xludf.DUMMYFUNCTION("""COMPUTED_VALUE"""),2724.22)</f>
        <v>2724.22</v>
      </c>
      <c r="D8151" s="1">
        <f>IFERROR(__xludf.DUMMYFUNCTION("""COMPUTED_VALUE"""),2710.05)</f>
        <v>2710.05</v>
      </c>
      <c r="E8151" s="1">
        <f>IFERROR(__xludf.DUMMYFUNCTION("""COMPUTED_VALUE"""),2716.94)</f>
        <v>2716.94</v>
      </c>
      <c r="F8151" s="1">
        <f>IFERROR(__xludf.DUMMYFUNCTION("""COMPUTED_VALUE"""),0.0)</f>
        <v>0</v>
      </c>
    </row>
    <row r="8152">
      <c r="A8152" s="2">
        <f>IFERROR(__xludf.DUMMYFUNCTION("""COMPUTED_VALUE"""),43180.66666666667)</f>
        <v>43180.66667</v>
      </c>
      <c r="B8152" s="1">
        <f>IFERROR(__xludf.DUMMYFUNCTION("""COMPUTED_VALUE"""),2714.99)</f>
        <v>2714.99</v>
      </c>
      <c r="C8152" s="1">
        <f>IFERROR(__xludf.DUMMYFUNCTION("""COMPUTED_VALUE"""),2739.14)</f>
        <v>2739.14</v>
      </c>
      <c r="D8152" s="1">
        <f>IFERROR(__xludf.DUMMYFUNCTION("""COMPUTED_VALUE"""),2709.79)</f>
        <v>2709.79</v>
      </c>
      <c r="E8152" s="1">
        <f>IFERROR(__xludf.DUMMYFUNCTION("""COMPUTED_VALUE"""),2711.93)</f>
        <v>2711.93</v>
      </c>
      <c r="F8152" s="1">
        <f>IFERROR(__xludf.DUMMYFUNCTION("""COMPUTED_VALUE"""),0.0)</f>
        <v>0</v>
      </c>
    </row>
    <row r="8153">
      <c r="A8153" s="2">
        <f>IFERROR(__xludf.DUMMYFUNCTION("""COMPUTED_VALUE"""),43181.66666666667)</f>
        <v>43181.66667</v>
      </c>
      <c r="B8153" s="1">
        <f>IFERROR(__xludf.DUMMYFUNCTION("""COMPUTED_VALUE"""),2691.36)</f>
        <v>2691.36</v>
      </c>
      <c r="C8153" s="1">
        <f>IFERROR(__xludf.DUMMYFUNCTION("""COMPUTED_VALUE"""),2695.68)</f>
        <v>2695.68</v>
      </c>
      <c r="D8153" s="1">
        <f>IFERROR(__xludf.DUMMYFUNCTION("""COMPUTED_VALUE"""),2641.59)</f>
        <v>2641.59</v>
      </c>
      <c r="E8153" s="1">
        <f>IFERROR(__xludf.DUMMYFUNCTION("""COMPUTED_VALUE"""),2643.69)</f>
        <v>2643.69</v>
      </c>
      <c r="F8153" s="1">
        <f>IFERROR(__xludf.DUMMYFUNCTION("""COMPUTED_VALUE"""),0.0)</f>
        <v>0</v>
      </c>
    </row>
    <row r="8154">
      <c r="A8154" s="2">
        <f>IFERROR(__xludf.DUMMYFUNCTION("""COMPUTED_VALUE"""),43182.66666666667)</f>
        <v>43182.66667</v>
      </c>
      <c r="B8154" s="1">
        <f>IFERROR(__xludf.DUMMYFUNCTION("""COMPUTED_VALUE"""),2646.71)</f>
        <v>2646.71</v>
      </c>
      <c r="C8154" s="1">
        <f>IFERROR(__xludf.DUMMYFUNCTION("""COMPUTED_VALUE"""),2657.67)</f>
        <v>2657.67</v>
      </c>
      <c r="D8154" s="1">
        <f>IFERROR(__xludf.DUMMYFUNCTION("""COMPUTED_VALUE"""),2585.89)</f>
        <v>2585.89</v>
      </c>
      <c r="E8154" s="1">
        <f>IFERROR(__xludf.DUMMYFUNCTION("""COMPUTED_VALUE"""),2588.26)</f>
        <v>2588.26</v>
      </c>
      <c r="F8154" s="1">
        <f>IFERROR(__xludf.DUMMYFUNCTION("""COMPUTED_VALUE"""),0.0)</f>
        <v>0</v>
      </c>
    </row>
    <row r="8155">
      <c r="A8155" s="2">
        <f>IFERROR(__xludf.DUMMYFUNCTION("""COMPUTED_VALUE"""),43185.66666666667)</f>
        <v>43185.66667</v>
      </c>
      <c r="B8155" s="1">
        <f>IFERROR(__xludf.DUMMYFUNCTION("""COMPUTED_VALUE"""),2619.35)</f>
        <v>2619.35</v>
      </c>
      <c r="C8155" s="1">
        <f>IFERROR(__xludf.DUMMYFUNCTION("""COMPUTED_VALUE"""),2661.36)</f>
        <v>2661.36</v>
      </c>
      <c r="D8155" s="1">
        <f>IFERROR(__xludf.DUMMYFUNCTION("""COMPUTED_VALUE"""),2601.81)</f>
        <v>2601.81</v>
      </c>
      <c r="E8155" s="1">
        <f>IFERROR(__xludf.DUMMYFUNCTION("""COMPUTED_VALUE"""),2658.55)</f>
        <v>2658.55</v>
      </c>
      <c r="F8155" s="1">
        <f>IFERROR(__xludf.DUMMYFUNCTION("""COMPUTED_VALUE"""),0.0)</f>
        <v>0</v>
      </c>
    </row>
    <row r="8156">
      <c r="A8156" s="2">
        <f>IFERROR(__xludf.DUMMYFUNCTION("""COMPUTED_VALUE"""),43186.66666666667)</f>
        <v>43186.66667</v>
      </c>
      <c r="B8156" s="1">
        <f>IFERROR(__xludf.DUMMYFUNCTION("""COMPUTED_VALUE"""),2667.57)</f>
        <v>2667.57</v>
      </c>
      <c r="C8156" s="1">
        <f>IFERROR(__xludf.DUMMYFUNCTION("""COMPUTED_VALUE"""),2674.78)</f>
        <v>2674.78</v>
      </c>
      <c r="D8156" s="1">
        <f>IFERROR(__xludf.DUMMYFUNCTION("""COMPUTED_VALUE"""),2596.12)</f>
        <v>2596.12</v>
      </c>
      <c r="E8156" s="1">
        <f>IFERROR(__xludf.DUMMYFUNCTION("""COMPUTED_VALUE"""),2612.62)</f>
        <v>2612.62</v>
      </c>
      <c r="F8156" s="1">
        <f>IFERROR(__xludf.DUMMYFUNCTION("""COMPUTED_VALUE"""),0.0)</f>
        <v>0</v>
      </c>
    </row>
    <row r="8157">
      <c r="A8157" s="2">
        <f>IFERROR(__xludf.DUMMYFUNCTION("""COMPUTED_VALUE"""),43187.66666666667)</f>
        <v>43187.66667</v>
      </c>
      <c r="B8157" s="1">
        <f>IFERROR(__xludf.DUMMYFUNCTION("""COMPUTED_VALUE"""),2611.3)</f>
        <v>2611.3</v>
      </c>
      <c r="C8157" s="1">
        <f>IFERROR(__xludf.DUMMYFUNCTION("""COMPUTED_VALUE"""),2632.65)</f>
        <v>2632.65</v>
      </c>
      <c r="D8157" s="1">
        <f>IFERROR(__xludf.DUMMYFUNCTION("""COMPUTED_VALUE"""),2593.06)</f>
        <v>2593.06</v>
      </c>
      <c r="E8157" s="1">
        <f>IFERROR(__xludf.DUMMYFUNCTION("""COMPUTED_VALUE"""),2605.0)</f>
        <v>2605</v>
      </c>
      <c r="F8157" s="1">
        <f>IFERROR(__xludf.DUMMYFUNCTION("""COMPUTED_VALUE"""),0.0)</f>
        <v>0</v>
      </c>
    </row>
    <row r="8158">
      <c r="A8158" s="2">
        <f>IFERROR(__xludf.DUMMYFUNCTION("""COMPUTED_VALUE"""),43188.66666666667)</f>
        <v>43188.66667</v>
      </c>
      <c r="B8158" s="1">
        <f>IFERROR(__xludf.DUMMYFUNCTION("""COMPUTED_VALUE"""),2614.41)</f>
        <v>2614.41</v>
      </c>
      <c r="C8158" s="1">
        <f>IFERROR(__xludf.DUMMYFUNCTION("""COMPUTED_VALUE"""),2659.07)</f>
        <v>2659.07</v>
      </c>
      <c r="D8158" s="1">
        <f>IFERROR(__xludf.DUMMYFUNCTION("""COMPUTED_VALUE"""),2609.72)</f>
        <v>2609.72</v>
      </c>
      <c r="E8158" s="1">
        <f>IFERROR(__xludf.DUMMYFUNCTION("""COMPUTED_VALUE"""),2640.87)</f>
        <v>2640.87</v>
      </c>
      <c r="F8158" s="1">
        <f>IFERROR(__xludf.DUMMYFUNCTION("""COMPUTED_VALUE"""),0.0)</f>
        <v>0</v>
      </c>
    </row>
    <row r="8159">
      <c r="A8159" s="2">
        <f>IFERROR(__xludf.DUMMYFUNCTION("""COMPUTED_VALUE"""),43192.66666666667)</f>
        <v>43192.66667</v>
      </c>
      <c r="B8159" s="1">
        <f>IFERROR(__xludf.DUMMYFUNCTION("""COMPUTED_VALUE"""),2633.45)</f>
        <v>2633.45</v>
      </c>
      <c r="C8159" s="1">
        <f>IFERROR(__xludf.DUMMYFUNCTION("""COMPUTED_VALUE"""),2638.3)</f>
        <v>2638.3</v>
      </c>
      <c r="D8159" s="1">
        <f>IFERROR(__xludf.DUMMYFUNCTION("""COMPUTED_VALUE"""),2553.8)</f>
        <v>2553.8</v>
      </c>
      <c r="E8159" s="1">
        <f>IFERROR(__xludf.DUMMYFUNCTION("""COMPUTED_VALUE"""),2581.88)</f>
        <v>2581.88</v>
      </c>
      <c r="F8159" s="1">
        <f>IFERROR(__xludf.DUMMYFUNCTION("""COMPUTED_VALUE"""),0.0)</f>
        <v>0</v>
      </c>
    </row>
    <row r="8160">
      <c r="A8160" s="2">
        <f>IFERROR(__xludf.DUMMYFUNCTION("""COMPUTED_VALUE"""),43193.66666666667)</f>
        <v>43193.66667</v>
      </c>
      <c r="B8160" s="1">
        <f>IFERROR(__xludf.DUMMYFUNCTION("""COMPUTED_VALUE"""),2592.17)</f>
        <v>2592.17</v>
      </c>
      <c r="C8160" s="1">
        <f>IFERROR(__xludf.DUMMYFUNCTION("""COMPUTED_VALUE"""),2619.14)</f>
        <v>2619.14</v>
      </c>
      <c r="D8160" s="1">
        <f>IFERROR(__xludf.DUMMYFUNCTION("""COMPUTED_VALUE"""),2575.49)</f>
        <v>2575.49</v>
      </c>
      <c r="E8160" s="1">
        <f>IFERROR(__xludf.DUMMYFUNCTION("""COMPUTED_VALUE"""),2614.45)</f>
        <v>2614.45</v>
      </c>
      <c r="F8160" s="1">
        <f>IFERROR(__xludf.DUMMYFUNCTION("""COMPUTED_VALUE"""),0.0)</f>
        <v>0</v>
      </c>
    </row>
    <row r="8161">
      <c r="A8161" s="2">
        <f>IFERROR(__xludf.DUMMYFUNCTION("""COMPUTED_VALUE"""),43194.66666666667)</f>
        <v>43194.66667</v>
      </c>
      <c r="B8161" s="1">
        <f>IFERROR(__xludf.DUMMYFUNCTION("""COMPUTED_VALUE"""),2584.04)</f>
        <v>2584.04</v>
      </c>
      <c r="C8161" s="1">
        <f>IFERROR(__xludf.DUMMYFUNCTION("""COMPUTED_VALUE"""),2649.86)</f>
        <v>2649.86</v>
      </c>
      <c r="D8161" s="1">
        <f>IFERROR(__xludf.DUMMYFUNCTION("""COMPUTED_VALUE"""),2573.61)</f>
        <v>2573.61</v>
      </c>
      <c r="E8161" s="1">
        <f>IFERROR(__xludf.DUMMYFUNCTION("""COMPUTED_VALUE"""),2644.69)</f>
        <v>2644.69</v>
      </c>
      <c r="F8161" s="1">
        <f>IFERROR(__xludf.DUMMYFUNCTION("""COMPUTED_VALUE"""),0.0)</f>
        <v>0</v>
      </c>
    </row>
    <row r="8162">
      <c r="A8162" s="2">
        <f>IFERROR(__xludf.DUMMYFUNCTION("""COMPUTED_VALUE"""),43195.66666666667)</f>
        <v>43195.66667</v>
      </c>
      <c r="B8162" s="1">
        <f>IFERROR(__xludf.DUMMYFUNCTION("""COMPUTED_VALUE"""),2657.36)</f>
        <v>2657.36</v>
      </c>
      <c r="C8162" s="1">
        <f>IFERROR(__xludf.DUMMYFUNCTION("""COMPUTED_VALUE"""),2672.08)</f>
        <v>2672.08</v>
      </c>
      <c r="D8162" s="1">
        <f>IFERROR(__xludf.DUMMYFUNCTION("""COMPUTED_VALUE"""),2649.58)</f>
        <v>2649.58</v>
      </c>
      <c r="E8162" s="1">
        <f>IFERROR(__xludf.DUMMYFUNCTION("""COMPUTED_VALUE"""),2662.84)</f>
        <v>2662.84</v>
      </c>
      <c r="F8162" s="1">
        <f>IFERROR(__xludf.DUMMYFUNCTION("""COMPUTED_VALUE"""),0.0)</f>
        <v>0</v>
      </c>
    </row>
    <row r="8163">
      <c r="A8163" s="2">
        <f>IFERROR(__xludf.DUMMYFUNCTION("""COMPUTED_VALUE"""),43196.66666666667)</f>
        <v>43196.66667</v>
      </c>
      <c r="B8163" s="1">
        <f>IFERROR(__xludf.DUMMYFUNCTION("""COMPUTED_VALUE"""),2645.82)</f>
        <v>2645.82</v>
      </c>
      <c r="C8163" s="1">
        <f>IFERROR(__xludf.DUMMYFUNCTION("""COMPUTED_VALUE"""),2656.88)</f>
        <v>2656.88</v>
      </c>
      <c r="D8163" s="1">
        <f>IFERROR(__xludf.DUMMYFUNCTION("""COMPUTED_VALUE"""),2586.27)</f>
        <v>2586.27</v>
      </c>
      <c r="E8163" s="1">
        <f>IFERROR(__xludf.DUMMYFUNCTION("""COMPUTED_VALUE"""),2604.47)</f>
        <v>2604.47</v>
      </c>
      <c r="F8163" s="1">
        <f>IFERROR(__xludf.DUMMYFUNCTION("""COMPUTED_VALUE"""),0.0)</f>
        <v>0</v>
      </c>
    </row>
    <row r="8164">
      <c r="A8164" s="2">
        <f>IFERROR(__xludf.DUMMYFUNCTION("""COMPUTED_VALUE"""),43199.66666666667)</f>
        <v>43199.66667</v>
      </c>
      <c r="B8164" s="1">
        <f>IFERROR(__xludf.DUMMYFUNCTION("""COMPUTED_VALUE"""),2617.18)</f>
        <v>2617.18</v>
      </c>
      <c r="C8164" s="1">
        <f>IFERROR(__xludf.DUMMYFUNCTION("""COMPUTED_VALUE"""),2653.55)</f>
        <v>2653.55</v>
      </c>
      <c r="D8164" s="1">
        <f>IFERROR(__xludf.DUMMYFUNCTION("""COMPUTED_VALUE"""),2610.79)</f>
        <v>2610.79</v>
      </c>
      <c r="E8164" s="1">
        <f>IFERROR(__xludf.DUMMYFUNCTION("""COMPUTED_VALUE"""),2613.16)</f>
        <v>2613.16</v>
      </c>
      <c r="F8164" s="1">
        <f>IFERROR(__xludf.DUMMYFUNCTION("""COMPUTED_VALUE"""),0.0)</f>
        <v>0</v>
      </c>
    </row>
    <row r="8165">
      <c r="A8165" s="2">
        <f>IFERROR(__xludf.DUMMYFUNCTION("""COMPUTED_VALUE"""),43200.66666666667)</f>
        <v>43200.66667</v>
      </c>
      <c r="B8165" s="1">
        <f>IFERROR(__xludf.DUMMYFUNCTION("""COMPUTED_VALUE"""),2638.41)</f>
        <v>2638.41</v>
      </c>
      <c r="C8165" s="1">
        <f>IFERROR(__xludf.DUMMYFUNCTION("""COMPUTED_VALUE"""),2665.45)</f>
        <v>2665.45</v>
      </c>
      <c r="D8165" s="1">
        <f>IFERROR(__xludf.DUMMYFUNCTION("""COMPUTED_VALUE"""),2635.78)</f>
        <v>2635.78</v>
      </c>
      <c r="E8165" s="1">
        <f>IFERROR(__xludf.DUMMYFUNCTION("""COMPUTED_VALUE"""),2656.87)</f>
        <v>2656.87</v>
      </c>
      <c r="F8165" s="1">
        <f>IFERROR(__xludf.DUMMYFUNCTION("""COMPUTED_VALUE"""),0.0)</f>
        <v>0</v>
      </c>
    </row>
    <row r="8166">
      <c r="A8166" s="2">
        <f>IFERROR(__xludf.DUMMYFUNCTION("""COMPUTED_VALUE"""),43201.66666666667)</f>
        <v>43201.66667</v>
      </c>
      <c r="B8166" s="1">
        <f>IFERROR(__xludf.DUMMYFUNCTION("""COMPUTED_VALUE"""),2643.89)</f>
        <v>2643.89</v>
      </c>
      <c r="C8166" s="1">
        <f>IFERROR(__xludf.DUMMYFUNCTION("""COMPUTED_VALUE"""),2661.43)</f>
        <v>2661.43</v>
      </c>
      <c r="D8166" s="1">
        <f>IFERROR(__xludf.DUMMYFUNCTION("""COMPUTED_VALUE"""),2639.25)</f>
        <v>2639.25</v>
      </c>
      <c r="E8166" s="1">
        <f>IFERROR(__xludf.DUMMYFUNCTION("""COMPUTED_VALUE"""),2642.19)</f>
        <v>2642.19</v>
      </c>
      <c r="F8166" s="1">
        <f>IFERROR(__xludf.DUMMYFUNCTION("""COMPUTED_VALUE"""),0.0)</f>
        <v>0</v>
      </c>
    </row>
    <row r="8167">
      <c r="A8167" s="2">
        <f>IFERROR(__xludf.DUMMYFUNCTION("""COMPUTED_VALUE"""),43202.66666666667)</f>
        <v>43202.66667</v>
      </c>
      <c r="B8167" s="1">
        <f>IFERROR(__xludf.DUMMYFUNCTION("""COMPUTED_VALUE"""),2653.83)</f>
        <v>2653.83</v>
      </c>
      <c r="C8167" s="1">
        <f>IFERROR(__xludf.DUMMYFUNCTION("""COMPUTED_VALUE"""),2674.72)</f>
        <v>2674.72</v>
      </c>
      <c r="D8167" s="1">
        <f>IFERROR(__xludf.DUMMYFUNCTION("""COMPUTED_VALUE"""),2653.83)</f>
        <v>2653.83</v>
      </c>
      <c r="E8167" s="1">
        <f>IFERROR(__xludf.DUMMYFUNCTION("""COMPUTED_VALUE"""),2663.99)</f>
        <v>2663.99</v>
      </c>
      <c r="F8167" s="1">
        <f>IFERROR(__xludf.DUMMYFUNCTION("""COMPUTED_VALUE"""),0.0)</f>
        <v>0</v>
      </c>
    </row>
    <row r="8168">
      <c r="A8168" s="2">
        <f>IFERROR(__xludf.DUMMYFUNCTION("""COMPUTED_VALUE"""),43203.66666666667)</f>
        <v>43203.66667</v>
      </c>
      <c r="B8168" s="1">
        <f>IFERROR(__xludf.DUMMYFUNCTION("""COMPUTED_VALUE"""),2676.9)</f>
        <v>2676.9</v>
      </c>
      <c r="C8168" s="1">
        <f>IFERROR(__xludf.DUMMYFUNCTION("""COMPUTED_VALUE"""),2680.26)</f>
        <v>2680.26</v>
      </c>
      <c r="D8168" s="1">
        <f>IFERROR(__xludf.DUMMYFUNCTION("""COMPUTED_VALUE"""),2645.05)</f>
        <v>2645.05</v>
      </c>
      <c r="E8168" s="1">
        <f>IFERROR(__xludf.DUMMYFUNCTION("""COMPUTED_VALUE"""),2656.3)</f>
        <v>2656.3</v>
      </c>
      <c r="F8168" s="1">
        <f>IFERROR(__xludf.DUMMYFUNCTION("""COMPUTED_VALUE"""),0.0)</f>
        <v>0</v>
      </c>
    </row>
    <row r="8169">
      <c r="A8169" s="2">
        <f>IFERROR(__xludf.DUMMYFUNCTION("""COMPUTED_VALUE"""),43206.66666666667)</f>
        <v>43206.66667</v>
      </c>
      <c r="B8169" s="1">
        <f>IFERROR(__xludf.DUMMYFUNCTION("""COMPUTED_VALUE"""),2670.1)</f>
        <v>2670.1</v>
      </c>
      <c r="C8169" s="1">
        <f>IFERROR(__xludf.DUMMYFUNCTION("""COMPUTED_VALUE"""),2686.49)</f>
        <v>2686.49</v>
      </c>
      <c r="D8169" s="1">
        <f>IFERROR(__xludf.DUMMYFUNCTION("""COMPUTED_VALUE"""),2665.16)</f>
        <v>2665.16</v>
      </c>
      <c r="E8169" s="1">
        <f>IFERROR(__xludf.DUMMYFUNCTION("""COMPUTED_VALUE"""),2677.84)</f>
        <v>2677.84</v>
      </c>
      <c r="F8169" s="1">
        <f>IFERROR(__xludf.DUMMYFUNCTION("""COMPUTED_VALUE"""),0.0)</f>
        <v>0</v>
      </c>
    </row>
    <row r="8170">
      <c r="A8170" s="2">
        <f>IFERROR(__xludf.DUMMYFUNCTION("""COMPUTED_VALUE"""),43207.66666666667)</f>
        <v>43207.66667</v>
      </c>
      <c r="B8170" s="1">
        <f>IFERROR(__xludf.DUMMYFUNCTION("""COMPUTED_VALUE"""),2692.74)</f>
        <v>2692.74</v>
      </c>
      <c r="C8170" s="1">
        <f>IFERROR(__xludf.DUMMYFUNCTION("""COMPUTED_VALUE"""),2713.34)</f>
        <v>2713.34</v>
      </c>
      <c r="D8170" s="1">
        <f>IFERROR(__xludf.DUMMYFUNCTION("""COMPUTED_VALUE"""),2692.05)</f>
        <v>2692.05</v>
      </c>
      <c r="E8170" s="1">
        <f>IFERROR(__xludf.DUMMYFUNCTION("""COMPUTED_VALUE"""),2706.39)</f>
        <v>2706.39</v>
      </c>
      <c r="F8170" s="1">
        <f>IFERROR(__xludf.DUMMYFUNCTION("""COMPUTED_VALUE"""),0.0)</f>
        <v>0</v>
      </c>
    </row>
    <row r="8171">
      <c r="A8171" s="2">
        <f>IFERROR(__xludf.DUMMYFUNCTION("""COMPUTED_VALUE"""),43208.66666666667)</f>
        <v>43208.66667</v>
      </c>
      <c r="B8171" s="1">
        <f>IFERROR(__xludf.DUMMYFUNCTION("""COMPUTED_VALUE"""),2710.11)</f>
        <v>2710.11</v>
      </c>
      <c r="C8171" s="1">
        <f>IFERROR(__xludf.DUMMYFUNCTION("""COMPUTED_VALUE"""),2717.49)</f>
        <v>2717.49</v>
      </c>
      <c r="D8171" s="1">
        <f>IFERROR(__xludf.DUMMYFUNCTION("""COMPUTED_VALUE"""),2703.63)</f>
        <v>2703.63</v>
      </c>
      <c r="E8171" s="1">
        <f>IFERROR(__xludf.DUMMYFUNCTION("""COMPUTED_VALUE"""),2708.64)</f>
        <v>2708.64</v>
      </c>
      <c r="F8171" s="1">
        <f>IFERROR(__xludf.DUMMYFUNCTION("""COMPUTED_VALUE"""),0.0)</f>
        <v>0</v>
      </c>
    </row>
    <row r="8172">
      <c r="A8172" s="2">
        <f>IFERROR(__xludf.DUMMYFUNCTION("""COMPUTED_VALUE"""),43209.66666666667)</f>
        <v>43209.66667</v>
      </c>
      <c r="B8172" s="1">
        <f>IFERROR(__xludf.DUMMYFUNCTION("""COMPUTED_VALUE"""),2701.16)</f>
        <v>2701.16</v>
      </c>
      <c r="C8172" s="1">
        <f>IFERROR(__xludf.DUMMYFUNCTION("""COMPUTED_VALUE"""),2702.84)</f>
        <v>2702.84</v>
      </c>
      <c r="D8172" s="1">
        <f>IFERROR(__xludf.DUMMYFUNCTION("""COMPUTED_VALUE"""),2681.9)</f>
        <v>2681.9</v>
      </c>
      <c r="E8172" s="1">
        <f>IFERROR(__xludf.DUMMYFUNCTION("""COMPUTED_VALUE"""),2693.13)</f>
        <v>2693.13</v>
      </c>
      <c r="F8172" s="1">
        <f>IFERROR(__xludf.DUMMYFUNCTION("""COMPUTED_VALUE"""),0.0)</f>
        <v>0</v>
      </c>
    </row>
    <row r="8173">
      <c r="A8173" s="2">
        <f>IFERROR(__xludf.DUMMYFUNCTION("""COMPUTED_VALUE"""),43210.66666666667)</f>
        <v>43210.66667</v>
      </c>
      <c r="B8173" s="1">
        <f>IFERROR(__xludf.DUMMYFUNCTION("""COMPUTED_VALUE"""),2692.56)</f>
        <v>2692.56</v>
      </c>
      <c r="C8173" s="1">
        <f>IFERROR(__xludf.DUMMYFUNCTION("""COMPUTED_VALUE"""),2693.94)</f>
        <v>2693.94</v>
      </c>
      <c r="D8173" s="1">
        <f>IFERROR(__xludf.DUMMYFUNCTION("""COMPUTED_VALUE"""),2660.61)</f>
        <v>2660.61</v>
      </c>
      <c r="E8173" s="1">
        <f>IFERROR(__xludf.DUMMYFUNCTION("""COMPUTED_VALUE"""),2670.14)</f>
        <v>2670.14</v>
      </c>
      <c r="F8173" s="1">
        <f>IFERROR(__xludf.DUMMYFUNCTION("""COMPUTED_VALUE"""),0.0)</f>
        <v>0</v>
      </c>
    </row>
    <row r="8174">
      <c r="A8174" s="2">
        <f>IFERROR(__xludf.DUMMYFUNCTION("""COMPUTED_VALUE"""),43213.66666666667)</f>
        <v>43213.66667</v>
      </c>
      <c r="B8174" s="1">
        <f>IFERROR(__xludf.DUMMYFUNCTION("""COMPUTED_VALUE"""),2675.4)</f>
        <v>2675.4</v>
      </c>
      <c r="C8174" s="1">
        <f>IFERROR(__xludf.DUMMYFUNCTION("""COMPUTED_VALUE"""),2682.86)</f>
        <v>2682.86</v>
      </c>
      <c r="D8174" s="1">
        <f>IFERROR(__xludf.DUMMYFUNCTION("""COMPUTED_VALUE"""),2657.99)</f>
        <v>2657.99</v>
      </c>
      <c r="E8174" s="1">
        <f>IFERROR(__xludf.DUMMYFUNCTION("""COMPUTED_VALUE"""),2670.29)</f>
        <v>2670.29</v>
      </c>
      <c r="F8174" s="1">
        <f>IFERROR(__xludf.DUMMYFUNCTION("""COMPUTED_VALUE"""),0.0)</f>
        <v>0</v>
      </c>
    </row>
    <row r="8175">
      <c r="A8175" s="2">
        <f>IFERROR(__xludf.DUMMYFUNCTION("""COMPUTED_VALUE"""),43214.66666666667)</f>
        <v>43214.66667</v>
      </c>
      <c r="B8175" s="1">
        <f>IFERROR(__xludf.DUMMYFUNCTION("""COMPUTED_VALUE"""),2680.8)</f>
        <v>2680.8</v>
      </c>
      <c r="C8175" s="1">
        <f>IFERROR(__xludf.DUMMYFUNCTION("""COMPUTED_VALUE"""),2683.55)</f>
        <v>2683.55</v>
      </c>
      <c r="D8175" s="1">
        <f>IFERROR(__xludf.DUMMYFUNCTION("""COMPUTED_VALUE"""),2617.32)</f>
        <v>2617.32</v>
      </c>
      <c r="E8175" s="1">
        <f>IFERROR(__xludf.DUMMYFUNCTION("""COMPUTED_VALUE"""),2634.56)</f>
        <v>2634.56</v>
      </c>
      <c r="F8175" s="1">
        <f>IFERROR(__xludf.DUMMYFUNCTION("""COMPUTED_VALUE"""),0.0)</f>
        <v>0</v>
      </c>
    </row>
    <row r="8176">
      <c r="A8176" s="2">
        <f>IFERROR(__xludf.DUMMYFUNCTION("""COMPUTED_VALUE"""),43215.66666666667)</f>
        <v>43215.66667</v>
      </c>
      <c r="B8176" s="1">
        <f>IFERROR(__xludf.DUMMYFUNCTION("""COMPUTED_VALUE"""),2634.92)</f>
        <v>2634.92</v>
      </c>
      <c r="C8176" s="1">
        <f>IFERROR(__xludf.DUMMYFUNCTION("""COMPUTED_VALUE"""),2645.3)</f>
        <v>2645.3</v>
      </c>
      <c r="D8176" s="1">
        <f>IFERROR(__xludf.DUMMYFUNCTION("""COMPUTED_VALUE"""),2612.67)</f>
        <v>2612.67</v>
      </c>
      <c r="E8176" s="1">
        <f>IFERROR(__xludf.DUMMYFUNCTION("""COMPUTED_VALUE"""),2639.4)</f>
        <v>2639.4</v>
      </c>
      <c r="F8176" s="1">
        <f>IFERROR(__xludf.DUMMYFUNCTION("""COMPUTED_VALUE"""),0.0)</f>
        <v>0</v>
      </c>
    </row>
    <row r="8177">
      <c r="A8177" s="2">
        <f>IFERROR(__xludf.DUMMYFUNCTION("""COMPUTED_VALUE"""),43216.66666666667)</f>
        <v>43216.66667</v>
      </c>
      <c r="B8177" s="1">
        <f>IFERROR(__xludf.DUMMYFUNCTION("""COMPUTED_VALUE"""),2651.65)</f>
        <v>2651.65</v>
      </c>
      <c r="C8177" s="1">
        <f>IFERROR(__xludf.DUMMYFUNCTION("""COMPUTED_VALUE"""),2676.48)</f>
        <v>2676.48</v>
      </c>
      <c r="D8177" s="1">
        <f>IFERROR(__xludf.DUMMYFUNCTION("""COMPUTED_VALUE"""),2647.16)</f>
        <v>2647.16</v>
      </c>
      <c r="E8177" s="1">
        <f>IFERROR(__xludf.DUMMYFUNCTION("""COMPUTED_VALUE"""),2666.94)</f>
        <v>2666.94</v>
      </c>
      <c r="F8177" s="1">
        <f>IFERROR(__xludf.DUMMYFUNCTION("""COMPUTED_VALUE"""),0.0)</f>
        <v>0</v>
      </c>
    </row>
    <row r="8178">
      <c r="A8178" s="2">
        <f>IFERROR(__xludf.DUMMYFUNCTION("""COMPUTED_VALUE"""),43217.66666666667)</f>
        <v>43217.66667</v>
      </c>
      <c r="B8178" s="1">
        <f>IFERROR(__xludf.DUMMYFUNCTION("""COMPUTED_VALUE"""),2675.47)</f>
        <v>2675.47</v>
      </c>
      <c r="C8178" s="1">
        <f>IFERROR(__xludf.DUMMYFUNCTION("""COMPUTED_VALUE"""),2677.35)</f>
        <v>2677.35</v>
      </c>
      <c r="D8178" s="1">
        <f>IFERROR(__xludf.DUMMYFUNCTION("""COMPUTED_VALUE"""),2659.01)</f>
        <v>2659.01</v>
      </c>
      <c r="E8178" s="1">
        <f>IFERROR(__xludf.DUMMYFUNCTION("""COMPUTED_VALUE"""),2669.91)</f>
        <v>2669.91</v>
      </c>
      <c r="F8178" s="1">
        <f>IFERROR(__xludf.DUMMYFUNCTION("""COMPUTED_VALUE"""),0.0)</f>
        <v>0</v>
      </c>
    </row>
    <row r="8179">
      <c r="A8179" s="2">
        <f>IFERROR(__xludf.DUMMYFUNCTION("""COMPUTED_VALUE"""),43220.66666666667)</f>
        <v>43220.66667</v>
      </c>
      <c r="B8179" s="1">
        <f>IFERROR(__xludf.DUMMYFUNCTION("""COMPUTED_VALUE"""),2675.05)</f>
        <v>2675.05</v>
      </c>
      <c r="C8179" s="1">
        <f>IFERROR(__xludf.DUMMYFUNCTION("""COMPUTED_VALUE"""),2682.92)</f>
        <v>2682.92</v>
      </c>
      <c r="D8179" s="1">
        <f>IFERROR(__xludf.DUMMYFUNCTION("""COMPUTED_VALUE"""),2648.04)</f>
        <v>2648.04</v>
      </c>
      <c r="E8179" s="1">
        <f>IFERROR(__xludf.DUMMYFUNCTION("""COMPUTED_VALUE"""),2648.05)</f>
        <v>2648.05</v>
      </c>
      <c r="F8179" s="1">
        <f>IFERROR(__xludf.DUMMYFUNCTION("""COMPUTED_VALUE"""),0.0)</f>
        <v>0</v>
      </c>
    </row>
    <row r="8180">
      <c r="A8180" s="2">
        <f>IFERROR(__xludf.DUMMYFUNCTION("""COMPUTED_VALUE"""),43221.66666666667)</f>
        <v>43221.66667</v>
      </c>
      <c r="B8180" s="1">
        <f>IFERROR(__xludf.DUMMYFUNCTION("""COMPUTED_VALUE"""),2643.64)</f>
        <v>2643.64</v>
      </c>
      <c r="C8180" s="1">
        <f>IFERROR(__xludf.DUMMYFUNCTION("""COMPUTED_VALUE"""),2655.27)</f>
        <v>2655.27</v>
      </c>
      <c r="D8180" s="1">
        <f>IFERROR(__xludf.DUMMYFUNCTION("""COMPUTED_VALUE"""),2625.41)</f>
        <v>2625.41</v>
      </c>
      <c r="E8180" s="1">
        <f>IFERROR(__xludf.DUMMYFUNCTION("""COMPUTED_VALUE"""),2654.8)</f>
        <v>2654.8</v>
      </c>
      <c r="F8180" s="1">
        <f>IFERROR(__xludf.DUMMYFUNCTION("""COMPUTED_VALUE"""),0.0)</f>
        <v>0</v>
      </c>
    </row>
    <row r="8181">
      <c r="A8181" s="2">
        <f>IFERROR(__xludf.DUMMYFUNCTION("""COMPUTED_VALUE"""),43222.66666666667)</f>
        <v>43222.66667</v>
      </c>
      <c r="B8181" s="1">
        <f>IFERROR(__xludf.DUMMYFUNCTION("""COMPUTED_VALUE"""),2654.24)</f>
        <v>2654.24</v>
      </c>
      <c r="C8181" s="1">
        <f>IFERROR(__xludf.DUMMYFUNCTION("""COMPUTED_VALUE"""),2660.87)</f>
        <v>2660.87</v>
      </c>
      <c r="D8181" s="1">
        <f>IFERROR(__xludf.DUMMYFUNCTION("""COMPUTED_VALUE"""),2631.7)</f>
        <v>2631.7</v>
      </c>
      <c r="E8181" s="1">
        <f>IFERROR(__xludf.DUMMYFUNCTION("""COMPUTED_VALUE"""),2635.67)</f>
        <v>2635.67</v>
      </c>
      <c r="F8181" s="1">
        <f>IFERROR(__xludf.DUMMYFUNCTION("""COMPUTED_VALUE"""),0.0)</f>
        <v>0</v>
      </c>
    </row>
    <row r="8182">
      <c r="A8182" s="2">
        <f>IFERROR(__xludf.DUMMYFUNCTION("""COMPUTED_VALUE"""),43223.66666666667)</f>
        <v>43223.66667</v>
      </c>
      <c r="B8182" s="1">
        <f>IFERROR(__xludf.DUMMYFUNCTION("""COMPUTED_VALUE"""),2628.08)</f>
        <v>2628.08</v>
      </c>
      <c r="C8182" s="1">
        <f>IFERROR(__xludf.DUMMYFUNCTION("""COMPUTED_VALUE"""),2637.14)</f>
        <v>2637.14</v>
      </c>
      <c r="D8182" s="1">
        <f>IFERROR(__xludf.DUMMYFUNCTION("""COMPUTED_VALUE"""),2594.62)</f>
        <v>2594.62</v>
      </c>
      <c r="E8182" s="1">
        <f>IFERROR(__xludf.DUMMYFUNCTION("""COMPUTED_VALUE"""),2629.73)</f>
        <v>2629.73</v>
      </c>
      <c r="F8182" s="1">
        <f>IFERROR(__xludf.DUMMYFUNCTION("""COMPUTED_VALUE"""),0.0)</f>
        <v>0</v>
      </c>
    </row>
    <row r="8183">
      <c r="A8183" s="2">
        <f>IFERROR(__xludf.DUMMYFUNCTION("""COMPUTED_VALUE"""),43224.66666666667)</f>
        <v>43224.66667</v>
      </c>
      <c r="B8183" s="1">
        <f>IFERROR(__xludf.DUMMYFUNCTION("""COMPUTED_VALUE"""),2621.45)</f>
        <v>2621.45</v>
      </c>
      <c r="C8183" s="1">
        <f>IFERROR(__xludf.DUMMYFUNCTION("""COMPUTED_VALUE"""),2670.93)</f>
        <v>2670.93</v>
      </c>
      <c r="D8183" s="1">
        <f>IFERROR(__xludf.DUMMYFUNCTION("""COMPUTED_VALUE"""),2615.32)</f>
        <v>2615.32</v>
      </c>
      <c r="E8183" s="1">
        <f>IFERROR(__xludf.DUMMYFUNCTION("""COMPUTED_VALUE"""),2663.42)</f>
        <v>2663.42</v>
      </c>
      <c r="F8183" s="1">
        <f>IFERROR(__xludf.DUMMYFUNCTION("""COMPUTED_VALUE"""),0.0)</f>
        <v>0</v>
      </c>
    </row>
    <row r="8184">
      <c r="A8184" s="2">
        <f>IFERROR(__xludf.DUMMYFUNCTION("""COMPUTED_VALUE"""),43227.66666666667)</f>
        <v>43227.66667</v>
      </c>
      <c r="B8184" s="1">
        <f>IFERROR(__xludf.DUMMYFUNCTION("""COMPUTED_VALUE"""),2669.36)</f>
        <v>2669.36</v>
      </c>
      <c r="C8184" s="1">
        <f>IFERROR(__xludf.DUMMYFUNCTION("""COMPUTED_VALUE"""),2683.35)</f>
        <v>2683.35</v>
      </c>
      <c r="D8184" s="1">
        <f>IFERROR(__xludf.DUMMYFUNCTION("""COMPUTED_VALUE"""),2664.7)</f>
        <v>2664.7</v>
      </c>
      <c r="E8184" s="1">
        <f>IFERROR(__xludf.DUMMYFUNCTION("""COMPUTED_VALUE"""),2672.63)</f>
        <v>2672.63</v>
      </c>
      <c r="F8184" s="1">
        <f>IFERROR(__xludf.DUMMYFUNCTION("""COMPUTED_VALUE"""),0.0)</f>
        <v>0</v>
      </c>
    </row>
    <row r="8185">
      <c r="A8185" s="2">
        <f>IFERROR(__xludf.DUMMYFUNCTION("""COMPUTED_VALUE"""),43228.66666666667)</f>
        <v>43228.66667</v>
      </c>
      <c r="B8185" s="1">
        <f>IFERROR(__xludf.DUMMYFUNCTION("""COMPUTED_VALUE"""),2670.26)</f>
        <v>2670.26</v>
      </c>
      <c r="C8185" s="1">
        <f>IFERROR(__xludf.DUMMYFUNCTION("""COMPUTED_VALUE"""),2676.34)</f>
        <v>2676.34</v>
      </c>
      <c r="D8185" s="1">
        <f>IFERROR(__xludf.DUMMYFUNCTION("""COMPUTED_VALUE"""),2655.2)</f>
        <v>2655.2</v>
      </c>
      <c r="E8185" s="1">
        <f>IFERROR(__xludf.DUMMYFUNCTION("""COMPUTED_VALUE"""),2671.92)</f>
        <v>2671.92</v>
      </c>
      <c r="F8185" s="1">
        <f>IFERROR(__xludf.DUMMYFUNCTION("""COMPUTED_VALUE"""),0.0)</f>
        <v>0</v>
      </c>
    </row>
    <row r="8186">
      <c r="A8186" s="2">
        <f>IFERROR(__xludf.DUMMYFUNCTION("""COMPUTED_VALUE"""),43229.66666666667)</f>
        <v>43229.66667</v>
      </c>
      <c r="B8186" s="1">
        <f>IFERROR(__xludf.DUMMYFUNCTION("""COMPUTED_VALUE"""),2678.12)</f>
        <v>2678.12</v>
      </c>
      <c r="C8186" s="1">
        <f>IFERROR(__xludf.DUMMYFUNCTION("""COMPUTED_VALUE"""),2701.27)</f>
        <v>2701.27</v>
      </c>
      <c r="D8186" s="1">
        <f>IFERROR(__xludf.DUMMYFUNCTION("""COMPUTED_VALUE"""),2674.14)</f>
        <v>2674.14</v>
      </c>
      <c r="E8186" s="1">
        <f>IFERROR(__xludf.DUMMYFUNCTION("""COMPUTED_VALUE"""),2697.79)</f>
        <v>2697.79</v>
      </c>
      <c r="F8186" s="1">
        <f>IFERROR(__xludf.DUMMYFUNCTION("""COMPUTED_VALUE"""),0.0)</f>
        <v>0</v>
      </c>
    </row>
    <row r="8187">
      <c r="A8187" s="2">
        <f>IFERROR(__xludf.DUMMYFUNCTION("""COMPUTED_VALUE"""),43230.66666666667)</f>
        <v>43230.66667</v>
      </c>
      <c r="B8187" s="1">
        <f>IFERROR(__xludf.DUMMYFUNCTION("""COMPUTED_VALUE"""),2705.02)</f>
        <v>2705.02</v>
      </c>
      <c r="C8187" s="1">
        <f>IFERROR(__xludf.DUMMYFUNCTION("""COMPUTED_VALUE"""),2726.11)</f>
        <v>2726.11</v>
      </c>
      <c r="D8187" s="1">
        <f>IFERROR(__xludf.DUMMYFUNCTION("""COMPUTED_VALUE"""),2704.54)</f>
        <v>2704.54</v>
      </c>
      <c r="E8187" s="1">
        <f>IFERROR(__xludf.DUMMYFUNCTION("""COMPUTED_VALUE"""),2723.07)</f>
        <v>2723.07</v>
      </c>
      <c r="F8187" s="1">
        <f>IFERROR(__xludf.DUMMYFUNCTION("""COMPUTED_VALUE"""),0.0)</f>
        <v>0</v>
      </c>
    </row>
    <row r="8188">
      <c r="A8188" s="2">
        <f>IFERROR(__xludf.DUMMYFUNCTION("""COMPUTED_VALUE"""),43231.66666666667)</f>
        <v>43231.66667</v>
      </c>
      <c r="B8188" s="1">
        <f>IFERROR(__xludf.DUMMYFUNCTION("""COMPUTED_VALUE"""),2722.7)</f>
        <v>2722.7</v>
      </c>
      <c r="C8188" s="1">
        <f>IFERROR(__xludf.DUMMYFUNCTION("""COMPUTED_VALUE"""),2732.86)</f>
        <v>2732.86</v>
      </c>
      <c r="D8188" s="1">
        <f>IFERROR(__xludf.DUMMYFUNCTION("""COMPUTED_VALUE"""),2717.45)</f>
        <v>2717.45</v>
      </c>
      <c r="E8188" s="1">
        <f>IFERROR(__xludf.DUMMYFUNCTION("""COMPUTED_VALUE"""),2727.72)</f>
        <v>2727.72</v>
      </c>
      <c r="F8188" s="1">
        <f>IFERROR(__xludf.DUMMYFUNCTION("""COMPUTED_VALUE"""),0.0)</f>
        <v>0</v>
      </c>
    </row>
    <row r="8189">
      <c r="A8189" s="2">
        <f>IFERROR(__xludf.DUMMYFUNCTION("""COMPUTED_VALUE"""),43234.66666666667)</f>
        <v>43234.66667</v>
      </c>
      <c r="B8189" s="1">
        <f>IFERROR(__xludf.DUMMYFUNCTION("""COMPUTED_VALUE"""),2733.37)</f>
        <v>2733.37</v>
      </c>
      <c r="C8189" s="1">
        <f>IFERROR(__xludf.DUMMYFUNCTION("""COMPUTED_VALUE"""),2742.1)</f>
        <v>2742.1</v>
      </c>
      <c r="D8189" s="1">
        <f>IFERROR(__xludf.DUMMYFUNCTION("""COMPUTED_VALUE"""),2725.47)</f>
        <v>2725.47</v>
      </c>
      <c r="E8189" s="1">
        <f>IFERROR(__xludf.DUMMYFUNCTION("""COMPUTED_VALUE"""),2730.13)</f>
        <v>2730.13</v>
      </c>
      <c r="F8189" s="1">
        <f>IFERROR(__xludf.DUMMYFUNCTION("""COMPUTED_VALUE"""),0.0)</f>
        <v>0</v>
      </c>
    </row>
    <row r="8190">
      <c r="A8190" s="2">
        <f>IFERROR(__xludf.DUMMYFUNCTION("""COMPUTED_VALUE"""),43235.66666666667)</f>
        <v>43235.66667</v>
      </c>
      <c r="B8190" s="1">
        <f>IFERROR(__xludf.DUMMYFUNCTION("""COMPUTED_VALUE"""),2718.59)</f>
        <v>2718.59</v>
      </c>
      <c r="C8190" s="1">
        <f>IFERROR(__xludf.DUMMYFUNCTION("""COMPUTED_VALUE"""),2718.59)</f>
        <v>2718.59</v>
      </c>
      <c r="D8190" s="1">
        <f>IFERROR(__xludf.DUMMYFUNCTION("""COMPUTED_VALUE"""),2701.91)</f>
        <v>2701.91</v>
      </c>
      <c r="E8190" s="1">
        <f>IFERROR(__xludf.DUMMYFUNCTION("""COMPUTED_VALUE"""),2711.45)</f>
        <v>2711.45</v>
      </c>
      <c r="F8190" s="1">
        <f>IFERROR(__xludf.DUMMYFUNCTION("""COMPUTED_VALUE"""),0.0)</f>
        <v>0</v>
      </c>
    </row>
    <row r="8191">
      <c r="A8191" s="2">
        <f>IFERROR(__xludf.DUMMYFUNCTION("""COMPUTED_VALUE"""),43236.66666666667)</f>
        <v>43236.66667</v>
      </c>
      <c r="B8191" s="1">
        <f>IFERROR(__xludf.DUMMYFUNCTION("""COMPUTED_VALUE"""),2712.62)</f>
        <v>2712.62</v>
      </c>
      <c r="C8191" s="1">
        <f>IFERROR(__xludf.DUMMYFUNCTION("""COMPUTED_VALUE"""),2727.76)</f>
        <v>2727.76</v>
      </c>
      <c r="D8191" s="1">
        <f>IFERROR(__xludf.DUMMYFUNCTION("""COMPUTED_VALUE"""),2712.17)</f>
        <v>2712.17</v>
      </c>
      <c r="E8191" s="1">
        <f>IFERROR(__xludf.DUMMYFUNCTION("""COMPUTED_VALUE"""),2722.46)</f>
        <v>2722.46</v>
      </c>
      <c r="F8191" s="1">
        <f>IFERROR(__xludf.DUMMYFUNCTION("""COMPUTED_VALUE"""),0.0)</f>
        <v>0</v>
      </c>
    </row>
    <row r="8192">
      <c r="A8192" s="2">
        <f>IFERROR(__xludf.DUMMYFUNCTION("""COMPUTED_VALUE"""),43237.66666666667)</f>
        <v>43237.66667</v>
      </c>
      <c r="B8192" s="1">
        <f>IFERROR(__xludf.DUMMYFUNCTION("""COMPUTED_VALUE"""),2719.71)</f>
        <v>2719.71</v>
      </c>
      <c r="C8192" s="1">
        <f>IFERROR(__xludf.DUMMYFUNCTION("""COMPUTED_VALUE"""),2731.96)</f>
        <v>2731.96</v>
      </c>
      <c r="D8192" s="1">
        <f>IFERROR(__xludf.DUMMYFUNCTION("""COMPUTED_VALUE"""),2711.36)</f>
        <v>2711.36</v>
      </c>
      <c r="E8192" s="1">
        <f>IFERROR(__xludf.DUMMYFUNCTION("""COMPUTED_VALUE"""),2720.13)</f>
        <v>2720.13</v>
      </c>
      <c r="F8192" s="1">
        <f>IFERROR(__xludf.DUMMYFUNCTION("""COMPUTED_VALUE"""),0.0)</f>
        <v>0</v>
      </c>
    </row>
    <row r="8193">
      <c r="A8193" s="2">
        <f>IFERROR(__xludf.DUMMYFUNCTION("""COMPUTED_VALUE"""),43238.66666666667)</f>
        <v>43238.66667</v>
      </c>
      <c r="B8193" s="1">
        <f>IFERROR(__xludf.DUMMYFUNCTION("""COMPUTED_VALUE"""),2717.35)</f>
        <v>2717.35</v>
      </c>
      <c r="C8193" s="1">
        <f>IFERROR(__xludf.DUMMYFUNCTION("""COMPUTED_VALUE"""),2719.5)</f>
        <v>2719.5</v>
      </c>
      <c r="D8193" s="1">
        <f>IFERROR(__xludf.DUMMYFUNCTION("""COMPUTED_VALUE"""),2709.18)</f>
        <v>2709.18</v>
      </c>
      <c r="E8193" s="1">
        <f>IFERROR(__xludf.DUMMYFUNCTION("""COMPUTED_VALUE"""),2712.97)</f>
        <v>2712.97</v>
      </c>
      <c r="F8193" s="1">
        <f>IFERROR(__xludf.DUMMYFUNCTION("""COMPUTED_VALUE"""),0.0)</f>
        <v>0</v>
      </c>
    </row>
    <row r="8194">
      <c r="A8194" s="2">
        <f>IFERROR(__xludf.DUMMYFUNCTION("""COMPUTED_VALUE"""),43241.66666666667)</f>
        <v>43241.66667</v>
      </c>
      <c r="B8194" s="1">
        <f>IFERROR(__xludf.DUMMYFUNCTION("""COMPUTED_VALUE"""),2725.95)</f>
        <v>2725.95</v>
      </c>
      <c r="C8194" s="1">
        <f>IFERROR(__xludf.DUMMYFUNCTION("""COMPUTED_VALUE"""),2739.19)</f>
        <v>2739.19</v>
      </c>
      <c r="D8194" s="1">
        <f>IFERROR(__xludf.DUMMYFUNCTION("""COMPUTED_VALUE"""),2725.7)</f>
        <v>2725.7</v>
      </c>
      <c r="E8194" s="1">
        <f>IFERROR(__xludf.DUMMYFUNCTION("""COMPUTED_VALUE"""),2733.01)</f>
        <v>2733.01</v>
      </c>
      <c r="F8194" s="1">
        <f>IFERROR(__xludf.DUMMYFUNCTION("""COMPUTED_VALUE"""),0.0)</f>
        <v>0</v>
      </c>
    </row>
    <row r="8195">
      <c r="A8195" s="2">
        <f>IFERROR(__xludf.DUMMYFUNCTION("""COMPUTED_VALUE"""),43242.66666666667)</f>
        <v>43242.66667</v>
      </c>
      <c r="B8195" s="1">
        <f>IFERROR(__xludf.DUMMYFUNCTION("""COMPUTED_VALUE"""),2738.34)</f>
        <v>2738.34</v>
      </c>
      <c r="C8195" s="1">
        <f>IFERROR(__xludf.DUMMYFUNCTION("""COMPUTED_VALUE"""),2742.24)</f>
        <v>2742.24</v>
      </c>
      <c r="D8195" s="1">
        <f>IFERROR(__xludf.DUMMYFUNCTION("""COMPUTED_VALUE"""),2721.88)</f>
        <v>2721.88</v>
      </c>
      <c r="E8195" s="1">
        <f>IFERROR(__xludf.DUMMYFUNCTION("""COMPUTED_VALUE"""),2724.44)</f>
        <v>2724.44</v>
      </c>
      <c r="F8195" s="1">
        <f>IFERROR(__xludf.DUMMYFUNCTION("""COMPUTED_VALUE"""),0.0)</f>
        <v>0</v>
      </c>
    </row>
    <row r="8196">
      <c r="A8196" s="2">
        <f>IFERROR(__xludf.DUMMYFUNCTION("""COMPUTED_VALUE"""),43243.66666666667)</f>
        <v>43243.66667</v>
      </c>
      <c r="B8196" s="1">
        <f>IFERROR(__xludf.DUMMYFUNCTION("""COMPUTED_VALUE"""),2713.98)</f>
        <v>2713.98</v>
      </c>
      <c r="C8196" s="1">
        <f>IFERROR(__xludf.DUMMYFUNCTION("""COMPUTED_VALUE"""),2733.33)</f>
        <v>2733.33</v>
      </c>
      <c r="D8196" s="1">
        <f>IFERROR(__xludf.DUMMYFUNCTION("""COMPUTED_VALUE"""),2709.54)</f>
        <v>2709.54</v>
      </c>
      <c r="E8196" s="1">
        <f>IFERROR(__xludf.DUMMYFUNCTION("""COMPUTED_VALUE"""),2733.29)</f>
        <v>2733.29</v>
      </c>
      <c r="F8196" s="1">
        <f>IFERROR(__xludf.DUMMYFUNCTION("""COMPUTED_VALUE"""),0.0)</f>
        <v>0</v>
      </c>
    </row>
    <row r="8197">
      <c r="A8197" s="2">
        <f>IFERROR(__xludf.DUMMYFUNCTION("""COMPUTED_VALUE"""),43244.66666666667)</f>
        <v>43244.66667</v>
      </c>
      <c r="B8197" s="1">
        <f>IFERROR(__xludf.DUMMYFUNCTION("""COMPUTED_VALUE"""),2730.94)</f>
        <v>2730.94</v>
      </c>
      <c r="C8197" s="1">
        <f>IFERROR(__xludf.DUMMYFUNCTION("""COMPUTED_VALUE"""),2731.97)</f>
        <v>2731.97</v>
      </c>
      <c r="D8197" s="1">
        <f>IFERROR(__xludf.DUMMYFUNCTION("""COMPUTED_VALUE"""),2707.38)</f>
        <v>2707.38</v>
      </c>
      <c r="E8197" s="1">
        <f>IFERROR(__xludf.DUMMYFUNCTION("""COMPUTED_VALUE"""),2727.76)</f>
        <v>2727.76</v>
      </c>
      <c r="F8197" s="1">
        <f>IFERROR(__xludf.DUMMYFUNCTION("""COMPUTED_VALUE"""),0.0)</f>
        <v>0</v>
      </c>
    </row>
    <row r="8198">
      <c r="A8198" s="2">
        <f>IFERROR(__xludf.DUMMYFUNCTION("""COMPUTED_VALUE"""),43245.66666666667)</f>
        <v>43245.66667</v>
      </c>
      <c r="B8198" s="1">
        <f>IFERROR(__xludf.DUMMYFUNCTION("""COMPUTED_VALUE"""),2723.6)</f>
        <v>2723.6</v>
      </c>
      <c r="C8198" s="1">
        <f>IFERROR(__xludf.DUMMYFUNCTION("""COMPUTED_VALUE"""),2727.36)</f>
        <v>2727.36</v>
      </c>
      <c r="D8198" s="1">
        <f>IFERROR(__xludf.DUMMYFUNCTION("""COMPUTED_VALUE"""),2714.99)</f>
        <v>2714.99</v>
      </c>
      <c r="E8198" s="1">
        <f>IFERROR(__xludf.DUMMYFUNCTION("""COMPUTED_VALUE"""),2721.33)</f>
        <v>2721.33</v>
      </c>
      <c r="F8198" s="1">
        <f>IFERROR(__xludf.DUMMYFUNCTION("""COMPUTED_VALUE"""),0.0)</f>
        <v>0</v>
      </c>
    </row>
    <row r="8199">
      <c r="A8199" s="2">
        <f>IFERROR(__xludf.DUMMYFUNCTION("""COMPUTED_VALUE"""),43249.66666666667)</f>
        <v>43249.66667</v>
      </c>
      <c r="B8199" s="1">
        <f>IFERROR(__xludf.DUMMYFUNCTION("""COMPUTED_VALUE"""),2705.11)</f>
        <v>2705.11</v>
      </c>
      <c r="C8199" s="1">
        <f>IFERROR(__xludf.DUMMYFUNCTION("""COMPUTED_VALUE"""),2710.67)</f>
        <v>2710.67</v>
      </c>
      <c r="D8199" s="1">
        <f>IFERROR(__xludf.DUMMYFUNCTION("""COMPUTED_VALUE"""),2676.81)</f>
        <v>2676.81</v>
      </c>
      <c r="E8199" s="1">
        <f>IFERROR(__xludf.DUMMYFUNCTION("""COMPUTED_VALUE"""),2689.86)</f>
        <v>2689.86</v>
      </c>
      <c r="F8199" s="1">
        <f>IFERROR(__xludf.DUMMYFUNCTION("""COMPUTED_VALUE"""),0.0)</f>
        <v>0</v>
      </c>
    </row>
    <row r="8200">
      <c r="A8200" s="2">
        <f>IFERROR(__xludf.DUMMYFUNCTION("""COMPUTED_VALUE"""),43250.66666666667)</f>
        <v>43250.66667</v>
      </c>
      <c r="B8200" s="1">
        <f>IFERROR(__xludf.DUMMYFUNCTION("""COMPUTED_VALUE"""),2702.43)</f>
        <v>2702.43</v>
      </c>
      <c r="C8200" s="1">
        <f>IFERROR(__xludf.DUMMYFUNCTION("""COMPUTED_VALUE"""),2729.34)</f>
        <v>2729.34</v>
      </c>
      <c r="D8200" s="1">
        <f>IFERROR(__xludf.DUMMYFUNCTION("""COMPUTED_VALUE"""),2702.43)</f>
        <v>2702.43</v>
      </c>
      <c r="E8200" s="1">
        <f>IFERROR(__xludf.DUMMYFUNCTION("""COMPUTED_VALUE"""),2724.01)</f>
        <v>2724.01</v>
      </c>
      <c r="F8200" s="1">
        <f>IFERROR(__xludf.DUMMYFUNCTION("""COMPUTED_VALUE"""),0.0)</f>
        <v>0</v>
      </c>
    </row>
    <row r="8201">
      <c r="A8201" s="2">
        <f>IFERROR(__xludf.DUMMYFUNCTION("""COMPUTED_VALUE"""),43251.66666666667)</f>
        <v>43251.66667</v>
      </c>
      <c r="B8201" s="1">
        <f>IFERROR(__xludf.DUMMYFUNCTION("""COMPUTED_VALUE"""),2720.98)</f>
        <v>2720.98</v>
      </c>
      <c r="C8201" s="1">
        <f>IFERROR(__xludf.DUMMYFUNCTION("""COMPUTED_VALUE"""),2722.5)</f>
        <v>2722.5</v>
      </c>
      <c r="D8201" s="1">
        <f>IFERROR(__xludf.DUMMYFUNCTION("""COMPUTED_VALUE"""),2700.68)</f>
        <v>2700.68</v>
      </c>
      <c r="E8201" s="1">
        <f>IFERROR(__xludf.DUMMYFUNCTION("""COMPUTED_VALUE"""),2705.27)</f>
        <v>2705.27</v>
      </c>
      <c r="F8201" s="1">
        <f>IFERROR(__xludf.DUMMYFUNCTION("""COMPUTED_VALUE"""),0.0)</f>
        <v>0</v>
      </c>
    </row>
    <row r="8202">
      <c r="A8202" s="2">
        <f>IFERROR(__xludf.DUMMYFUNCTION("""COMPUTED_VALUE"""),43252.66666666667)</f>
        <v>43252.66667</v>
      </c>
      <c r="B8202" s="1">
        <f>IFERROR(__xludf.DUMMYFUNCTION("""COMPUTED_VALUE"""),2718.7)</f>
        <v>2718.7</v>
      </c>
      <c r="C8202" s="1">
        <f>IFERROR(__xludf.DUMMYFUNCTION("""COMPUTED_VALUE"""),2736.93)</f>
        <v>2736.93</v>
      </c>
      <c r="D8202" s="1">
        <f>IFERROR(__xludf.DUMMYFUNCTION("""COMPUTED_VALUE"""),2718.7)</f>
        <v>2718.7</v>
      </c>
      <c r="E8202" s="1">
        <f>IFERROR(__xludf.DUMMYFUNCTION("""COMPUTED_VALUE"""),2734.62)</f>
        <v>2734.62</v>
      </c>
      <c r="F8202" s="1">
        <f>IFERROR(__xludf.DUMMYFUNCTION("""COMPUTED_VALUE"""),0.0)</f>
        <v>0</v>
      </c>
    </row>
    <row r="8203">
      <c r="A8203" s="2">
        <f>IFERROR(__xludf.DUMMYFUNCTION("""COMPUTED_VALUE"""),43255.66666666667)</f>
        <v>43255.66667</v>
      </c>
      <c r="B8203" s="1">
        <f>IFERROR(__xludf.DUMMYFUNCTION("""COMPUTED_VALUE"""),2741.67)</f>
        <v>2741.67</v>
      </c>
      <c r="C8203" s="1">
        <f>IFERROR(__xludf.DUMMYFUNCTION("""COMPUTED_VALUE"""),2749.16)</f>
        <v>2749.16</v>
      </c>
      <c r="D8203" s="1">
        <f>IFERROR(__xludf.DUMMYFUNCTION("""COMPUTED_VALUE"""),2740.54)</f>
        <v>2740.54</v>
      </c>
      <c r="E8203" s="1">
        <f>IFERROR(__xludf.DUMMYFUNCTION("""COMPUTED_VALUE"""),2746.87)</f>
        <v>2746.87</v>
      </c>
      <c r="F8203" s="1">
        <f>IFERROR(__xludf.DUMMYFUNCTION("""COMPUTED_VALUE"""),0.0)</f>
        <v>0</v>
      </c>
    </row>
    <row r="8204">
      <c r="A8204" s="2">
        <f>IFERROR(__xludf.DUMMYFUNCTION("""COMPUTED_VALUE"""),43256.66666666667)</f>
        <v>43256.66667</v>
      </c>
      <c r="B8204" s="1">
        <f>IFERROR(__xludf.DUMMYFUNCTION("""COMPUTED_VALUE"""),2748.46)</f>
        <v>2748.46</v>
      </c>
      <c r="C8204" s="1">
        <f>IFERROR(__xludf.DUMMYFUNCTION("""COMPUTED_VALUE"""),2752.61)</f>
        <v>2752.61</v>
      </c>
      <c r="D8204" s="1">
        <f>IFERROR(__xludf.DUMMYFUNCTION("""COMPUTED_VALUE"""),2739.51)</f>
        <v>2739.51</v>
      </c>
      <c r="E8204" s="1">
        <f>IFERROR(__xludf.DUMMYFUNCTION("""COMPUTED_VALUE"""),2748.8)</f>
        <v>2748.8</v>
      </c>
      <c r="F8204" s="1">
        <f>IFERROR(__xludf.DUMMYFUNCTION("""COMPUTED_VALUE"""),0.0)</f>
        <v>0</v>
      </c>
    </row>
    <row r="8205">
      <c r="A8205" s="2">
        <f>IFERROR(__xludf.DUMMYFUNCTION("""COMPUTED_VALUE"""),43257.66666666667)</f>
        <v>43257.66667</v>
      </c>
      <c r="B8205" s="1">
        <f>IFERROR(__xludf.DUMMYFUNCTION("""COMPUTED_VALUE"""),2753.25)</f>
        <v>2753.25</v>
      </c>
      <c r="C8205" s="1">
        <f>IFERROR(__xludf.DUMMYFUNCTION("""COMPUTED_VALUE"""),2772.39)</f>
        <v>2772.39</v>
      </c>
      <c r="D8205" s="1">
        <f>IFERROR(__xludf.DUMMYFUNCTION("""COMPUTED_VALUE"""),2748.46)</f>
        <v>2748.46</v>
      </c>
      <c r="E8205" s="1">
        <f>IFERROR(__xludf.DUMMYFUNCTION("""COMPUTED_VALUE"""),2772.35)</f>
        <v>2772.35</v>
      </c>
      <c r="F8205" s="1">
        <f>IFERROR(__xludf.DUMMYFUNCTION("""COMPUTED_VALUE"""),0.0)</f>
        <v>0</v>
      </c>
    </row>
    <row r="8206">
      <c r="A8206" s="2">
        <f>IFERROR(__xludf.DUMMYFUNCTION("""COMPUTED_VALUE"""),43258.66666666667)</f>
        <v>43258.66667</v>
      </c>
      <c r="B8206" s="1">
        <f>IFERROR(__xludf.DUMMYFUNCTION("""COMPUTED_VALUE"""),2774.84)</f>
        <v>2774.84</v>
      </c>
      <c r="C8206" s="1">
        <f>IFERROR(__xludf.DUMMYFUNCTION("""COMPUTED_VALUE"""),2779.9)</f>
        <v>2779.9</v>
      </c>
      <c r="D8206" s="1">
        <f>IFERROR(__xludf.DUMMYFUNCTION("""COMPUTED_VALUE"""),2760.16)</f>
        <v>2760.16</v>
      </c>
      <c r="E8206" s="1">
        <f>IFERROR(__xludf.DUMMYFUNCTION("""COMPUTED_VALUE"""),2770.37)</f>
        <v>2770.37</v>
      </c>
      <c r="F8206" s="1">
        <f>IFERROR(__xludf.DUMMYFUNCTION("""COMPUTED_VALUE"""),0.0)</f>
        <v>0</v>
      </c>
    </row>
    <row r="8207">
      <c r="A8207" s="2">
        <f>IFERROR(__xludf.DUMMYFUNCTION("""COMPUTED_VALUE"""),43259.66666666667)</f>
        <v>43259.66667</v>
      </c>
      <c r="B8207" s="1">
        <f>IFERROR(__xludf.DUMMYFUNCTION("""COMPUTED_VALUE"""),2765.84)</f>
        <v>2765.84</v>
      </c>
      <c r="C8207" s="1">
        <f>IFERROR(__xludf.DUMMYFUNCTION("""COMPUTED_VALUE"""),2779.39)</f>
        <v>2779.39</v>
      </c>
      <c r="D8207" s="1">
        <f>IFERROR(__xludf.DUMMYFUNCTION("""COMPUTED_VALUE"""),2763.59)</f>
        <v>2763.59</v>
      </c>
      <c r="E8207" s="1">
        <f>IFERROR(__xludf.DUMMYFUNCTION("""COMPUTED_VALUE"""),2779.03)</f>
        <v>2779.03</v>
      </c>
      <c r="F8207" s="1">
        <f>IFERROR(__xludf.DUMMYFUNCTION("""COMPUTED_VALUE"""),0.0)</f>
        <v>0</v>
      </c>
    </row>
    <row r="8208">
      <c r="A8208" s="2">
        <f>IFERROR(__xludf.DUMMYFUNCTION("""COMPUTED_VALUE"""),43262.66666666667)</f>
        <v>43262.66667</v>
      </c>
      <c r="B8208" s="1">
        <f>IFERROR(__xludf.DUMMYFUNCTION("""COMPUTED_VALUE"""),2780.18)</f>
        <v>2780.18</v>
      </c>
      <c r="C8208" s="1">
        <f>IFERROR(__xludf.DUMMYFUNCTION("""COMPUTED_VALUE"""),2790.21)</f>
        <v>2790.21</v>
      </c>
      <c r="D8208" s="1">
        <f>IFERROR(__xludf.DUMMYFUNCTION("""COMPUTED_VALUE"""),2780.17)</f>
        <v>2780.17</v>
      </c>
      <c r="E8208" s="1">
        <f>IFERROR(__xludf.DUMMYFUNCTION("""COMPUTED_VALUE"""),2782.0)</f>
        <v>2782</v>
      </c>
      <c r="F8208" s="1">
        <f>IFERROR(__xludf.DUMMYFUNCTION("""COMPUTED_VALUE"""),0.0)</f>
        <v>0</v>
      </c>
    </row>
    <row r="8209">
      <c r="A8209" s="2">
        <f>IFERROR(__xludf.DUMMYFUNCTION("""COMPUTED_VALUE"""),43263.66666666667)</f>
        <v>43263.66667</v>
      </c>
      <c r="B8209" s="1">
        <f>IFERROR(__xludf.DUMMYFUNCTION("""COMPUTED_VALUE"""),2785.6)</f>
        <v>2785.6</v>
      </c>
      <c r="C8209" s="1">
        <f>IFERROR(__xludf.DUMMYFUNCTION("""COMPUTED_VALUE"""),2789.8)</f>
        <v>2789.8</v>
      </c>
      <c r="D8209" s="1">
        <f>IFERROR(__xludf.DUMMYFUNCTION("""COMPUTED_VALUE"""),2778.78)</f>
        <v>2778.78</v>
      </c>
      <c r="E8209" s="1">
        <f>IFERROR(__xludf.DUMMYFUNCTION("""COMPUTED_VALUE"""),2786.85)</f>
        <v>2786.85</v>
      </c>
      <c r="F8209" s="1">
        <f>IFERROR(__xludf.DUMMYFUNCTION("""COMPUTED_VALUE"""),0.0)</f>
        <v>0</v>
      </c>
    </row>
    <row r="8210">
      <c r="A8210" s="2">
        <f>IFERROR(__xludf.DUMMYFUNCTION("""COMPUTED_VALUE"""),43264.66666666667)</f>
        <v>43264.66667</v>
      </c>
      <c r="B8210" s="1">
        <f>IFERROR(__xludf.DUMMYFUNCTION("""COMPUTED_VALUE"""),2787.94)</f>
        <v>2787.94</v>
      </c>
      <c r="C8210" s="1">
        <f>IFERROR(__xludf.DUMMYFUNCTION("""COMPUTED_VALUE"""),2791.47)</f>
        <v>2791.47</v>
      </c>
      <c r="D8210" s="1">
        <f>IFERROR(__xludf.DUMMYFUNCTION("""COMPUTED_VALUE"""),2774.65)</f>
        <v>2774.65</v>
      </c>
      <c r="E8210" s="1">
        <f>IFERROR(__xludf.DUMMYFUNCTION("""COMPUTED_VALUE"""),2775.63)</f>
        <v>2775.63</v>
      </c>
      <c r="F8210" s="1">
        <f>IFERROR(__xludf.DUMMYFUNCTION("""COMPUTED_VALUE"""),0.0)</f>
        <v>0</v>
      </c>
    </row>
    <row r="8211">
      <c r="A8211" s="2">
        <f>IFERROR(__xludf.DUMMYFUNCTION("""COMPUTED_VALUE"""),43265.66666666667)</f>
        <v>43265.66667</v>
      </c>
      <c r="B8211" s="1">
        <f>IFERROR(__xludf.DUMMYFUNCTION("""COMPUTED_VALUE"""),2783.21)</f>
        <v>2783.21</v>
      </c>
      <c r="C8211" s="1">
        <f>IFERROR(__xludf.DUMMYFUNCTION("""COMPUTED_VALUE"""),2789.06)</f>
        <v>2789.06</v>
      </c>
      <c r="D8211" s="1">
        <f>IFERROR(__xludf.DUMMYFUNCTION("""COMPUTED_VALUE"""),2776.52)</f>
        <v>2776.52</v>
      </c>
      <c r="E8211" s="1">
        <f>IFERROR(__xludf.DUMMYFUNCTION("""COMPUTED_VALUE"""),2782.49)</f>
        <v>2782.49</v>
      </c>
      <c r="F8211" s="1">
        <f>IFERROR(__xludf.DUMMYFUNCTION("""COMPUTED_VALUE"""),0.0)</f>
        <v>0</v>
      </c>
    </row>
    <row r="8212">
      <c r="A8212" s="2">
        <f>IFERROR(__xludf.DUMMYFUNCTION("""COMPUTED_VALUE"""),43266.66666666667)</f>
        <v>43266.66667</v>
      </c>
      <c r="B8212" s="1">
        <f>IFERROR(__xludf.DUMMYFUNCTION("""COMPUTED_VALUE"""),2777.78)</f>
        <v>2777.78</v>
      </c>
      <c r="C8212" s="1">
        <f>IFERROR(__xludf.DUMMYFUNCTION("""COMPUTED_VALUE"""),2782.81)</f>
        <v>2782.81</v>
      </c>
      <c r="D8212" s="1">
        <f>IFERROR(__xludf.DUMMYFUNCTION("""COMPUTED_VALUE"""),2761.73)</f>
        <v>2761.73</v>
      </c>
      <c r="E8212" s="1">
        <f>IFERROR(__xludf.DUMMYFUNCTION("""COMPUTED_VALUE"""),2779.66)</f>
        <v>2779.66</v>
      </c>
      <c r="F8212" s="1">
        <f>IFERROR(__xludf.DUMMYFUNCTION("""COMPUTED_VALUE"""),0.0)</f>
        <v>0</v>
      </c>
    </row>
    <row r="8213">
      <c r="A8213" s="2">
        <f>IFERROR(__xludf.DUMMYFUNCTION("""COMPUTED_VALUE"""),43269.66666666667)</f>
        <v>43269.66667</v>
      </c>
      <c r="B8213" s="1">
        <f>IFERROR(__xludf.DUMMYFUNCTION("""COMPUTED_VALUE"""),2765.79)</f>
        <v>2765.79</v>
      </c>
      <c r="C8213" s="1">
        <f>IFERROR(__xludf.DUMMYFUNCTION("""COMPUTED_VALUE"""),2774.99)</f>
        <v>2774.99</v>
      </c>
      <c r="D8213" s="1">
        <f>IFERROR(__xludf.DUMMYFUNCTION("""COMPUTED_VALUE"""),2757.12)</f>
        <v>2757.12</v>
      </c>
      <c r="E8213" s="1">
        <f>IFERROR(__xludf.DUMMYFUNCTION("""COMPUTED_VALUE"""),2773.75)</f>
        <v>2773.75</v>
      </c>
      <c r="F8213" s="1">
        <f>IFERROR(__xludf.DUMMYFUNCTION("""COMPUTED_VALUE"""),0.0)</f>
        <v>0</v>
      </c>
    </row>
    <row r="8214">
      <c r="A8214" s="2">
        <f>IFERROR(__xludf.DUMMYFUNCTION("""COMPUTED_VALUE"""),43270.66666666667)</f>
        <v>43270.66667</v>
      </c>
      <c r="B8214" s="1">
        <f>IFERROR(__xludf.DUMMYFUNCTION("""COMPUTED_VALUE"""),2752.01)</f>
        <v>2752.01</v>
      </c>
      <c r="C8214" s="1">
        <f>IFERROR(__xludf.DUMMYFUNCTION("""COMPUTED_VALUE"""),2765.05)</f>
        <v>2765.05</v>
      </c>
      <c r="D8214" s="1">
        <f>IFERROR(__xludf.DUMMYFUNCTION("""COMPUTED_VALUE"""),2743.19)</f>
        <v>2743.19</v>
      </c>
      <c r="E8214" s="1">
        <f>IFERROR(__xludf.DUMMYFUNCTION("""COMPUTED_VALUE"""),2762.59)</f>
        <v>2762.59</v>
      </c>
      <c r="F8214" s="1">
        <f>IFERROR(__xludf.DUMMYFUNCTION("""COMPUTED_VALUE"""),0.0)</f>
        <v>0</v>
      </c>
    </row>
    <row r="8215">
      <c r="A8215" s="2">
        <f>IFERROR(__xludf.DUMMYFUNCTION("""COMPUTED_VALUE"""),43271.66666666667)</f>
        <v>43271.66667</v>
      </c>
      <c r="B8215" s="1">
        <f>IFERROR(__xludf.DUMMYFUNCTION("""COMPUTED_VALUE"""),2769.73)</f>
        <v>2769.73</v>
      </c>
      <c r="C8215" s="1">
        <f>IFERROR(__xludf.DUMMYFUNCTION("""COMPUTED_VALUE"""),2774.86)</f>
        <v>2774.86</v>
      </c>
      <c r="D8215" s="1">
        <f>IFERROR(__xludf.DUMMYFUNCTION("""COMPUTED_VALUE"""),2763.91)</f>
        <v>2763.91</v>
      </c>
      <c r="E8215" s="1">
        <f>IFERROR(__xludf.DUMMYFUNCTION("""COMPUTED_VALUE"""),2767.32)</f>
        <v>2767.32</v>
      </c>
      <c r="F8215" s="1">
        <f>IFERROR(__xludf.DUMMYFUNCTION("""COMPUTED_VALUE"""),0.0)</f>
        <v>0</v>
      </c>
    </row>
    <row r="8216">
      <c r="A8216" s="2">
        <f>IFERROR(__xludf.DUMMYFUNCTION("""COMPUTED_VALUE"""),43272.66666666667)</f>
        <v>43272.66667</v>
      </c>
      <c r="B8216" s="1">
        <f>IFERROR(__xludf.DUMMYFUNCTION("""COMPUTED_VALUE"""),2769.28)</f>
        <v>2769.28</v>
      </c>
      <c r="C8216" s="1">
        <f>IFERROR(__xludf.DUMMYFUNCTION("""COMPUTED_VALUE"""),2769.28)</f>
        <v>2769.28</v>
      </c>
      <c r="D8216" s="1">
        <f>IFERROR(__xludf.DUMMYFUNCTION("""COMPUTED_VALUE"""),2744.39)</f>
        <v>2744.39</v>
      </c>
      <c r="E8216" s="1">
        <f>IFERROR(__xludf.DUMMYFUNCTION("""COMPUTED_VALUE"""),2749.76)</f>
        <v>2749.76</v>
      </c>
      <c r="F8216" s="1">
        <f>IFERROR(__xludf.DUMMYFUNCTION("""COMPUTED_VALUE"""),0.0)</f>
        <v>0</v>
      </c>
    </row>
    <row r="8217">
      <c r="A8217" s="2">
        <f>IFERROR(__xludf.DUMMYFUNCTION("""COMPUTED_VALUE"""),43273.66666666667)</f>
        <v>43273.66667</v>
      </c>
      <c r="B8217" s="1">
        <f>IFERROR(__xludf.DUMMYFUNCTION("""COMPUTED_VALUE"""),2760.79)</f>
        <v>2760.79</v>
      </c>
      <c r="C8217" s="1">
        <f>IFERROR(__xludf.DUMMYFUNCTION("""COMPUTED_VALUE"""),2764.17)</f>
        <v>2764.17</v>
      </c>
      <c r="D8217" s="1">
        <f>IFERROR(__xludf.DUMMYFUNCTION("""COMPUTED_VALUE"""),2752.68)</f>
        <v>2752.68</v>
      </c>
      <c r="E8217" s="1">
        <f>IFERROR(__xludf.DUMMYFUNCTION("""COMPUTED_VALUE"""),2754.88)</f>
        <v>2754.88</v>
      </c>
      <c r="F8217" s="1">
        <f>IFERROR(__xludf.DUMMYFUNCTION("""COMPUTED_VALUE"""),0.0)</f>
        <v>0</v>
      </c>
    </row>
    <row r="8218">
      <c r="A8218" s="2">
        <f>IFERROR(__xludf.DUMMYFUNCTION("""COMPUTED_VALUE"""),43276.66666666667)</f>
        <v>43276.66667</v>
      </c>
      <c r="B8218" s="1">
        <f>IFERROR(__xludf.DUMMYFUNCTION("""COMPUTED_VALUE"""),2742.94)</f>
        <v>2742.94</v>
      </c>
      <c r="C8218" s="1">
        <f>IFERROR(__xludf.DUMMYFUNCTION("""COMPUTED_VALUE"""),2742.94)</f>
        <v>2742.94</v>
      </c>
      <c r="D8218" s="1">
        <f>IFERROR(__xludf.DUMMYFUNCTION("""COMPUTED_VALUE"""),2698.67)</f>
        <v>2698.67</v>
      </c>
      <c r="E8218" s="1">
        <f>IFERROR(__xludf.DUMMYFUNCTION("""COMPUTED_VALUE"""),2717.07)</f>
        <v>2717.07</v>
      </c>
      <c r="F8218" s="1">
        <f>IFERROR(__xludf.DUMMYFUNCTION("""COMPUTED_VALUE"""),0.0)</f>
        <v>0</v>
      </c>
    </row>
    <row r="8219">
      <c r="A8219" s="2">
        <f>IFERROR(__xludf.DUMMYFUNCTION("""COMPUTED_VALUE"""),43277.66666666667)</f>
        <v>43277.66667</v>
      </c>
      <c r="B8219" s="1">
        <f>IFERROR(__xludf.DUMMYFUNCTION("""COMPUTED_VALUE"""),2722.12)</f>
        <v>2722.12</v>
      </c>
      <c r="C8219" s="1">
        <f>IFERROR(__xludf.DUMMYFUNCTION("""COMPUTED_VALUE"""),2732.91)</f>
        <v>2732.91</v>
      </c>
      <c r="D8219" s="1">
        <f>IFERROR(__xludf.DUMMYFUNCTION("""COMPUTED_VALUE"""),2715.6)</f>
        <v>2715.6</v>
      </c>
      <c r="E8219" s="1">
        <f>IFERROR(__xludf.DUMMYFUNCTION("""COMPUTED_VALUE"""),2723.06)</f>
        <v>2723.06</v>
      </c>
      <c r="F8219" s="1">
        <f>IFERROR(__xludf.DUMMYFUNCTION("""COMPUTED_VALUE"""),0.0)</f>
        <v>0</v>
      </c>
    </row>
    <row r="8220">
      <c r="A8220" s="2">
        <f>IFERROR(__xludf.DUMMYFUNCTION("""COMPUTED_VALUE"""),43278.66666666667)</f>
        <v>43278.66667</v>
      </c>
      <c r="B8220" s="1">
        <f>IFERROR(__xludf.DUMMYFUNCTION("""COMPUTED_VALUE"""),2728.45)</f>
        <v>2728.45</v>
      </c>
      <c r="C8220" s="1">
        <f>IFERROR(__xludf.DUMMYFUNCTION("""COMPUTED_VALUE"""),2746.09)</f>
        <v>2746.09</v>
      </c>
      <c r="D8220" s="1">
        <f>IFERROR(__xludf.DUMMYFUNCTION("""COMPUTED_VALUE"""),2699.38)</f>
        <v>2699.38</v>
      </c>
      <c r="E8220" s="1">
        <f>IFERROR(__xludf.DUMMYFUNCTION("""COMPUTED_VALUE"""),2699.63)</f>
        <v>2699.63</v>
      </c>
      <c r="F8220" s="1">
        <f>IFERROR(__xludf.DUMMYFUNCTION("""COMPUTED_VALUE"""),0.0)</f>
        <v>0</v>
      </c>
    </row>
    <row r="8221">
      <c r="A8221" s="2">
        <f>IFERROR(__xludf.DUMMYFUNCTION("""COMPUTED_VALUE"""),43279.66666666667)</f>
        <v>43279.66667</v>
      </c>
      <c r="B8221" s="1">
        <f>IFERROR(__xludf.DUMMYFUNCTION("""COMPUTED_VALUE"""),2698.69)</f>
        <v>2698.69</v>
      </c>
      <c r="C8221" s="1">
        <f>IFERROR(__xludf.DUMMYFUNCTION("""COMPUTED_VALUE"""),2724.34)</f>
        <v>2724.34</v>
      </c>
      <c r="D8221" s="1">
        <f>IFERROR(__xludf.DUMMYFUNCTION("""COMPUTED_VALUE"""),2691.99)</f>
        <v>2691.99</v>
      </c>
      <c r="E8221" s="1">
        <f>IFERROR(__xludf.DUMMYFUNCTION("""COMPUTED_VALUE"""),2716.31)</f>
        <v>2716.31</v>
      </c>
      <c r="F8221" s="1">
        <f>IFERROR(__xludf.DUMMYFUNCTION("""COMPUTED_VALUE"""),0.0)</f>
        <v>0</v>
      </c>
    </row>
    <row r="8222">
      <c r="A8222" s="2">
        <f>IFERROR(__xludf.DUMMYFUNCTION("""COMPUTED_VALUE"""),43280.66666666667)</f>
        <v>43280.66667</v>
      </c>
      <c r="B8222" s="1">
        <f>IFERROR(__xludf.DUMMYFUNCTION("""COMPUTED_VALUE"""),2727.13)</f>
        <v>2727.13</v>
      </c>
      <c r="C8222" s="1">
        <f>IFERROR(__xludf.DUMMYFUNCTION("""COMPUTED_VALUE"""),2743.26)</f>
        <v>2743.26</v>
      </c>
      <c r="D8222" s="1">
        <f>IFERROR(__xludf.DUMMYFUNCTION("""COMPUTED_VALUE"""),2718.03)</f>
        <v>2718.03</v>
      </c>
      <c r="E8222" s="1">
        <f>IFERROR(__xludf.DUMMYFUNCTION("""COMPUTED_VALUE"""),2718.37)</f>
        <v>2718.37</v>
      </c>
      <c r="F8222" s="1">
        <f>IFERROR(__xludf.DUMMYFUNCTION("""COMPUTED_VALUE"""),0.0)</f>
        <v>0</v>
      </c>
    </row>
    <row r="8223">
      <c r="A8223" s="2">
        <f>IFERROR(__xludf.DUMMYFUNCTION("""COMPUTED_VALUE"""),43283.66666666667)</f>
        <v>43283.66667</v>
      </c>
      <c r="B8223" s="1">
        <f>IFERROR(__xludf.DUMMYFUNCTION("""COMPUTED_VALUE"""),2704.95)</f>
        <v>2704.95</v>
      </c>
      <c r="C8223" s="1">
        <f>IFERROR(__xludf.DUMMYFUNCTION("""COMPUTED_VALUE"""),2727.26)</f>
        <v>2727.26</v>
      </c>
      <c r="D8223" s="1">
        <f>IFERROR(__xludf.DUMMYFUNCTION("""COMPUTED_VALUE"""),2698.95)</f>
        <v>2698.95</v>
      </c>
      <c r="E8223" s="1">
        <f>IFERROR(__xludf.DUMMYFUNCTION("""COMPUTED_VALUE"""),2726.71)</f>
        <v>2726.71</v>
      </c>
      <c r="F8223" s="1">
        <f>IFERROR(__xludf.DUMMYFUNCTION("""COMPUTED_VALUE"""),0.0)</f>
        <v>0</v>
      </c>
    </row>
    <row r="8224">
      <c r="A8224" s="2">
        <f>IFERROR(__xludf.DUMMYFUNCTION("""COMPUTED_VALUE"""),43284.54166666667)</f>
        <v>43284.54167</v>
      </c>
      <c r="B8224" s="1">
        <f>IFERROR(__xludf.DUMMYFUNCTION("""COMPUTED_VALUE"""),2733.27)</f>
        <v>2733.27</v>
      </c>
      <c r="C8224" s="1">
        <f>IFERROR(__xludf.DUMMYFUNCTION("""COMPUTED_VALUE"""),2736.58)</f>
        <v>2736.58</v>
      </c>
      <c r="D8224" s="1">
        <f>IFERROR(__xludf.DUMMYFUNCTION("""COMPUTED_VALUE"""),2711.16)</f>
        <v>2711.16</v>
      </c>
      <c r="E8224" s="1">
        <f>IFERROR(__xludf.DUMMYFUNCTION("""COMPUTED_VALUE"""),2713.22)</f>
        <v>2713.22</v>
      </c>
      <c r="F8224" s="1">
        <f>IFERROR(__xludf.DUMMYFUNCTION("""COMPUTED_VALUE"""),0.0)</f>
        <v>0</v>
      </c>
    </row>
    <row r="8225">
      <c r="A8225" s="2">
        <f>IFERROR(__xludf.DUMMYFUNCTION("""COMPUTED_VALUE"""),43286.66666666667)</f>
        <v>43286.66667</v>
      </c>
      <c r="B8225" s="1">
        <f>IFERROR(__xludf.DUMMYFUNCTION("""COMPUTED_VALUE"""),2724.19)</f>
        <v>2724.19</v>
      </c>
      <c r="C8225" s="1">
        <f>IFERROR(__xludf.DUMMYFUNCTION("""COMPUTED_VALUE"""),2737.83)</f>
        <v>2737.83</v>
      </c>
      <c r="D8225" s="1">
        <f>IFERROR(__xludf.DUMMYFUNCTION("""COMPUTED_VALUE"""),2716.02)</f>
        <v>2716.02</v>
      </c>
      <c r="E8225" s="1">
        <f>IFERROR(__xludf.DUMMYFUNCTION("""COMPUTED_VALUE"""),2736.61)</f>
        <v>2736.61</v>
      </c>
      <c r="F8225" s="1">
        <f>IFERROR(__xludf.DUMMYFUNCTION("""COMPUTED_VALUE"""),0.0)</f>
        <v>0</v>
      </c>
    </row>
    <row r="8226">
      <c r="A8226" s="2">
        <f>IFERROR(__xludf.DUMMYFUNCTION("""COMPUTED_VALUE"""),43287.66666666667)</f>
        <v>43287.66667</v>
      </c>
      <c r="B8226" s="1">
        <f>IFERROR(__xludf.DUMMYFUNCTION("""COMPUTED_VALUE"""),2737.68)</f>
        <v>2737.68</v>
      </c>
      <c r="C8226" s="1">
        <f>IFERROR(__xludf.DUMMYFUNCTION("""COMPUTED_VALUE"""),2764.41)</f>
        <v>2764.41</v>
      </c>
      <c r="D8226" s="1">
        <f>IFERROR(__xludf.DUMMYFUNCTION("""COMPUTED_VALUE"""),2733.52)</f>
        <v>2733.52</v>
      </c>
      <c r="E8226" s="1">
        <f>IFERROR(__xludf.DUMMYFUNCTION("""COMPUTED_VALUE"""),2759.82)</f>
        <v>2759.82</v>
      </c>
      <c r="F8226" s="1">
        <f>IFERROR(__xludf.DUMMYFUNCTION("""COMPUTED_VALUE"""),0.0)</f>
        <v>0</v>
      </c>
    </row>
    <row r="8227">
      <c r="A8227" s="2">
        <f>IFERROR(__xludf.DUMMYFUNCTION("""COMPUTED_VALUE"""),43290.66666666667)</f>
        <v>43290.66667</v>
      </c>
      <c r="B8227" s="1">
        <f>IFERROR(__xludf.DUMMYFUNCTION("""COMPUTED_VALUE"""),2768.51)</f>
        <v>2768.51</v>
      </c>
      <c r="C8227" s="1">
        <f>IFERROR(__xludf.DUMMYFUNCTION("""COMPUTED_VALUE"""),2784.65)</f>
        <v>2784.65</v>
      </c>
      <c r="D8227" s="1">
        <f>IFERROR(__xludf.DUMMYFUNCTION("""COMPUTED_VALUE"""),2768.51)</f>
        <v>2768.51</v>
      </c>
      <c r="E8227" s="1">
        <f>IFERROR(__xludf.DUMMYFUNCTION("""COMPUTED_VALUE"""),2784.17)</f>
        <v>2784.17</v>
      </c>
      <c r="F8227" s="1">
        <f>IFERROR(__xludf.DUMMYFUNCTION("""COMPUTED_VALUE"""),0.0)</f>
        <v>0</v>
      </c>
    </row>
    <row r="8228">
      <c r="A8228" s="2">
        <f>IFERROR(__xludf.DUMMYFUNCTION("""COMPUTED_VALUE"""),43291.66666666667)</f>
        <v>43291.66667</v>
      </c>
      <c r="B8228" s="1">
        <f>IFERROR(__xludf.DUMMYFUNCTION("""COMPUTED_VALUE"""),2788.56)</f>
        <v>2788.56</v>
      </c>
      <c r="C8228" s="1">
        <f>IFERROR(__xludf.DUMMYFUNCTION("""COMPUTED_VALUE"""),2795.58)</f>
        <v>2795.58</v>
      </c>
      <c r="D8228" s="1">
        <f>IFERROR(__xludf.DUMMYFUNCTION("""COMPUTED_VALUE"""),2786.24)</f>
        <v>2786.24</v>
      </c>
      <c r="E8228" s="1">
        <f>IFERROR(__xludf.DUMMYFUNCTION("""COMPUTED_VALUE"""),2793.84)</f>
        <v>2793.84</v>
      </c>
      <c r="F8228" s="1">
        <f>IFERROR(__xludf.DUMMYFUNCTION("""COMPUTED_VALUE"""),0.0)</f>
        <v>0</v>
      </c>
    </row>
    <row r="8229">
      <c r="A8229" s="2">
        <f>IFERROR(__xludf.DUMMYFUNCTION("""COMPUTED_VALUE"""),43292.66666666667)</f>
        <v>43292.66667</v>
      </c>
      <c r="B8229" s="1">
        <f>IFERROR(__xludf.DUMMYFUNCTION("""COMPUTED_VALUE"""),2779.82)</f>
        <v>2779.82</v>
      </c>
      <c r="C8229" s="1">
        <f>IFERROR(__xludf.DUMMYFUNCTION("""COMPUTED_VALUE"""),2785.91)</f>
        <v>2785.91</v>
      </c>
      <c r="D8229" s="1">
        <f>IFERROR(__xludf.DUMMYFUNCTION("""COMPUTED_VALUE"""),2770.77)</f>
        <v>2770.77</v>
      </c>
      <c r="E8229" s="1">
        <f>IFERROR(__xludf.DUMMYFUNCTION("""COMPUTED_VALUE"""),2774.02)</f>
        <v>2774.02</v>
      </c>
      <c r="F8229" s="1">
        <f>IFERROR(__xludf.DUMMYFUNCTION("""COMPUTED_VALUE"""),0.0)</f>
        <v>0</v>
      </c>
    </row>
    <row r="8230">
      <c r="A8230" s="2">
        <f>IFERROR(__xludf.DUMMYFUNCTION("""COMPUTED_VALUE"""),43293.66666666667)</f>
        <v>43293.66667</v>
      </c>
      <c r="B8230" s="1">
        <f>IFERROR(__xludf.DUMMYFUNCTION("""COMPUTED_VALUE"""),2783.14)</f>
        <v>2783.14</v>
      </c>
      <c r="C8230" s="1">
        <f>IFERROR(__xludf.DUMMYFUNCTION("""COMPUTED_VALUE"""),2799.22)</f>
        <v>2799.22</v>
      </c>
      <c r="D8230" s="1">
        <f>IFERROR(__xludf.DUMMYFUNCTION("""COMPUTED_VALUE"""),2781.53)</f>
        <v>2781.53</v>
      </c>
      <c r="E8230" s="1">
        <f>IFERROR(__xludf.DUMMYFUNCTION("""COMPUTED_VALUE"""),2798.29)</f>
        <v>2798.29</v>
      </c>
      <c r="F8230" s="1">
        <f>IFERROR(__xludf.DUMMYFUNCTION("""COMPUTED_VALUE"""),0.0)</f>
        <v>0</v>
      </c>
    </row>
    <row r="8231">
      <c r="A8231" s="2">
        <f>IFERROR(__xludf.DUMMYFUNCTION("""COMPUTED_VALUE"""),43294.66666666667)</f>
        <v>43294.66667</v>
      </c>
      <c r="B8231" s="1">
        <f>IFERROR(__xludf.DUMMYFUNCTION("""COMPUTED_VALUE"""),2796.93)</f>
        <v>2796.93</v>
      </c>
      <c r="C8231" s="1">
        <f>IFERROR(__xludf.DUMMYFUNCTION("""COMPUTED_VALUE"""),2804.53)</f>
        <v>2804.53</v>
      </c>
      <c r="D8231" s="1">
        <f>IFERROR(__xludf.DUMMYFUNCTION("""COMPUTED_VALUE"""),2791.69)</f>
        <v>2791.69</v>
      </c>
      <c r="E8231" s="1">
        <f>IFERROR(__xludf.DUMMYFUNCTION("""COMPUTED_VALUE"""),2801.31)</f>
        <v>2801.31</v>
      </c>
      <c r="F8231" s="1">
        <f>IFERROR(__xludf.DUMMYFUNCTION("""COMPUTED_VALUE"""),0.0)</f>
        <v>0</v>
      </c>
    </row>
    <row r="8232">
      <c r="A8232" s="2">
        <f>IFERROR(__xludf.DUMMYFUNCTION("""COMPUTED_VALUE"""),43297.66666666667)</f>
        <v>43297.66667</v>
      </c>
      <c r="B8232" s="1">
        <f>IFERROR(__xludf.DUMMYFUNCTION("""COMPUTED_VALUE"""),2801.43)</f>
        <v>2801.43</v>
      </c>
      <c r="C8232" s="1">
        <f>IFERROR(__xludf.DUMMYFUNCTION("""COMPUTED_VALUE"""),2803.71)</f>
        <v>2803.71</v>
      </c>
      <c r="D8232" s="1">
        <f>IFERROR(__xludf.DUMMYFUNCTION("""COMPUTED_VALUE"""),2793.39)</f>
        <v>2793.39</v>
      </c>
      <c r="E8232" s="1">
        <f>IFERROR(__xludf.DUMMYFUNCTION("""COMPUTED_VALUE"""),2798.43)</f>
        <v>2798.43</v>
      </c>
      <c r="F8232" s="1">
        <f>IFERROR(__xludf.DUMMYFUNCTION("""COMPUTED_VALUE"""),0.0)</f>
        <v>0</v>
      </c>
    </row>
    <row r="8233">
      <c r="A8233" s="2">
        <f>IFERROR(__xludf.DUMMYFUNCTION("""COMPUTED_VALUE"""),43298.66666666667)</f>
        <v>43298.66667</v>
      </c>
      <c r="B8233" s="1">
        <f>IFERROR(__xludf.DUMMYFUNCTION("""COMPUTED_VALUE"""),2789.34)</f>
        <v>2789.34</v>
      </c>
      <c r="C8233" s="1">
        <f>IFERROR(__xludf.DUMMYFUNCTION("""COMPUTED_VALUE"""),2814.19)</f>
        <v>2814.19</v>
      </c>
      <c r="D8233" s="1">
        <f>IFERROR(__xludf.DUMMYFUNCTION("""COMPUTED_VALUE"""),2789.24)</f>
        <v>2789.24</v>
      </c>
      <c r="E8233" s="1">
        <f>IFERROR(__xludf.DUMMYFUNCTION("""COMPUTED_VALUE"""),2809.55)</f>
        <v>2809.55</v>
      </c>
      <c r="F8233" s="1">
        <f>IFERROR(__xludf.DUMMYFUNCTION("""COMPUTED_VALUE"""),0.0)</f>
        <v>0</v>
      </c>
    </row>
    <row r="8234">
      <c r="A8234" s="2">
        <f>IFERROR(__xludf.DUMMYFUNCTION("""COMPUTED_VALUE"""),43299.66666666667)</f>
        <v>43299.66667</v>
      </c>
      <c r="B8234" s="1">
        <f>IFERROR(__xludf.DUMMYFUNCTION("""COMPUTED_VALUE"""),2811.35)</f>
        <v>2811.35</v>
      </c>
      <c r="C8234" s="1">
        <f>IFERROR(__xludf.DUMMYFUNCTION("""COMPUTED_VALUE"""),2816.76)</f>
        <v>2816.76</v>
      </c>
      <c r="D8234" s="1">
        <f>IFERROR(__xludf.DUMMYFUNCTION("""COMPUTED_VALUE"""),2805.89)</f>
        <v>2805.89</v>
      </c>
      <c r="E8234" s="1">
        <f>IFERROR(__xludf.DUMMYFUNCTION("""COMPUTED_VALUE"""),2815.62)</f>
        <v>2815.62</v>
      </c>
      <c r="F8234" s="1">
        <f>IFERROR(__xludf.DUMMYFUNCTION("""COMPUTED_VALUE"""),0.0)</f>
        <v>0</v>
      </c>
    </row>
    <row r="8235">
      <c r="A8235" s="2">
        <f>IFERROR(__xludf.DUMMYFUNCTION("""COMPUTED_VALUE"""),43300.66666666667)</f>
        <v>43300.66667</v>
      </c>
      <c r="B8235" s="1">
        <f>IFERROR(__xludf.DUMMYFUNCTION("""COMPUTED_VALUE"""),2809.37)</f>
        <v>2809.37</v>
      </c>
      <c r="C8235" s="1">
        <f>IFERROR(__xludf.DUMMYFUNCTION("""COMPUTED_VALUE"""),2812.05)</f>
        <v>2812.05</v>
      </c>
      <c r="D8235" s="1">
        <f>IFERROR(__xludf.DUMMYFUNCTION("""COMPUTED_VALUE"""),2799.77)</f>
        <v>2799.77</v>
      </c>
      <c r="E8235" s="1">
        <f>IFERROR(__xludf.DUMMYFUNCTION("""COMPUTED_VALUE"""),2804.49)</f>
        <v>2804.49</v>
      </c>
      <c r="F8235" s="1">
        <f>IFERROR(__xludf.DUMMYFUNCTION("""COMPUTED_VALUE"""),0.0)</f>
        <v>0</v>
      </c>
    </row>
    <row r="8236">
      <c r="A8236" s="2">
        <f>IFERROR(__xludf.DUMMYFUNCTION("""COMPUTED_VALUE"""),43301.66666666667)</f>
        <v>43301.66667</v>
      </c>
      <c r="B8236" s="1">
        <f>IFERROR(__xludf.DUMMYFUNCTION("""COMPUTED_VALUE"""),2804.55)</f>
        <v>2804.55</v>
      </c>
      <c r="C8236" s="1">
        <f>IFERROR(__xludf.DUMMYFUNCTION("""COMPUTED_VALUE"""),2809.7)</f>
        <v>2809.7</v>
      </c>
      <c r="D8236" s="1">
        <f>IFERROR(__xludf.DUMMYFUNCTION("""COMPUTED_VALUE"""),2800.01)</f>
        <v>2800.01</v>
      </c>
      <c r="E8236" s="1">
        <f>IFERROR(__xludf.DUMMYFUNCTION("""COMPUTED_VALUE"""),2801.83)</f>
        <v>2801.83</v>
      </c>
      <c r="F8236" s="1">
        <f>IFERROR(__xludf.DUMMYFUNCTION("""COMPUTED_VALUE"""),0.0)</f>
        <v>0</v>
      </c>
    </row>
    <row r="8237">
      <c r="A8237" s="2">
        <f>IFERROR(__xludf.DUMMYFUNCTION("""COMPUTED_VALUE"""),43304.66666666667)</f>
        <v>43304.66667</v>
      </c>
      <c r="B8237" s="1">
        <f>IFERROR(__xludf.DUMMYFUNCTION("""COMPUTED_VALUE"""),2799.17)</f>
        <v>2799.17</v>
      </c>
      <c r="C8237" s="1">
        <f>IFERROR(__xludf.DUMMYFUNCTION("""COMPUTED_VALUE"""),2808.61)</f>
        <v>2808.61</v>
      </c>
      <c r="D8237" s="1">
        <f>IFERROR(__xludf.DUMMYFUNCTION("""COMPUTED_VALUE"""),2795.14)</f>
        <v>2795.14</v>
      </c>
      <c r="E8237" s="1">
        <f>IFERROR(__xludf.DUMMYFUNCTION("""COMPUTED_VALUE"""),2806.98)</f>
        <v>2806.98</v>
      </c>
      <c r="F8237" s="1">
        <f>IFERROR(__xludf.DUMMYFUNCTION("""COMPUTED_VALUE"""),0.0)</f>
        <v>0</v>
      </c>
    </row>
    <row r="8238">
      <c r="A8238" s="2">
        <f>IFERROR(__xludf.DUMMYFUNCTION("""COMPUTED_VALUE"""),43305.66666666667)</f>
        <v>43305.66667</v>
      </c>
      <c r="B8238" s="1">
        <f>IFERROR(__xludf.DUMMYFUNCTION("""COMPUTED_VALUE"""),2820.68)</f>
        <v>2820.68</v>
      </c>
      <c r="C8238" s="1">
        <f>IFERROR(__xludf.DUMMYFUNCTION("""COMPUTED_VALUE"""),2829.99)</f>
        <v>2829.99</v>
      </c>
      <c r="D8238" s="1">
        <f>IFERROR(__xludf.DUMMYFUNCTION("""COMPUTED_VALUE"""),2811.12)</f>
        <v>2811.12</v>
      </c>
      <c r="E8238" s="1">
        <f>IFERROR(__xludf.DUMMYFUNCTION("""COMPUTED_VALUE"""),2820.4)</f>
        <v>2820.4</v>
      </c>
      <c r="F8238" s="1">
        <f>IFERROR(__xludf.DUMMYFUNCTION("""COMPUTED_VALUE"""),0.0)</f>
        <v>0</v>
      </c>
    </row>
    <row r="8239">
      <c r="A8239" s="2">
        <f>IFERROR(__xludf.DUMMYFUNCTION("""COMPUTED_VALUE"""),43306.66666666667)</f>
        <v>43306.66667</v>
      </c>
      <c r="B8239" s="1">
        <f>IFERROR(__xludf.DUMMYFUNCTION("""COMPUTED_VALUE"""),2817.73)</f>
        <v>2817.73</v>
      </c>
      <c r="C8239" s="1">
        <f>IFERROR(__xludf.DUMMYFUNCTION("""COMPUTED_VALUE"""),2848.03)</f>
        <v>2848.03</v>
      </c>
      <c r="D8239" s="1">
        <f>IFERROR(__xludf.DUMMYFUNCTION("""COMPUTED_VALUE"""),2817.73)</f>
        <v>2817.73</v>
      </c>
      <c r="E8239" s="1">
        <f>IFERROR(__xludf.DUMMYFUNCTION("""COMPUTED_VALUE"""),2846.07)</f>
        <v>2846.07</v>
      </c>
      <c r="F8239" s="1">
        <f>IFERROR(__xludf.DUMMYFUNCTION("""COMPUTED_VALUE"""),0.0)</f>
        <v>0</v>
      </c>
    </row>
    <row r="8240">
      <c r="A8240" s="2">
        <f>IFERROR(__xludf.DUMMYFUNCTION("""COMPUTED_VALUE"""),43307.66666666667)</f>
        <v>43307.66667</v>
      </c>
      <c r="B8240" s="1">
        <f>IFERROR(__xludf.DUMMYFUNCTION("""COMPUTED_VALUE"""),2835.49)</f>
        <v>2835.49</v>
      </c>
      <c r="C8240" s="1">
        <f>IFERROR(__xludf.DUMMYFUNCTION("""COMPUTED_VALUE"""),2845.57)</f>
        <v>2845.57</v>
      </c>
      <c r="D8240" s="1">
        <f>IFERROR(__xludf.DUMMYFUNCTION("""COMPUTED_VALUE"""),2835.26)</f>
        <v>2835.26</v>
      </c>
      <c r="E8240" s="1">
        <f>IFERROR(__xludf.DUMMYFUNCTION("""COMPUTED_VALUE"""),2837.44)</f>
        <v>2837.44</v>
      </c>
      <c r="F8240" s="1">
        <f>IFERROR(__xludf.DUMMYFUNCTION("""COMPUTED_VALUE"""),0.0)</f>
        <v>0</v>
      </c>
    </row>
    <row r="8241">
      <c r="A8241" s="2">
        <f>IFERROR(__xludf.DUMMYFUNCTION("""COMPUTED_VALUE"""),43308.66666666667)</f>
        <v>43308.66667</v>
      </c>
      <c r="B8241" s="1">
        <f>IFERROR(__xludf.DUMMYFUNCTION("""COMPUTED_VALUE"""),2842.35)</f>
        <v>2842.35</v>
      </c>
      <c r="C8241" s="1">
        <f>IFERROR(__xludf.DUMMYFUNCTION("""COMPUTED_VALUE"""),2843.17)</f>
        <v>2843.17</v>
      </c>
      <c r="D8241" s="1">
        <f>IFERROR(__xludf.DUMMYFUNCTION("""COMPUTED_VALUE"""),2808.34)</f>
        <v>2808.34</v>
      </c>
      <c r="E8241" s="1">
        <f>IFERROR(__xludf.DUMMYFUNCTION("""COMPUTED_VALUE"""),2818.82)</f>
        <v>2818.82</v>
      </c>
      <c r="F8241" s="1">
        <f>IFERROR(__xludf.DUMMYFUNCTION("""COMPUTED_VALUE"""),0.0)</f>
        <v>0</v>
      </c>
    </row>
    <row r="8242">
      <c r="A8242" s="2">
        <f>IFERROR(__xludf.DUMMYFUNCTION("""COMPUTED_VALUE"""),43311.66666666667)</f>
        <v>43311.66667</v>
      </c>
      <c r="B8242" s="1">
        <f>IFERROR(__xludf.DUMMYFUNCTION("""COMPUTED_VALUE"""),2819.0)</f>
        <v>2819</v>
      </c>
      <c r="C8242" s="1">
        <f>IFERROR(__xludf.DUMMYFUNCTION("""COMPUTED_VALUE"""),2821.74)</f>
        <v>2821.74</v>
      </c>
      <c r="D8242" s="1">
        <f>IFERROR(__xludf.DUMMYFUNCTION("""COMPUTED_VALUE"""),2798.11)</f>
        <v>2798.11</v>
      </c>
      <c r="E8242" s="1">
        <f>IFERROR(__xludf.DUMMYFUNCTION("""COMPUTED_VALUE"""),2802.6)</f>
        <v>2802.6</v>
      </c>
      <c r="F8242" s="1">
        <f>IFERROR(__xludf.DUMMYFUNCTION("""COMPUTED_VALUE"""),0.0)</f>
        <v>0</v>
      </c>
    </row>
    <row r="8243">
      <c r="A8243" s="2">
        <f>IFERROR(__xludf.DUMMYFUNCTION("""COMPUTED_VALUE"""),43312.66666666667)</f>
        <v>43312.66667</v>
      </c>
      <c r="B8243" s="1">
        <f>IFERROR(__xludf.DUMMYFUNCTION("""COMPUTED_VALUE"""),2809.73)</f>
        <v>2809.73</v>
      </c>
      <c r="C8243" s="1">
        <f>IFERROR(__xludf.DUMMYFUNCTION("""COMPUTED_VALUE"""),2824.46)</f>
        <v>2824.46</v>
      </c>
      <c r="D8243" s="1">
        <f>IFERROR(__xludf.DUMMYFUNCTION("""COMPUTED_VALUE"""),2808.06)</f>
        <v>2808.06</v>
      </c>
      <c r="E8243" s="1">
        <f>IFERROR(__xludf.DUMMYFUNCTION("""COMPUTED_VALUE"""),2816.29)</f>
        <v>2816.29</v>
      </c>
      <c r="F8243" s="1">
        <f>IFERROR(__xludf.DUMMYFUNCTION("""COMPUTED_VALUE"""),0.0)</f>
        <v>0</v>
      </c>
    </row>
    <row r="8244">
      <c r="A8244" s="2">
        <f>IFERROR(__xludf.DUMMYFUNCTION("""COMPUTED_VALUE"""),43313.66666666667)</f>
        <v>43313.66667</v>
      </c>
      <c r="B8244" s="1">
        <f>IFERROR(__xludf.DUMMYFUNCTION("""COMPUTED_VALUE"""),2821.17)</f>
        <v>2821.17</v>
      </c>
      <c r="C8244" s="1">
        <f>IFERROR(__xludf.DUMMYFUNCTION("""COMPUTED_VALUE"""),2825.83)</f>
        <v>2825.83</v>
      </c>
      <c r="D8244" s="1">
        <f>IFERROR(__xludf.DUMMYFUNCTION("""COMPUTED_VALUE"""),2805.85)</f>
        <v>2805.85</v>
      </c>
      <c r="E8244" s="1">
        <f>IFERROR(__xludf.DUMMYFUNCTION("""COMPUTED_VALUE"""),2813.36)</f>
        <v>2813.36</v>
      </c>
      <c r="F8244" s="1">
        <f>IFERROR(__xludf.DUMMYFUNCTION("""COMPUTED_VALUE"""),0.0)</f>
        <v>0</v>
      </c>
    </row>
    <row r="8245">
      <c r="A8245" s="2">
        <f>IFERROR(__xludf.DUMMYFUNCTION("""COMPUTED_VALUE"""),43314.66666666667)</f>
        <v>43314.66667</v>
      </c>
      <c r="B8245" s="1">
        <f>IFERROR(__xludf.DUMMYFUNCTION("""COMPUTED_VALUE"""),2800.48)</f>
        <v>2800.48</v>
      </c>
      <c r="C8245" s="1">
        <f>IFERROR(__xludf.DUMMYFUNCTION("""COMPUTED_VALUE"""),2829.91)</f>
        <v>2829.91</v>
      </c>
      <c r="D8245" s="1">
        <f>IFERROR(__xludf.DUMMYFUNCTION("""COMPUTED_VALUE"""),2796.34)</f>
        <v>2796.34</v>
      </c>
      <c r="E8245" s="1">
        <f>IFERROR(__xludf.DUMMYFUNCTION("""COMPUTED_VALUE"""),2827.22)</f>
        <v>2827.22</v>
      </c>
      <c r="F8245" s="1">
        <f>IFERROR(__xludf.DUMMYFUNCTION("""COMPUTED_VALUE"""),0.0)</f>
        <v>0</v>
      </c>
    </row>
    <row r="8246">
      <c r="A8246" s="2">
        <f>IFERROR(__xludf.DUMMYFUNCTION("""COMPUTED_VALUE"""),43315.66666666667)</f>
        <v>43315.66667</v>
      </c>
      <c r="B8246" s="1">
        <f>IFERROR(__xludf.DUMMYFUNCTION("""COMPUTED_VALUE"""),2829.62)</f>
        <v>2829.62</v>
      </c>
      <c r="C8246" s="1">
        <f>IFERROR(__xludf.DUMMYFUNCTION("""COMPUTED_VALUE"""),2840.38)</f>
        <v>2840.38</v>
      </c>
      <c r="D8246" s="1">
        <f>IFERROR(__xludf.DUMMYFUNCTION("""COMPUTED_VALUE"""),2827.37)</f>
        <v>2827.37</v>
      </c>
      <c r="E8246" s="1">
        <f>IFERROR(__xludf.DUMMYFUNCTION("""COMPUTED_VALUE"""),2840.35)</f>
        <v>2840.35</v>
      </c>
      <c r="F8246" s="1">
        <f>IFERROR(__xludf.DUMMYFUNCTION("""COMPUTED_VALUE"""),0.0)</f>
        <v>0</v>
      </c>
    </row>
    <row r="8247">
      <c r="A8247" s="2">
        <f>IFERROR(__xludf.DUMMYFUNCTION("""COMPUTED_VALUE"""),43318.66666666667)</f>
        <v>43318.66667</v>
      </c>
      <c r="B8247" s="1">
        <f>IFERROR(__xludf.DUMMYFUNCTION("""COMPUTED_VALUE"""),2840.29)</f>
        <v>2840.29</v>
      </c>
      <c r="C8247" s="1">
        <f>IFERROR(__xludf.DUMMYFUNCTION("""COMPUTED_VALUE"""),2853.29)</f>
        <v>2853.29</v>
      </c>
      <c r="D8247" s="1">
        <f>IFERROR(__xludf.DUMMYFUNCTION("""COMPUTED_VALUE"""),2835.98)</f>
        <v>2835.98</v>
      </c>
      <c r="E8247" s="1">
        <f>IFERROR(__xludf.DUMMYFUNCTION("""COMPUTED_VALUE"""),2850.4)</f>
        <v>2850.4</v>
      </c>
      <c r="F8247" s="1">
        <f>IFERROR(__xludf.DUMMYFUNCTION("""COMPUTED_VALUE"""),0.0)</f>
        <v>0</v>
      </c>
    </row>
    <row r="8248">
      <c r="A8248" s="2">
        <f>IFERROR(__xludf.DUMMYFUNCTION("""COMPUTED_VALUE"""),43319.66666666667)</f>
        <v>43319.66667</v>
      </c>
      <c r="B8248" s="1">
        <f>IFERROR(__xludf.DUMMYFUNCTION("""COMPUTED_VALUE"""),2855.92)</f>
        <v>2855.92</v>
      </c>
      <c r="C8248" s="1">
        <f>IFERROR(__xludf.DUMMYFUNCTION("""COMPUTED_VALUE"""),2863.43)</f>
        <v>2863.43</v>
      </c>
      <c r="D8248" s="1">
        <f>IFERROR(__xludf.DUMMYFUNCTION("""COMPUTED_VALUE"""),2855.92)</f>
        <v>2855.92</v>
      </c>
      <c r="E8248" s="1">
        <f>IFERROR(__xludf.DUMMYFUNCTION("""COMPUTED_VALUE"""),2858.45)</f>
        <v>2858.45</v>
      </c>
      <c r="F8248" s="1">
        <f>IFERROR(__xludf.DUMMYFUNCTION("""COMPUTED_VALUE"""),0.0)</f>
        <v>0</v>
      </c>
    </row>
    <row r="8249">
      <c r="A8249" s="2">
        <f>IFERROR(__xludf.DUMMYFUNCTION("""COMPUTED_VALUE"""),43320.66666666667)</f>
        <v>43320.66667</v>
      </c>
      <c r="B8249" s="1">
        <f>IFERROR(__xludf.DUMMYFUNCTION("""COMPUTED_VALUE"""),2856.79)</f>
        <v>2856.79</v>
      </c>
      <c r="C8249" s="1">
        <f>IFERROR(__xludf.DUMMYFUNCTION("""COMPUTED_VALUE"""),2862.44)</f>
        <v>2862.44</v>
      </c>
      <c r="D8249" s="1">
        <f>IFERROR(__xludf.DUMMYFUNCTION("""COMPUTED_VALUE"""),2853.09)</f>
        <v>2853.09</v>
      </c>
      <c r="E8249" s="1">
        <f>IFERROR(__xludf.DUMMYFUNCTION("""COMPUTED_VALUE"""),2857.7)</f>
        <v>2857.7</v>
      </c>
      <c r="F8249" s="1">
        <f>IFERROR(__xludf.DUMMYFUNCTION("""COMPUTED_VALUE"""),0.0)</f>
        <v>0</v>
      </c>
    </row>
    <row r="8250">
      <c r="A8250" s="2">
        <f>IFERROR(__xludf.DUMMYFUNCTION("""COMPUTED_VALUE"""),43321.66666666667)</f>
        <v>43321.66667</v>
      </c>
      <c r="B8250" s="1">
        <f>IFERROR(__xludf.DUMMYFUNCTION("""COMPUTED_VALUE"""),2857.19)</f>
        <v>2857.19</v>
      </c>
      <c r="C8250" s="1">
        <f>IFERROR(__xludf.DUMMYFUNCTION("""COMPUTED_VALUE"""),2862.48)</f>
        <v>2862.48</v>
      </c>
      <c r="D8250" s="1">
        <f>IFERROR(__xludf.DUMMYFUNCTION("""COMPUTED_VALUE"""),2851.98)</f>
        <v>2851.98</v>
      </c>
      <c r="E8250" s="1">
        <f>IFERROR(__xludf.DUMMYFUNCTION("""COMPUTED_VALUE"""),2853.58)</f>
        <v>2853.58</v>
      </c>
      <c r="F8250" s="1">
        <f>IFERROR(__xludf.DUMMYFUNCTION("""COMPUTED_VALUE"""),0.0)</f>
        <v>0</v>
      </c>
    </row>
    <row r="8251">
      <c r="A8251" s="2">
        <f>IFERROR(__xludf.DUMMYFUNCTION("""COMPUTED_VALUE"""),43322.66666666667)</f>
        <v>43322.66667</v>
      </c>
      <c r="B8251" s="1">
        <f>IFERROR(__xludf.DUMMYFUNCTION("""COMPUTED_VALUE"""),2839.64)</f>
        <v>2839.64</v>
      </c>
      <c r="C8251" s="1">
        <f>IFERROR(__xludf.DUMMYFUNCTION("""COMPUTED_VALUE"""),2842.2)</f>
        <v>2842.2</v>
      </c>
      <c r="D8251" s="1">
        <f>IFERROR(__xludf.DUMMYFUNCTION("""COMPUTED_VALUE"""),2825.81)</f>
        <v>2825.81</v>
      </c>
      <c r="E8251" s="1">
        <f>IFERROR(__xludf.DUMMYFUNCTION("""COMPUTED_VALUE"""),2833.28)</f>
        <v>2833.28</v>
      </c>
      <c r="F8251" s="1">
        <f>IFERROR(__xludf.DUMMYFUNCTION("""COMPUTED_VALUE"""),0.0)</f>
        <v>0</v>
      </c>
    </row>
    <row r="8252">
      <c r="A8252" s="2">
        <f>IFERROR(__xludf.DUMMYFUNCTION("""COMPUTED_VALUE"""),43325.66666666667)</f>
        <v>43325.66667</v>
      </c>
      <c r="B8252" s="1">
        <f>IFERROR(__xludf.DUMMYFUNCTION("""COMPUTED_VALUE"""),2835.46)</f>
        <v>2835.46</v>
      </c>
      <c r="C8252" s="1">
        <f>IFERROR(__xludf.DUMMYFUNCTION("""COMPUTED_VALUE"""),2843.4)</f>
        <v>2843.4</v>
      </c>
      <c r="D8252" s="1">
        <f>IFERROR(__xludf.DUMMYFUNCTION("""COMPUTED_VALUE"""),2819.88)</f>
        <v>2819.88</v>
      </c>
      <c r="E8252" s="1">
        <f>IFERROR(__xludf.DUMMYFUNCTION("""COMPUTED_VALUE"""),2821.93)</f>
        <v>2821.93</v>
      </c>
      <c r="F8252" s="1">
        <f>IFERROR(__xludf.DUMMYFUNCTION("""COMPUTED_VALUE"""),0.0)</f>
        <v>0</v>
      </c>
    </row>
    <row r="8253">
      <c r="A8253" s="2">
        <f>IFERROR(__xludf.DUMMYFUNCTION("""COMPUTED_VALUE"""),43326.66666666667)</f>
        <v>43326.66667</v>
      </c>
      <c r="B8253" s="1">
        <f>IFERROR(__xludf.DUMMYFUNCTION("""COMPUTED_VALUE"""),2827.88)</f>
        <v>2827.88</v>
      </c>
      <c r="C8253" s="1">
        <f>IFERROR(__xludf.DUMMYFUNCTION("""COMPUTED_VALUE"""),2843.11)</f>
        <v>2843.11</v>
      </c>
      <c r="D8253" s="1">
        <f>IFERROR(__xludf.DUMMYFUNCTION("""COMPUTED_VALUE"""),2826.58)</f>
        <v>2826.58</v>
      </c>
      <c r="E8253" s="1">
        <f>IFERROR(__xludf.DUMMYFUNCTION("""COMPUTED_VALUE"""),2839.96)</f>
        <v>2839.96</v>
      </c>
      <c r="F8253" s="1">
        <f>IFERROR(__xludf.DUMMYFUNCTION("""COMPUTED_VALUE"""),0.0)</f>
        <v>0</v>
      </c>
    </row>
    <row r="8254">
      <c r="A8254" s="2">
        <f>IFERROR(__xludf.DUMMYFUNCTION("""COMPUTED_VALUE"""),43327.66666666667)</f>
        <v>43327.66667</v>
      </c>
      <c r="B8254" s="1">
        <f>IFERROR(__xludf.DUMMYFUNCTION("""COMPUTED_VALUE"""),2827.95)</f>
        <v>2827.95</v>
      </c>
      <c r="C8254" s="1">
        <f>IFERROR(__xludf.DUMMYFUNCTION("""COMPUTED_VALUE"""),2827.95)</f>
        <v>2827.95</v>
      </c>
      <c r="D8254" s="1">
        <f>IFERROR(__xludf.DUMMYFUNCTION("""COMPUTED_VALUE"""),2802.49)</f>
        <v>2802.49</v>
      </c>
      <c r="E8254" s="1">
        <f>IFERROR(__xludf.DUMMYFUNCTION("""COMPUTED_VALUE"""),2818.37)</f>
        <v>2818.37</v>
      </c>
      <c r="F8254" s="1">
        <f>IFERROR(__xludf.DUMMYFUNCTION("""COMPUTED_VALUE"""),0.0)</f>
        <v>0</v>
      </c>
    </row>
    <row r="8255">
      <c r="A8255" s="2">
        <f>IFERROR(__xludf.DUMMYFUNCTION("""COMPUTED_VALUE"""),43328.66666666667)</f>
        <v>43328.66667</v>
      </c>
      <c r="B8255" s="1">
        <f>IFERROR(__xludf.DUMMYFUNCTION("""COMPUTED_VALUE"""),2831.44)</f>
        <v>2831.44</v>
      </c>
      <c r="C8255" s="1">
        <f>IFERROR(__xludf.DUMMYFUNCTION("""COMPUTED_VALUE"""),2850.49)</f>
        <v>2850.49</v>
      </c>
      <c r="D8255" s="1">
        <f>IFERROR(__xludf.DUMMYFUNCTION("""COMPUTED_VALUE"""),2831.44)</f>
        <v>2831.44</v>
      </c>
      <c r="E8255" s="1">
        <f>IFERROR(__xludf.DUMMYFUNCTION("""COMPUTED_VALUE"""),2840.69)</f>
        <v>2840.69</v>
      </c>
      <c r="F8255" s="1">
        <f>IFERROR(__xludf.DUMMYFUNCTION("""COMPUTED_VALUE"""),0.0)</f>
        <v>0</v>
      </c>
    </row>
    <row r="8256">
      <c r="A8256" s="2">
        <f>IFERROR(__xludf.DUMMYFUNCTION("""COMPUTED_VALUE"""),43329.66666666667)</f>
        <v>43329.66667</v>
      </c>
      <c r="B8256" s="1">
        <f>IFERROR(__xludf.DUMMYFUNCTION("""COMPUTED_VALUE"""),2838.32)</f>
        <v>2838.32</v>
      </c>
      <c r="C8256" s="1">
        <f>IFERROR(__xludf.DUMMYFUNCTION("""COMPUTED_VALUE"""),2855.63)</f>
        <v>2855.63</v>
      </c>
      <c r="D8256" s="1">
        <f>IFERROR(__xludf.DUMMYFUNCTION("""COMPUTED_VALUE"""),2833.73)</f>
        <v>2833.73</v>
      </c>
      <c r="E8256" s="1">
        <f>IFERROR(__xludf.DUMMYFUNCTION("""COMPUTED_VALUE"""),2850.13)</f>
        <v>2850.13</v>
      </c>
      <c r="F8256" s="1">
        <f>IFERROR(__xludf.DUMMYFUNCTION("""COMPUTED_VALUE"""),0.0)</f>
        <v>0</v>
      </c>
    </row>
    <row r="8257">
      <c r="A8257" s="2">
        <f>IFERROR(__xludf.DUMMYFUNCTION("""COMPUTED_VALUE"""),43332.66666666667)</f>
        <v>43332.66667</v>
      </c>
      <c r="B8257" s="1">
        <f>IFERROR(__xludf.DUMMYFUNCTION("""COMPUTED_VALUE"""),2853.93)</f>
        <v>2853.93</v>
      </c>
      <c r="C8257" s="1">
        <f>IFERROR(__xludf.DUMMYFUNCTION("""COMPUTED_VALUE"""),2859.76)</f>
        <v>2859.76</v>
      </c>
      <c r="D8257" s="1">
        <f>IFERROR(__xludf.DUMMYFUNCTION("""COMPUTED_VALUE"""),2850.62)</f>
        <v>2850.62</v>
      </c>
      <c r="E8257" s="1">
        <f>IFERROR(__xludf.DUMMYFUNCTION("""COMPUTED_VALUE"""),2857.05)</f>
        <v>2857.05</v>
      </c>
      <c r="F8257" s="1">
        <f>IFERROR(__xludf.DUMMYFUNCTION("""COMPUTED_VALUE"""),0.0)</f>
        <v>0</v>
      </c>
    </row>
    <row r="8258">
      <c r="A8258" s="2">
        <f>IFERROR(__xludf.DUMMYFUNCTION("""COMPUTED_VALUE"""),43333.66666666667)</f>
        <v>43333.66667</v>
      </c>
      <c r="B8258" s="1">
        <f>IFERROR(__xludf.DUMMYFUNCTION("""COMPUTED_VALUE"""),2861.51)</f>
        <v>2861.51</v>
      </c>
      <c r="C8258" s="1">
        <f>IFERROR(__xludf.DUMMYFUNCTION("""COMPUTED_VALUE"""),2873.23)</f>
        <v>2873.23</v>
      </c>
      <c r="D8258" s="1">
        <f>IFERROR(__xludf.DUMMYFUNCTION("""COMPUTED_VALUE"""),2861.32)</f>
        <v>2861.32</v>
      </c>
      <c r="E8258" s="1">
        <f>IFERROR(__xludf.DUMMYFUNCTION("""COMPUTED_VALUE"""),2862.96)</f>
        <v>2862.96</v>
      </c>
      <c r="F8258" s="1">
        <f>IFERROR(__xludf.DUMMYFUNCTION("""COMPUTED_VALUE"""),0.0)</f>
        <v>0</v>
      </c>
    </row>
    <row r="8259">
      <c r="A8259" s="2">
        <f>IFERROR(__xludf.DUMMYFUNCTION("""COMPUTED_VALUE"""),43334.66666666667)</f>
        <v>43334.66667</v>
      </c>
      <c r="B8259" s="1">
        <f>IFERROR(__xludf.DUMMYFUNCTION("""COMPUTED_VALUE"""),2860.99)</f>
        <v>2860.99</v>
      </c>
      <c r="C8259" s="1">
        <f>IFERROR(__xludf.DUMMYFUNCTION("""COMPUTED_VALUE"""),2867.54)</f>
        <v>2867.54</v>
      </c>
      <c r="D8259" s="1">
        <f>IFERROR(__xludf.DUMMYFUNCTION("""COMPUTED_VALUE"""),2856.05)</f>
        <v>2856.05</v>
      </c>
      <c r="E8259" s="1">
        <f>IFERROR(__xludf.DUMMYFUNCTION("""COMPUTED_VALUE"""),2861.82)</f>
        <v>2861.82</v>
      </c>
      <c r="F8259" s="1">
        <f>IFERROR(__xludf.DUMMYFUNCTION("""COMPUTED_VALUE"""),0.0)</f>
        <v>0</v>
      </c>
    </row>
    <row r="8260">
      <c r="A8260" s="2">
        <f>IFERROR(__xludf.DUMMYFUNCTION("""COMPUTED_VALUE"""),43335.66666666667)</f>
        <v>43335.66667</v>
      </c>
      <c r="B8260" s="1">
        <f>IFERROR(__xludf.DUMMYFUNCTION("""COMPUTED_VALUE"""),2860.29)</f>
        <v>2860.29</v>
      </c>
      <c r="C8260" s="1">
        <f>IFERROR(__xludf.DUMMYFUNCTION("""COMPUTED_VALUE"""),2868.78)</f>
        <v>2868.78</v>
      </c>
      <c r="D8260" s="1">
        <f>IFERROR(__xludf.DUMMYFUNCTION("""COMPUTED_VALUE"""),2854.03)</f>
        <v>2854.03</v>
      </c>
      <c r="E8260" s="1">
        <f>IFERROR(__xludf.DUMMYFUNCTION("""COMPUTED_VALUE"""),2856.98)</f>
        <v>2856.98</v>
      </c>
      <c r="F8260" s="1">
        <f>IFERROR(__xludf.DUMMYFUNCTION("""COMPUTED_VALUE"""),0.0)</f>
        <v>0</v>
      </c>
    </row>
    <row r="8261">
      <c r="A8261" s="2">
        <f>IFERROR(__xludf.DUMMYFUNCTION("""COMPUTED_VALUE"""),43336.66666666667)</f>
        <v>43336.66667</v>
      </c>
      <c r="B8261" s="1">
        <f>IFERROR(__xludf.DUMMYFUNCTION("""COMPUTED_VALUE"""),2862.35)</f>
        <v>2862.35</v>
      </c>
      <c r="C8261" s="1">
        <f>IFERROR(__xludf.DUMMYFUNCTION("""COMPUTED_VALUE"""),2876.16)</f>
        <v>2876.16</v>
      </c>
      <c r="D8261" s="1">
        <f>IFERROR(__xludf.DUMMYFUNCTION("""COMPUTED_VALUE"""),2862.35)</f>
        <v>2862.35</v>
      </c>
      <c r="E8261" s="1">
        <f>IFERROR(__xludf.DUMMYFUNCTION("""COMPUTED_VALUE"""),2874.69)</f>
        <v>2874.69</v>
      </c>
      <c r="F8261" s="1">
        <f>IFERROR(__xludf.DUMMYFUNCTION("""COMPUTED_VALUE"""),0.0)</f>
        <v>0</v>
      </c>
    </row>
    <row r="8262">
      <c r="A8262" s="2">
        <f>IFERROR(__xludf.DUMMYFUNCTION("""COMPUTED_VALUE"""),43339.66666666667)</f>
        <v>43339.66667</v>
      </c>
      <c r="B8262" s="1">
        <f>IFERROR(__xludf.DUMMYFUNCTION("""COMPUTED_VALUE"""),2884.69)</f>
        <v>2884.69</v>
      </c>
      <c r="C8262" s="1">
        <f>IFERROR(__xludf.DUMMYFUNCTION("""COMPUTED_VALUE"""),2898.25)</f>
        <v>2898.25</v>
      </c>
      <c r="D8262" s="1">
        <f>IFERROR(__xludf.DUMMYFUNCTION("""COMPUTED_VALUE"""),2884.69)</f>
        <v>2884.69</v>
      </c>
      <c r="E8262" s="1">
        <f>IFERROR(__xludf.DUMMYFUNCTION("""COMPUTED_VALUE"""),2896.74)</f>
        <v>2896.74</v>
      </c>
      <c r="F8262" s="1">
        <f>IFERROR(__xludf.DUMMYFUNCTION("""COMPUTED_VALUE"""),0.0)</f>
        <v>0</v>
      </c>
    </row>
    <row r="8263">
      <c r="A8263" s="2">
        <f>IFERROR(__xludf.DUMMYFUNCTION("""COMPUTED_VALUE"""),43340.66666666667)</f>
        <v>43340.66667</v>
      </c>
      <c r="B8263" s="1">
        <f>IFERROR(__xludf.DUMMYFUNCTION("""COMPUTED_VALUE"""),2901.45)</f>
        <v>2901.45</v>
      </c>
      <c r="C8263" s="1">
        <f>IFERROR(__xludf.DUMMYFUNCTION("""COMPUTED_VALUE"""),2903.77)</f>
        <v>2903.77</v>
      </c>
      <c r="D8263" s="1">
        <f>IFERROR(__xludf.DUMMYFUNCTION("""COMPUTED_VALUE"""),2893.5)</f>
        <v>2893.5</v>
      </c>
      <c r="E8263" s="1">
        <f>IFERROR(__xludf.DUMMYFUNCTION("""COMPUTED_VALUE"""),2897.52)</f>
        <v>2897.52</v>
      </c>
      <c r="F8263" s="1">
        <f>IFERROR(__xludf.DUMMYFUNCTION("""COMPUTED_VALUE"""),0.0)</f>
        <v>0</v>
      </c>
    </row>
    <row r="8264">
      <c r="A8264" s="2">
        <f>IFERROR(__xludf.DUMMYFUNCTION("""COMPUTED_VALUE"""),43341.66666666667)</f>
        <v>43341.66667</v>
      </c>
      <c r="B8264" s="1">
        <f>IFERROR(__xludf.DUMMYFUNCTION("""COMPUTED_VALUE"""),2900.62)</f>
        <v>2900.62</v>
      </c>
      <c r="C8264" s="1">
        <f>IFERROR(__xludf.DUMMYFUNCTION("""COMPUTED_VALUE"""),2916.5)</f>
        <v>2916.5</v>
      </c>
      <c r="D8264" s="1">
        <f>IFERROR(__xludf.DUMMYFUNCTION("""COMPUTED_VALUE"""),2898.4)</f>
        <v>2898.4</v>
      </c>
      <c r="E8264" s="1">
        <f>IFERROR(__xludf.DUMMYFUNCTION("""COMPUTED_VALUE"""),2914.04)</f>
        <v>2914.04</v>
      </c>
      <c r="F8264" s="1">
        <f>IFERROR(__xludf.DUMMYFUNCTION("""COMPUTED_VALUE"""),0.0)</f>
        <v>0</v>
      </c>
    </row>
    <row r="8265">
      <c r="A8265" s="2">
        <f>IFERROR(__xludf.DUMMYFUNCTION("""COMPUTED_VALUE"""),43342.66666666667)</f>
        <v>43342.66667</v>
      </c>
      <c r="B8265" s="1">
        <f>IFERROR(__xludf.DUMMYFUNCTION("""COMPUTED_VALUE"""),2908.94)</f>
        <v>2908.94</v>
      </c>
      <c r="C8265" s="1">
        <f>IFERROR(__xludf.DUMMYFUNCTION("""COMPUTED_VALUE"""),2912.46)</f>
        <v>2912.46</v>
      </c>
      <c r="D8265" s="1">
        <f>IFERROR(__xludf.DUMMYFUNCTION("""COMPUTED_VALUE"""),2895.22)</f>
        <v>2895.22</v>
      </c>
      <c r="E8265" s="1">
        <f>IFERROR(__xludf.DUMMYFUNCTION("""COMPUTED_VALUE"""),2901.13)</f>
        <v>2901.13</v>
      </c>
      <c r="F8265" s="1">
        <f>IFERROR(__xludf.DUMMYFUNCTION("""COMPUTED_VALUE"""),0.0)</f>
        <v>0</v>
      </c>
    </row>
    <row r="8266">
      <c r="A8266" s="2">
        <f>IFERROR(__xludf.DUMMYFUNCTION("""COMPUTED_VALUE"""),43343.66666666667)</f>
        <v>43343.66667</v>
      </c>
      <c r="B8266" s="1">
        <f>IFERROR(__xludf.DUMMYFUNCTION("""COMPUTED_VALUE"""),2898.37)</f>
        <v>2898.37</v>
      </c>
      <c r="C8266" s="1">
        <f>IFERROR(__xludf.DUMMYFUNCTION("""COMPUTED_VALUE"""),2906.32)</f>
        <v>2906.32</v>
      </c>
      <c r="D8266" s="1">
        <f>IFERROR(__xludf.DUMMYFUNCTION("""COMPUTED_VALUE"""),2891.73)</f>
        <v>2891.73</v>
      </c>
      <c r="E8266" s="1">
        <f>IFERROR(__xludf.DUMMYFUNCTION("""COMPUTED_VALUE"""),2901.52)</f>
        <v>2901.52</v>
      </c>
      <c r="F8266" s="1">
        <f>IFERROR(__xludf.DUMMYFUNCTION("""COMPUTED_VALUE"""),0.0)</f>
        <v>0</v>
      </c>
    </row>
    <row r="8267">
      <c r="A8267" s="2">
        <f>IFERROR(__xludf.DUMMYFUNCTION("""COMPUTED_VALUE"""),43347.66666666667)</f>
        <v>43347.66667</v>
      </c>
      <c r="B8267" s="1">
        <f>IFERROR(__xludf.DUMMYFUNCTION("""COMPUTED_VALUE"""),2896.96)</f>
        <v>2896.96</v>
      </c>
      <c r="C8267" s="1">
        <f>IFERROR(__xludf.DUMMYFUNCTION("""COMPUTED_VALUE"""),2900.18)</f>
        <v>2900.18</v>
      </c>
      <c r="D8267" s="1">
        <f>IFERROR(__xludf.DUMMYFUNCTION("""COMPUTED_VALUE"""),2885.13)</f>
        <v>2885.13</v>
      </c>
      <c r="E8267" s="1">
        <f>IFERROR(__xludf.DUMMYFUNCTION("""COMPUTED_VALUE"""),2896.72)</f>
        <v>2896.72</v>
      </c>
      <c r="F8267" s="1">
        <f>IFERROR(__xludf.DUMMYFUNCTION("""COMPUTED_VALUE"""),0.0)</f>
        <v>0</v>
      </c>
    </row>
    <row r="8268">
      <c r="A8268" s="2">
        <f>IFERROR(__xludf.DUMMYFUNCTION("""COMPUTED_VALUE"""),43348.66666666667)</f>
        <v>43348.66667</v>
      </c>
      <c r="B8268" s="1">
        <f>IFERROR(__xludf.DUMMYFUNCTION("""COMPUTED_VALUE"""),2891.59)</f>
        <v>2891.59</v>
      </c>
      <c r="C8268" s="1">
        <f>IFERROR(__xludf.DUMMYFUNCTION("""COMPUTED_VALUE"""),2894.21)</f>
        <v>2894.21</v>
      </c>
      <c r="D8268" s="1">
        <f>IFERROR(__xludf.DUMMYFUNCTION("""COMPUTED_VALUE"""),2876.92)</f>
        <v>2876.92</v>
      </c>
      <c r="E8268" s="1">
        <f>IFERROR(__xludf.DUMMYFUNCTION("""COMPUTED_VALUE"""),2888.6)</f>
        <v>2888.6</v>
      </c>
      <c r="F8268" s="1">
        <f>IFERROR(__xludf.DUMMYFUNCTION("""COMPUTED_VALUE"""),0.0)</f>
        <v>0</v>
      </c>
    </row>
    <row r="8269">
      <c r="A8269" s="2">
        <f>IFERROR(__xludf.DUMMYFUNCTION("""COMPUTED_VALUE"""),43349.66666666667)</f>
        <v>43349.66667</v>
      </c>
      <c r="B8269" s="1">
        <f>IFERROR(__xludf.DUMMYFUNCTION("""COMPUTED_VALUE"""),2888.64)</f>
        <v>2888.64</v>
      </c>
      <c r="C8269" s="1">
        <f>IFERROR(__xludf.DUMMYFUNCTION("""COMPUTED_VALUE"""),2892.05)</f>
        <v>2892.05</v>
      </c>
      <c r="D8269" s="1">
        <f>IFERROR(__xludf.DUMMYFUNCTION("""COMPUTED_VALUE"""),2867.29)</f>
        <v>2867.29</v>
      </c>
      <c r="E8269" s="1">
        <f>IFERROR(__xludf.DUMMYFUNCTION("""COMPUTED_VALUE"""),2878.05)</f>
        <v>2878.05</v>
      </c>
      <c r="F8269" s="1">
        <f>IFERROR(__xludf.DUMMYFUNCTION("""COMPUTED_VALUE"""),0.0)</f>
        <v>0</v>
      </c>
    </row>
    <row r="8270">
      <c r="A8270" s="2">
        <f>IFERROR(__xludf.DUMMYFUNCTION("""COMPUTED_VALUE"""),43350.66666666667)</f>
        <v>43350.66667</v>
      </c>
      <c r="B8270" s="1">
        <f>IFERROR(__xludf.DUMMYFUNCTION("""COMPUTED_VALUE"""),2868.26)</f>
        <v>2868.26</v>
      </c>
      <c r="C8270" s="1">
        <f>IFERROR(__xludf.DUMMYFUNCTION("""COMPUTED_VALUE"""),2883.81)</f>
        <v>2883.81</v>
      </c>
      <c r="D8270" s="1">
        <f>IFERROR(__xludf.DUMMYFUNCTION("""COMPUTED_VALUE"""),2864.12)</f>
        <v>2864.12</v>
      </c>
      <c r="E8270" s="1">
        <f>IFERROR(__xludf.DUMMYFUNCTION("""COMPUTED_VALUE"""),2871.68)</f>
        <v>2871.68</v>
      </c>
      <c r="F8270" s="1">
        <f>IFERROR(__xludf.DUMMYFUNCTION("""COMPUTED_VALUE"""),0.0)</f>
        <v>0</v>
      </c>
    </row>
    <row r="8271">
      <c r="A8271" s="2">
        <f>IFERROR(__xludf.DUMMYFUNCTION("""COMPUTED_VALUE"""),43353.66666666667)</f>
        <v>43353.66667</v>
      </c>
      <c r="B8271" s="1">
        <f>IFERROR(__xludf.DUMMYFUNCTION("""COMPUTED_VALUE"""),2881.39)</f>
        <v>2881.39</v>
      </c>
      <c r="C8271" s="1">
        <f>IFERROR(__xludf.DUMMYFUNCTION("""COMPUTED_VALUE"""),2886.93)</f>
        <v>2886.93</v>
      </c>
      <c r="D8271" s="1">
        <f>IFERROR(__xludf.DUMMYFUNCTION("""COMPUTED_VALUE"""),2875.94)</f>
        <v>2875.94</v>
      </c>
      <c r="E8271" s="1">
        <f>IFERROR(__xludf.DUMMYFUNCTION("""COMPUTED_VALUE"""),2877.13)</f>
        <v>2877.13</v>
      </c>
      <c r="F8271" s="1">
        <f>IFERROR(__xludf.DUMMYFUNCTION("""COMPUTED_VALUE"""),0.0)</f>
        <v>0</v>
      </c>
    </row>
    <row r="8272">
      <c r="A8272" s="2">
        <f>IFERROR(__xludf.DUMMYFUNCTION("""COMPUTED_VALUE"""),43354.66666666667)</f>
        <v>43354.66667</v>
      </c>
      <c r="B8272" s="1">
        <f>IFERROR(__xludf.DUMMYFUNCTION("""COMPUTED_VALUE"""),2871.57)</f>
        <v>2871.57</v>
      </c>
      <c r="C8272" s="1">
        <f>IFERROR(__xludf.DUMMYFUNCTION("""COMPUTED_VALUE"""),2892.52)</f>
        <v>2892.52</v>
      </c>
      <c r="D8272" s="1">
        <f>IFERROR(__xludf.DUMMYFUNCTION("""COMPUTED_VALUE"""),2866.78)</f>
        <v>2866.78</v>
      </c>
      <c r="E8272" s="1">
        <f>IFERROR(__xludf.DUMMYFUNCTION("""COMPUTED_VALUE"""),2887.89)</f>
        <v>2887.89</v>
      </c>
      <c r="F8272" s="1">
        <f>IFERROR(__xludf.DUMMYFUNCTION("""COMPUTED_VALUE"""),0.0)</f>
        <v>0</v>
      </c>
    </row>
    <row r="8273">
      <c r="A8273" s="2">
        <f>IFERROR(__xludf.DUMMYFUNCTION("""COMPUTED_VALUE"""),43355.66666666667)</f>
        <v>43355.66667</v>
      </c>
      <c r="B8273" s="1">
        <f>IFERROR(__xludf.DUMMYFUNCTION("""COMPUTED_VALUE"""),2888.29)</f>
        <v>2888.29</v>
      </c>
      <c r="C8273" s="1">
        <f>IFERROR(__xludf.DUMMYFUNCTION("""COMPUTED_VALUE"""),2894.65)</f>
        <v>2894.65</v>
      </c>
      <c r="D8273" s="1">
        <f>IFERROR(__xludf.DUMMYFUNCTION("""COMPUTED_VALUE"""),2879.2)</f>
        <v>2879.2</v>
      </c>
      <c r="E8273" s="1">
        <f>IFERROR(__xludf.DUMMYFUNCTION("""COMPUTED_VALUE"""),2888.92)</f>
        <v>2888.92</v>
      </c>
      <c r="F8273" s="1">
        <f>IFERROR(__xludf.DUMMYFUNCTION("""COMPUTED_VALUE"""),0.0)</f>
        <v>0</v>
      </c>
    </row>
    <row r="8274">
      <c r="A8274" s="2">
        <f>IFERROR(__xludf.DUMMYFUNCTION("""COMPUTED_VALUE"""),43356.66666666667)</f>
        <v>43356.66667</v>
      </c>
      <c r="B8274" s="1">
        <f>IFERROR(__xludf.DUMMYFUNCTION("""COMPUTED_VALUE"""),2896.85)</f>
        <v>2896.85</v>
      </c>
      <c r="C8274" s="1">
        <f>IFERROR(__xludf.DUMMYFUNCTION("""COMPUTED_VALUE"""),2906.76)</f>
        <v>2906.76</v>
      </c>
      <c r="D8274" s="1">
        <f>IFERROR(__xludf.DUMMYFUNCTION("""COMPUTED_VALUE"""),2896.39)</f>
        <v>2896.39</v>
      </c>
      <c r="E8274" s="1">
        <f>IFERROR(__xludf.DUMMYFUNCTION("""COMPUTED_VALUE"""),2904.18)</f>
        <v>2904.18</v>
      </c>
      <c r="F8274" s="1">
        <f>IFERROR(__xludf.DUMMYFUNCTION("""COMPUTED_VALUE"""),0.0)</f>
        <v>0</v>
      </c>
    </row>
    <row r="8275">
      <c r="A8275" s="2">
        <f>IFERROR(__xludf.DUMMYFUNCTION("""COMPUTED_VALUE"""),43357.66666666667)</f>
        <v>43357.66667</v>
      </c>
      <c r="B8275" s="1">
        <f>IFERROR(__xludf.DUMMYFUNCTION("""COMPUTED_VALUE"""),2906.38)</f>
        <v>2906.38</v>
      </c>
      <c r="C8275" s="1">
        <f>IFERROR(__xludf.DUMMYFUNCTION("""COMPUTED_VALUE"""),2908.3)</f>
        <v>2908.3</v>
      </c>
      <c r="D8275" s="1">
        <f>IFERROR(__xludf.DUMMYFUNCTION("""COMPUTED_VALUE"""),2895.77)</f>
        <v>2895.77</v>
      </c>
      <c r="E8275" s="1">
        <f>IFERROR(__xludf.DUMMYFUNCTION("""COMPUTED_VALUE"""),2904.98)</f>
        <v>2904.98</v>
      </c>
      <c r="F8275" s="1">
        <f>IFERROR(__xludf.DUMMYFUNCTION("""COMPUTED_VALUE"""),0.0)</f>
        <v>0</v>
      </c>
    </row>
    <row r="8276">
      <c r="A8276" s="2">
        <f>IFERROR(__xludf.DUMMYFUNCTION("""COMPUTED_VALUE"""),43360.66666666667)</f>
        <v>43360.66667</v>
      </c>
      <c r="B8276" s="1">
        <f>IFERROR(__xludf.DUMMYFUNCTION("""COMPUTED_VALUE"""),2903.83)</f>
        <v>2903.83</v>
      </c>
      <c r="C8276" s="1">
        <f>IFERROR(__xludf.DUMMYFUNCTION("""COMPUTED_VALUE"""),2904.65)</f>
        <v>2904.65</v>
      </c>
      <c r="D8276" s="1">
        <f>IFERROR(__xludf.DUMMYFUNCTION("""COMPUTED_VALUE"""),2886.16)</f>
        <v>2886.16</v>
      </c>
      <c r="E8276" s="1">
        <f>IFERROR(__xludf.DUMMYFUNCTION("""COMPUTED_VALUE"""),2888.8)</f>
        <v>2888.8</v>
      </c>
      <c r="F8276" s="1">
        <f>IFERROR(__xludf.DUMMYFUNCTION("""COMPUTED_VALUE"""),0.0)</f>
        <v>0</v>
      </c>
    </row>
    <row r="8277">
      <c r="A8277" s="2">
        <f>IFERROR(__xludf.DUMMYFUNCTION("""COMPUTED_VALUE"""),43361.66666666667)</f>
        <v>43361.66667</v>
      </c>
      <c r="B8277" s="1">
        <f>IFERROR(__xludf.DUMMYFUNCTION("""COMPUTED_VALUE"""),2890.74)</f>
        <v>2890.74</v>
      </c>
      <c r="C8277" s="1">
        <f>IFERROR(__xludf.DUMMYFUNCTION("""COMPUTED_VALUE"""),2911.17)</f>
        <v>2911.17</v>
      </c>
      <c r="D8277" s="1">
        <f>IFERROR(__xludf.DUMMYFUNCTION("""COMPUTED_VALUE"""),2890.43)</f>
        <v>2890.43</v>
      </c>
      <c r="E8277" s="1">
        <f>IFERROR(__xludf.DUMMYFUNCTION("""COMPUTED_VALUE"""),2904.31)</f>
        <v>2904.31</v>
      </c>
      <c r="F8277" s="1">
        <f>IFERROR(__xludf.DUMMYFUNCTION("""COMPUTED_VALUE"""),0.0)</f>
        <v>0</v>
      </c>
    </row>
    <row r="8278">
      <c r="A8278" s="2">
        <f>IFERROR(__xludf.DUMMYFUNCTION("""COMPUTED_VALUE"""),43362.66666666667)</f>
        <v>43362.66667</v>
      </c>
      <c r="B8278" s="1">
        <f>IFERROR(__xludf.DUMMYFUNCTION("""COMPUTED_VALUE"""),2906.6)</f>
        <v>2906.6</v>
      </c>
      <c r="C8278" s="1">
        <f>IFERROR(__xludf.DUMMYFUNCTION("""COMPUTED_VALUE"""),2912.36)</f>
        <v>2912.36</v>
      </c>
      <c r="D8278" s="1">
        <f>IFERROR(__xludf.DUMMYFUNCTION("""COMPUTED_VALUE"""),2903.82)</f>
        <v>2903.82</v>
      </c>
      <c r="E8278" s="1">
        <f>IFERROR(__xludf.DUMMYFUNCTION("""COMPUTED_VALUE"""),2907.95)</f>
        <v>2907.95</v>
      </c>
      <c r="F8278" s="1">
        <f>IFERROR(__xludf.DUMMYFUNCTION("""COMPUTED_VALUE"""),0.0)</f>
        <v>0</v>
      </c>
    </row>
    <row r="8279">
      <c r="A8279" s="2">
        <f>IFERROR(__xludf.DUMMYFUNCTION("""COMPUTED_VALUE"""),43363.66666666667)</f>
        <v>43363.66667</v>
      </c>
      <c r="B8279" s="1">
        <f>IFERROR(__xludf.DUMMYFUNCTION("""COMPUTED_VALUE"""),2919.73)</f>
        <v>2919.73</v>
      </c>
      <c r="C8279" s="1">
        <f>IFERROR(__xludf.DUMMYFUNCTION("""COMPUTED_VALUE"""),2934.8)</f>
        <v>2934.8</v>
      </c>
      <c r="D8279" s="1">
        <f>IFERROR(__xludf.DUMMYFUNCTION("""COMPUTED_VALUE"""),2919.73)</f>
        <v>2919.73</v>
      </c>
      <c r="E8279" s="1">
        <f>IFERROR(__xludf.DUMMYFUNCTION("""COMPUTED_VALUE"""),2930.75)</f>
        <v>2930.75</v>
      </c>
      <c r="F8279" s="1">
        <f>IFERROR(__xludf.DUMMYFUNCTION("""COMPUTED_VALUE"""),0.0)</f>
        <v>0</v>
      </c>
    </row>
    <row r="8280">
      <c r="A8280" s="2">
        <f>IFERROR(__xludf.DUMMYFUNCTION("""COMPUTED_VALUE"""),43364.66666666667)</f>
        <v>43364.66667</v>
      </c>
      <c r="B8280" s="1">
        <f>IFERROR(__xludf.DUMMYFUNCTION("""COMPUTED_VALUE"""),2936.76)</f>
        <v>2936.76</v>
      </c>
      <c r="C8280" s="1">
        <f>IFERROR(__xludf.DUMMYFUNCTION("""COMPUTED_VALUE"""),2940.91)</f>
        <v>2940.91</v>
      </c>
      <c r="D8280" s="1">
        <f>IFERROR(__xludf.DUMMYFUNCTION("""COMPUTED_VALUE"""),2927.11)</f>
        <v>2927.11</v>
      </c>
      <c r="E8280" s="1">
        <f>IFERROR(__xludf.DUMMYFUNCTION("""COMPUTED_VALUE"""),2929.67)</f>
        <v>2929.67</v>
      </c>
      <c r="F8280" s="1">
        <f>IFERROR(__xludf.DUMMYFUNCTION("""COMPUTED_VALUE"""),0.0)</f>
        <v>0</v>
      </c>
    </row>
    <row r="8281">
      <c r="A8281" s="2">
        <f>IFERROR(__xludf.DUMMYFUNCTION("""COMPUTED_VALUE"""),43367.66666666667)</f>
        <v>43367.66667</v>
      </c>
      <c r="B8281" s="1">
        <f>IFERROR(__xludf.DUMMYFUNCTION("""COMPUTED_VALUE"""),2921.83)</f>
        <v>2921.83</v>
      </c>
      <c r="C8281" s="1">
        <f>IFERROR(__xludf.DUMMYFUNCTION("""COMPUTED_VALUE"""),2923.79)</f>
        <v>2923.79</v>
      </c>
      <c r="D8281" s="1">
        <f>IFERROR(__xludf.DUMMYFUNCTION("""COMPUTED_VALUE"""),2912.63)</f>
        <v>2912.63</v>
      </c>
      <c r="E8281" s="1">
        <f>IFERROR(__xludf.DUMMYFUNCTION("""COMPUTED_VALUE"""),2919.37)</f>
        <v>2919.37</v>
      </c>
      <c r="F8281" s="1">
        <f>IFERROR(__xludf.DUMMYFUNCTION("""COMPUTED_VALUE"""),0.0)</f>
        <v>0</v>
      </c>
    </row>
    <row r="8282">
      <c r="A8282" s="2">
        <f>IFERROR(__xludf.DUMMYFUNCTION("""COMPUTED_VALUE"""),43368.66666666667)</f>
        <v>43368.66667</v>
      </c>
      <c r="B8282" s="1">
        <f>IFERROR(__xludf.DUMMYFUNCTION("""COMPUTED_VALUE"""),2921.75)</f>
        <v>2921.75</v>
      </c>
      <c r="C8282" s="1">
        <f>IFERROR(__xludf.DUMMYFUNCTION("""COMPUTED_VALUE"""),2923.95)</f>
        <v>2923.95</v>
      </c>
      <c r="D8282" s="1">
        <f>IFERROR(__xludf.DUMMYFUNCTION("""COMPUTED_VALUE"""),2913.7)</f>
        <v>2913.7</v>
      </c>
      <c r="E8282" s="1">
        <f>IFERROR(__xludf.DUMMYFUNCTION("""COMPUTED_VALUE"""),2915.56)</f>
        <v>2915.56</v>
      </c>
      <c r="F8282" s="1">
        <f>IFERROR(__xludf.DUMMYFUNCTION("""COMPUTED_VALUE"""),0.0)</f>
        <v>0</v>
      </c>
    </row>
    <row r="8283">
      <c r="A8283" s="2">
        <f>IFERROR(__xludf.DUMMYFUNCTION("""COMPUTED_VALUE"""),43369.66666666667)</f>
        <v>43369.66667</v>
      </c>
      <c r="B8283" s="1">
        <f>IFERROR(__xludf.DUMMYFUNCTION("""COMPUTED_VALUE"""),2916.98)</f>
        <v>2916.98</v>
      </c>
      <c r="C8283" s="1">
        <f>IFERROR(__xludf.DUMMYFUNCTION("""COMPUTED_VALUE"""),2931.15)</f>
        <v>2931.15</v>
      </c>
      <c r="D8283" s="1">
        <f>IFERROR(__xludf.DUMMYFUNCTION("""COMPUTED_VALUE"""),2903.28)</f>
        <v>2903.28</v>
      </c>
      <c r="E8283" s="1">
        <f>IFERROR(__xludf.DUMMYFUNCTION("""COMPUTED_VALUE"""),2905.97)</f>
        <v>2905.97</v>
      </c>
      <c r="F8283" s="1">
        <f>IFERROR(__xludf.DUMMYFUNCTION("""COMPUTED_VALUE"""),0.0)</f>
        <v>0</v>
      </c>
    </row>
    <row r="8284">
      <c r="A8284" s="2">
        <f>IFERROR(__xludf.DUMMYFUNCTION("""COMPUTED_VALUE"""),43370.66666666667)</f>
        <v>43370.66667</v>
      </c>
      <c r="B8284" s="1">
        <f>IFERROR(__xludf.DUMMYFUNCTION("""COMPUTED_VALUE"""),2911.65)</f>
        <v>2911.65</v>
      </c>
      <c r="C8284" s="1">
        <f>IFERROR(__xludf.DUMMYFUNCTION("""COMPUTED_VALUE"""),2927.22)</f>
        <v>2927.22</v>
      </c>
      <c r="D8284" s="1">
        <f>IFERROR(__xludf.DUMMYFUNCTION("""COMPUTED_VALUE"""),2909.27)</f>
        <v>2909.27</v>
      </c>
      <c r="E8284" s="1">
        <f>IFERROR(__xludf.DUMMYFUNCTION("""COMPUTED_VALUE"""),2914.0)</f>
        <v>2914</v>
      </c>
      <c r="F8284" s="1">
        <f>IFERROR(__xludf.DUMMYFUNCTION("""COMPUTED_VALUE"""),0.0)</f>
        <v>0</v>
      </c>
    </row>
    <row r="8285">
      <c r="A8285" s="2">
        <f>IFERROR(__xludf.DUMMYFUNCTION("""COMPUTED_VALUE"""),43371.66666666667)</f>
        <v>43371.66667</v>
      </c>
      <c r="B8285" s="1">
        <f>IFERROR(__xludf.DUMMYFUNCTION("""COMPUTED_VALUE"""),2910.03)</f>
        <v>2910.03</v>
      </c>
      <c r="C8285" s="1">
        <f>IFERROR(__xludf.DUMMYFUNCTION("""COMPUTED_VALUE"""),2920.53)</f>
        <v>2920.53</v>
      </c>
      <c r="D8285" s="1">
        <f>IFERROR(__xludf.DUMMYFUNCTION("""COMPUTED_VALUE"""),2907.5)</f>
        <v>2907.5</v>
      </c>
      <c r="E8285" s="1">
        <f>IFERROR(__xludf.DUMMYFUNCTION("""COMPUTED_VALUE"""),2913.98)</f>
        <v>2913.98</v>
      </c>
      <c r="F8285" s="1">
        <f>IFERROR(__xludf.DUMMYFUNCTION("""COMPUTED_VALUE"""),0.0)</f>
        <v>0</v>
      </c>
    </row>
    <row r="8286">
      <c r="A8286" s="2">
        <f>IFERROR(__xludf.DUMMYFUNCTION("""COMPUTED_VALUE"""),43374.66666666667)</f>
        <v>43374.66667</v>
      </c>
      <c r="B8286" s="1">
        <f>IFERROR(__xludf.DUMMYFUNCTION("""COMPUTED_VALUE"""),2926.29)</f>
        <v>2926.29</v>
      </c>
      <c r="C8286" s="1">
        <f>IFERROR(__xludf.DUMMYFUNCTION("""COMPUTED_VALUE"""),2937.06)</f>
        <v>2937.06</v>
      </c>
      <c r="D8286" s="1">
        <f>IFERROR(__xludf.DUMMYFUNCTION("""COMPUTED_VALUE"""),2917.91)</f>
        <v>2917.91</v>
      </c>
      <c r="E8286" s="1">
        <f>IFERROR(__xludf.DUMMYFUNCTION("""COMPUTED_VALUE"""),2924.59)</f>
        <v>2924.59</v>
      </c>
      <c r="F8286" s="1">
        <f>IFERROR(__xludf.DUMMYFUNCTION("""COMPUTED_VALUE"""),0.0)</f>
        <v>0</v>
      </c>
    </row>
    <row r="8287">
      <c r="A8287" s="2">
        <f>IFERROR(__xludf.DUMMYFUNCTION("""COMPUTED_VALUE"""),43375.66666666667)</f>
        <v>43375.66667</v>
      </c>
      <c r="B8287" s="1">
        <f>IFERROR(__xludf.DUMMYFUNCTION("""COMPUTED_VALUE"""),2923.8)</f>
        <v>2923.8</v>
      </c>
      <c r="C8287" s="1">
        <f>IFERROR(__xludf.DUMMYFUNCTION("""COMPUTED_VALUE"""),2931.42)</f>
        <v>2931.42</v>
      </c>
      <c r="D8287" s="1">
        <f>IFERROR(__xludf.DUMMYFUNCTION("""COMPUTED_VALUE"""),2919.37)</f>
        <v>2919.37</v>
      </c>
      <c r="E8287" s="1">
        <f>IFERROR(__xludf.DUMMYFUNCTION("""COMPUTED_VALUE"""),2923.43)</f>
        <v>2923.43</v>
      </c>
      <c r="F8287" s="1">
        <f>IFERROR(__xludf.DUMMYFUNCTION("""COMPUTED_VALUE"""),0.0)</f>
        <v>0</v>
      </c>
    </row>
    <row r="8288">
      <c r="A8288" s="2">
        <f>IFERROR(__xludf.DUMMYFUNCTION("""COMPUTED_VALUE"""),43376.66666666667)</f>
        <v>43376.66667</v>
      </c>
      <c r="B8288" s="1">
        <f>IFERROR(__xludf.DUMMYFUNCTION("""COMPUTED_VALUE"""),2931.69)</f>
        <v>2931.69</v>
      </c>
      <c r="C8288" s="1">
        <f>IFERROR(__xludf.DUMMYFUNCTION("""COMPUTED_VALUE"""),2939.86)</f>
        <v>2939.86</v>
      </c>
      <c r="D8288" s="1">
        <f>IFERROR(__xludf.DUMMYFUNCTION("""COMPUTED_VALUE"""),2921.36)</f>
        <v>2921.36</v>
      </c>
      <c r="E8288" s="1">
        <f>IFERROR(__xludf.DUMMYFUNCTION("""COMPUTED_VALUE"""),2925.51)</f>
        <v>2925.51</v>
      </c>
      <c r="F8288" s="1">
        <f>IFERROR(__xludf.DUMMYFUNCTION("""COMPUTED_VALUE"""),0.0)</f>
        <v>0</v>
      </c>
    </row>
    <row r="8289">
      <c r="A8289" s="2">
        <f>IFERROR(__xludf.DUMMYFUNCTION("""COMPUTED_VALUE"""),43377.66666666667)</f>
        <v>43377.66667</v>
      </c>
      <c r="B8289" s="1">
        <f>IFERROR(__xludf.DUMMYFUNCTION("""COMPUTED_VALUE"""),2919.35)</f>
        <v>2919.35</v>
      </c>
      <c r="C8289" s="1">
        <f>IFERROR(__xludf.DUMMYFUNCTION("""COMPUTED_VALUE"""),2919.78)</f>
        <v>2919.78</v>
      </c>
      <c r="D8289" s="1">
        <f>IFERROR(__xludf.DUMMYFUNCTION("""COMPUTED_VALUE"""),2883.92)</f>
        <v>2883.92</v>
      </c>
      <c r="E8289" s="1">
        <f>IFERROR(__xludf.DUMMYFUNCTION("""COMPUTED_VALUE"""),2901.61)</f>
        <v>2901.61</v>
      </c>
      <c r="F8289" s="1">
        <f>IFERROR(__xludf.DUMMYFUNCTION("""COMPUTED_VALUE"""),0.0)</f>
        <v>0</v>
      </c>
    </row>
    <row r="8290">
      <c r="A8290" s="2">
        <f>IFERROR(__xludf.DUMMYFUNCTION("""COMPUTED_VALUE"""),43378.66666666667)</f>
        <v>43378.66667</v>
      </c>
      <c r="B8290" s="1">
        <f>IFERROR(__xludf.DUMMYFUNCTION("""COMPUTED_VALUE"""),2902.54)</f>
        <v>2902.54</v>
      </c>
      <c r="C8290" s="1">
        <f>IFERROR(__xludf.DUMMYFUNCTION("""COMPUTED_VALUE"""),2909.64)</f>
        <v>2909.64</v>
      </c>
      <c r="D8290" s="1">
        <f>IFERROR(__xludf.DUMMYFUNCTION("""COMPUTED_VALUE"""),2869.29)</f>
        <v>2869.29</v>
      </c>
      <c r="E8290" s="1">
        <f>IFERROR(__xludf.DUMMYFUNCTION("""COMPUTED_VALUE"""),2885.57)</f>
        <v>2885.57</v>
      </c>
      <c r="F8290" s="1">
        <f>IFERROR(__xludf.DUMMYFUNCTION("""COMPUTED_VALUE"""),0.0)</f>
        <v>0</v>
      </c>
    </row>
    <row r="8291">
      <c r="A8291" s="2">
        <f>IFERROR(__xludf.DUMMYFUNCTION("""COMPUTED_VALUE"""),43381.66666666667)</f>
        <v>43381.66667</v>
      </c>
      <c r="B8291" s="1">
        <f>IFERROR(__xludf.DUMMYFUNCTION("""COMPUTED_VALUE"""),2877.53)</f>
        <v>2877.53</v>
      </c>
      <c r="C8291" s="1">
        <f>IFERROR(__xludf.DUMMYFUNCTION("""COMPUTED_VALUE"""),2889.45)</f>
        <v>2889.45</v>
      </c>
      <c r="D8291" s="1">
        <f>IFERROR(__xludf.DUMMYFUNCTION("""COMPUTED_VALUE"""),2862.08)</f>
        <v>2862.08</v>
      </c>
      <c r="E8291" s="1">
        <f>IFERROR(__xludf.DUMMYFUNCTION("""COMPUTED_VALUE"""),2884.43)</f>
        <v>2884.43</v>
      </c>
      <c r="F8291" s="1">
        <f>IFERROR(__xludf.DUMMYFUNCTION("""COMPUTED_VALUE"""),0.0)</f>
        <v>0</v>
      </c>
    </row>
    <row r="8292">
      <c r="A8292" s="2">
        <f>IFERROR(__xludf.DUMMYFUNCTION("""COMPUTED_VALUE"""),43382.66666666667)</f>
        <v>43382.66667</v>
      </c>
      <c r="B8292" s="1">
        <f>IFERROR(__xludf.DUMMYFUNCTION("""COMPUTED_VALUE"""),2882.51)</f>
        <v>2882.51</v>
      </c>
      <c r="C8292" s="1">
        <f>IFERROR(__xludf.DUMMYFUNCTION("""COMPUTED_VALUE"""),2894.83)</f>
        <v>2894.83</v>
      </c>
      <c r="D8292" s="1">
        <f>IFERROR(__xludf.DUMMYFUNCTION("""COMPUTED_VALUE"""),2874.27)</f>
        <v>2874.27</v>
      </c>
      <c r="E8292" s="1">
        <f>IFERROR(__xludf.DUMMYFUNCTION("""COMPUTED_VALUE"""),2880.34)</f>
        <v>2880.34</v>
      </c>
      <c r="F8292" s="1">
        <f>IFERROR(__xludf.DUMMYFUNCTION("""COMPUTED_VALUE"""),0.0)</f>
        <v>0</v>
      </c>
    </row>
    <row r="8293">
      <c r="A8293" s="2">
        <f>IFERROR(__xludf.DUMMYFUNCTION("""COMPUTED_VALUE"""),43383.66666666667)</f>
        <v>43383.66667</v>
      </c>
      <c r="B8293" s="1">
        <f>IFERROR(__xludf.DUMMYFUNCTION("""COMPUTED_VALUE"""),2873.9)</f>
        <v>2873.9</v>
      </c>
      <c r="C8293" s="1">
        <f>IFERROR(__xludf.DUMMYFUNCTION("""COMPUTED_VALUE"""),2874.02)</f>
        <v>2874.02</v>
      </c>
      <c r="D8293" s="1">
        <f>IFERROR(__xludf.DUMMYFUNCTION("""COMPUTED_VALUE"""),2784.86)</f>
        <v>2784.86</v>
      </c>
      <c r="E8293" s="1">
        <f>IFERROR(__xludf.DUMMYFUNCTION("""COMPUTED_VALUE"""),2785.68)</f>
        <v>2785.68</v>
      </c>
      <c r="F8293" s="1">
        <f>IFERROR(__xludf.DUMMYFUNCTION("""COMPUTED_VALUE"""),0.0)</f>
        <v>0</v>
      </c>
    </row>
    <row r="8294">
      <c r="A8294" s="2">
        <f>IFERROR(__xludf.DUMMYFUNCTION("""COMPUTED_VALUE"""),43384.66666666667)</f>
        <v>43384.66667</v>
      </c>
      <c r="B8294" s="1">
        <f>IFERROR(__xludf.DUMMYFUNCTION("""COMPUTED_VALUE"""),2776.87)</f>
        <v>2776.87</v>
      </c>
      <c r="C8294" s="1">
        <f>IFERROR(__xludf.DUMMYFUNCTION("""COMPUTED_VALUE"""),2795.14)</f>
        <v>2795.14</v>
      </c>
      <c r="D8294" s="1">
        <f>IFERROR(__xludf.DUMMYFUNCTION("""COMPUTED_VALUE"""),2710.51)</f>
        <v>2710.51</v>
      </c>
      <c r="E8294" s="1">
        <f>IFERROR(__xludf.DUMMYFUNCTION("""COMPUTED_VALUE"""),2728.37)</f>
        <v>2728.37</v>
      </c>
      <c r="F8294" s="1">
        <f>IFERROR(__xludf.DUMMYFUNCTION("""COMPUTED_VALUE"""),0.0)</f>
        <v>0</v>
      </c>
    </row>
    <row r="8295">
      <c r="A8295" s="2">
        <f>IFERROR(__xludf.DUMMYFUNCTION("""COMPUTED_VALUE"""),43385.66666666667)</f>
        <v>43385.66667</v>
      </c>
      <c r="B8295" s="1">
        <f>IFERROR(__xludf.DUMMYFUNCTION("""COMPUTED_VALUE"""),2770.54)</f>
        <v>2770.54</v>
      </c>
      <c r="C8295" s="1">
        <f>IFERROR(__xludf.DUMMYFUNCTION("""COMPUTED_VALUE"""),2775.77)</f>
        <v>2775.77</v>
      </c>
      <c r="D8295" s="1">
        <f>IFERROR(__xludf.DUMMYFUNCTION("""COMPUTED_VALUE"""),2729.44)</f>
        <v>2729.44</v>
      </c>
      <c r="E8295" s="1">
        <f>IFERROR(__xludf.DUMMYFUNCTION("""COMPUTED_VALUE"""),2767.13)</f>
        <v>2767.13</v>
      </c>
      <c r="F8295" s="1">
        <f>IFERROR(__xludf.DUMMYFUNCTION("""COMPUTED_VALUE"""),0.0)</f>
        <v>0</v>
      </c>
    </row>
    <row r="8296">
      <c r="A8296" s="2">
        <f>IFERROR(__xludf.DUMMYFUNCTION("""COMPUTED_VALUE"""),43388.66666666667)</f>
        <v>43388.66667</v>
      </c>
      <c r="B8296" s="1">
        <f>IFERROR(__xludf.DUMMYFUNCTION("""COMPUTED_VALUE"""),2763.83)</f>
        <v>2763.83</v>
      </c>
      <c r="C8296" s="1">
        <f>IFERROR(__xludf.DUMMYFUNCTION("""COMPUTED_VALUE"""),2775.99)</f>
        <v>2775.99</v>
      </c>
      <c r="D8296" s="1">
        <f>IFERROR(__xludf.DUMMYFUNCTION("""COMPUTED_VALUE"""),2749.03)</f>
        <v>2749.03</v>
      </c>
      <c r="E8296" s="1">
        <f>IFERROR(__xludf.DUMMYFUNCTION("""COMPUTED_VALUE"""),2750.79)</f>
        <v>2750.79</v>
      </c>
      <c r="F8296" s="1">
        <f>IFERROR(__xludf.DUMMYFUNCTION("""COMPUTED_VALUE"""),0.0)</f>
        <v>0</v>
      </c>
    </row>
    <row r="8297">
      <c r="A8297" s="2">
        <f>IFERROR(__xludf.DUMMYFUNCTION("""COMPUTED_VALUE"""),43389.66666666667)</f>
        <v>43389.66667</v>
      </c>
      <c r="B8297" s="1">
        <f>IFERROR(__xludf.DUMMYFUNCTION("""COMPUTED_VALUE"""),2767.05)</f>
        <v>2767.05</v>
      </c>
      <c r="C8297" s="1">
        <f>IFERROR(__xludf.DUMMYFUNCTION("""COMPUTED_VALUE"""),2813.46)</f>
        <v>2813.46</v>
      </c>
      <c r="D8297" s="1">
        <f>IFERROR(__xludf.DUMMYFUNCTION("""COMPUTED_VALUE"""),2766.91)</f>
        <v>2766.91</v>
      </c>
      <c r="E8297" s="1">
        <f>IFERROR(__xludf.DUMMYFUNCTION("""COMPUTED_VALUE"""),2809.92)</f>
        <v>2809.92</v>
      </c>
      <c r="F8297" s="1">
        <f>IFERROR(__xludf.DUMMYFUNCTION("""COMPUTED_VALUE"""),0.0)</f>
        <v>0</v>
      </c>
    </row>
    <row r="8298">
      <c r="A8298" s="2">
        <f>IFERROR(__xludf.DUMMYFUNCTION("""COMPUTED_VALUE"""),43390.66666666667)</f>
        <v>43390.66667</v>
      </c>
      <c r="B8298" s="1">
        <f>IFERROR(__xludf.DUMMYFUNCTION("""COMPUTED_VALUE"""),2811.67)</f>
        <v>2811.67</v>
      </c>
      <c r="C8298" s="1">
        <f>IFERROR(__xludf.DUMMYFUNCTION("""COMPUTED_VALUE"""),2816.94)</f>
        <v>2816.94</v>
      </c>
      <c r="D8298" s="1">
        <f>IFERROR(__xludf.DUMMYFUNCTION("""COMPUTED_VALUE"""),2781.81)</f>
        <v>2781.81</v>
      </c>
      <c r="E8298" s="1">
        <f>IFERROR(__xludf.DUMMYFUNCTION("""COMPUTED_VALUE"""),2809.21)</f>
        <v>2809.21</v>
      </c>
      <c r="F8298" s="1">
        <f>IFERROR(__xludf.DUMMYFUNCTION("""COMPUTED_VALUE"""),0.0)</f>
        <v>0</v>
      </c>
    </row>
    <row r="8299">
      <c r="A8299" s="2">
        <f>IFERROR(__xludf.DUMMYFUNCTION("""COMPUTED_VALUE"""),43391.66666666667)</f>
        <v>43391.66667</v>
      </c>
      <c r="B8299" s="1">
        <f>IFERROR(__xludf.DUMMYFUNCTION("""COMPUTED_VALUE"""),2802.0)</f>
        <v>2802</v>
      </c>
      <c r="C8299" s="1">
        <f>IFERROR(__xludf.DUMMYFUNCTION("""COMPUTED_VALUE"""),2806.04)</f>
        <v>2806.04</v>
      </c>
      <c r="D8299" s="1">
        <f>IFERROR(__xludf.DUMMYFUNCTION("""COMPUTED_VALUE"""),2755.18)</f>
        <v>2755.18</v>
      </c>
      <c r="E8299" s="1">
        <f>IFERROR(__xludf.DUMMYFUNCTION("""COMPUTED_VALUE"""),2768.78)</f>
        <v>2768.78</v>
      </c>
      <c r="F8299" s="1">
        <f>IFERROR(__xludf.DUMMYFUNCTION("""COMPUTED_VALUE"""),0.0)</f>
        <v>0</v>
      </c>
    </row>
    <row r="8300">
      <c r="A8300" s="2">
        <f>IFERROR(__xludf.DUMMYFUNCTION("""COMPUTED_VALUE"""),43392.66666666667)</f>
        <v>43392.66667</v>
      </c>
      <c r="B8300" s="1">
        <f>IFERROR(__xludf.DUMMYFUNCTION("""COMPUTED_VALUE"""),2775.66)</f>
        <v>2775.66</v>
      </c>
      <c r="C8300" s="1">
        <f>IFERROR(__xludf.DUMMYFUNCTION("""COMPUTED_VALUE"""),2797.77)</f>
        <v>2797.77</v>
      </c>
      <c r="D8300" s="1">
        <f>IFERROR(__xludf.DUMMYFUNCTION("""COMPUTED_VALUE"""),2760.27)</f>
        <v>2760.27</v>
      </c>
      <c r="E8300" s="1">
        <f>IFERROR(__xludf.DUMMYFUNCTION("""COMPUTED_VALUE"""),2767.78)</f>
        <v>2767.78</v>
      </c>
      <c r="F8300" s="1">
        <f>IFERROR(__xludf.DUMMYFUNCTION("""COMPUTED_VALUE"""),0.0)</f>
        <v>0</v>
      </c>
    </row>
    <row r="8301">
      <c r="A8301" s="2">
        <f>IFERROR(__xludf.DUMMYFUNCTION("""COMPUTED_VALUE"""),43395.66666666667)</f>
        <v>43395.66667</v>
      </c>
      <c r="B8301" s="1">
        <f>IFERROR(__xludf.DUMMYFUNCTION("""COMPUTED_VALUE"""),2773.94)</f>
        <v>2773.94</v>
      </c>
      <c r="C8301" s="1">
        <f>IFERROR(__xludf.DUMMYFUNCTION("""COMPUTED_VALUE"""),2778.94)</f>
        <v>2778.94</v>
      </c>
      <c r="D8301" s="1">
        <f>IFERROR(__xludf.DUMMYFUNCTION("""COMPUTED_VALUE"""),2749.22)</f>
        <v>2749.22</v>
      </c>
      <c r="E8301" s="1">
        <f>IFERROR(__xludf.DUMMYFUNCTION("""COMPUTED_VALUE"""),2755.88)</f>
        <v>2755.88</v>
      </c>
      <c r="F8301" s="1">
        <f>IFERROR(__xludf.DUMMYFUNCTION("""COMPUTED_VALUE"""),0.0)</f>
        <v>0</v>
      </c>
    </row>
    <row r="8302">
      <c r="A8302" s="2">
        <f>IFERROR(__xludf.DUMMYFUNCTION("""COMPUTED_VALUE"""),43396.66666666667)</f>
        <v>43396.66667</v>
      </c>
      <c r="B8302" s="1">
        <f>IFERROR(__xludf.DUMMYFUNCTION("""COMPUTED_VALUE"""),2721.03)</f>
        <v>2721.03</v>
      </c>
      <c r="C8302" s="1">
        <f>IFERROR(__xludf.DUMMYFUNCTION("""COMPUTED_VALUE"""),2753.59)</f>
        <v>2753.59</v>
      </c>
      <c r="D8302" s="1">
        <f>IFERROR(__xludf.DUMMYFUNCTION("""COMPUTED_VALUE"""),2691.43)</f>
        <v>2691.43</v>
      </c>
      <c r="E8302" s="1">
        <f>IFERROR(__xludf.DUMMYFUNCTION("""COMPUTED_VALUE"""),2740.69)</f>
        <v>2740.69</v>
      </c>
      <c r="F8302" s="1">
        <f>IFERROR(__xludf.DUMMYFUNCTION("""COMPUTED_VALUE"""),0.0)</f>
        <v>0</v>
      </c>
    </row>
    <row r="8303">
      <c r="A8303" s="2">
        <f>IFERROR(__xludf.DUMMYFUNCTION("""COMPUTED_VALUE"""),43397.66666666667)</f>
        <v>43397.66667</v>
      </c>
      <c r="B8303" s="1">
        <f>IFERROR(__xludf.DUMMYFUNCTION("""COMPUTED_VALUE"""),2737.87)</f>
        <v>2737.87</v>
      </c>
      <c r="C8303" s="1">
        <f>IFERROR(__xludf.DUMMYFUNCTION("""COMPUTED_VALUE"""),2742.59)</f>
        <v>2742.59</v>
      </c>
      <c r="D8303" s="1">
        <f>IFERROR(__xludf.DUMMYFUNCTION("""COMPUTED_VALUE"""),2651.89)</f>
        <v>2651.89</v>
      </c>
      <c r="E8303" s="1">
        <f>IFERROR(__xludf.DUMMYFUNCTION("""COMPUTED_VALUE"""),2656.1)</f>
        <v>2656.1</v>
      </c>
      <c r="F8303" s="1">
        <f>IFERROR(__xludf.DUMMYFUNCTION("""COMPUTED_VALUE"""),0.0)</f>
        <v>0</v>
      </c>
    </row>
    <row r="8304">
      <c r="A8304" s="2">
        <f>IFERROR(__xludf.DUMMYFUNCTION("""COMPUTED_VALUE"""),43398.66666666667)</f>
        <v>43398.66667</v>
      </c>
      <c r="B8304" s="1">
        <f>IFERROR(__xludf.DUMMYFUNCTION("""COMPUTED_VALUE"""),2674.88)</f>
        <v>2674.88</v>
      </c>
      <c r="C8304" s="1">
        <f>IFERROR(__xludf.DUMMYFUNCTION("""COMPUTED_VALUE"""),2722.7)</f>
        <v>2722.7</v>
      </c>
      <c r="D8304" s="1">
        <f>IFERROR(__xludf.DUMMYFUNCTION("""COMPUTED_VALUE"""),2667.84)</f>
        <v>2667.84</v>
      </c>
      <c r="E8304" s="1">
        <f>IFERROR(__xludf.DUMMYFUNCTION("""COMPUTED_VALUE"""),2705.57)</f>
        <v>2705.57</v>
      </c>
      <c r="F8304" s="1">
        <f>IFERROR(__xludf.DUMMYFUNCTION("""COMPUTED_VALUE"""),0.0)</f>
        <v>0</v>
      </c>
    </row>
    <row r="8305">
      <c r="A8305" s="2">
        <f>IFERROR(__xludf.DUMMYFUNCTION("""COMPUTED_VALUE"""),43399.66666666667)</f>
        <v>43399.66667</v>
      </c>
      <c r="B8305" s="1">
        <f>IFERROR(__xludf.DUMMYFUNCTION("""COMPUTED_VALUE"""),2667.86)</f>
        <v>2667.86</v>
      </c>
      <c r="C8305" s="1">
        <f>IFERROR(__xludf.DUMMYFUNCTION("""COMPUTED_VALUE"""),2692.38)</f>
        <v>2692.38</v>
      </c>
      <c r="D8305" s="1">
        <f>IFERROR(__xludf.DUMMYFUNCTION("""COMPUTED_VALUE"""),2628.16)</f>
        <v>2628.16</v>
      </c>
      <c r="E8305" s="1">
        <f>IFERROR(__xludf.DUMMYFUNCTION("""COMPUTED_VALUE"""),2658.69)</f>
        <v>2658.69</v>
      </c>
      <c r="F8305" s="1">
        <f>IFERROR(__xludf.DUMMYFUNCTION("""COMPUTED_VALUE"""),0.0)</f>
        <v>0</v>
      </c>
    </row>
    <row r="8306">
      <c r="A8306" s="2">
        <f>IFERROR(__xludf.DUMMYFUNCTION("""COMPUTED_VALUE"""),43402.66666666667)</f>
        <v>43402.66667</v>
      </c>
      <c r="B8306" s="1">
        <f>IFERROR(__xludf.DUMMYFUNCTION("""COMPUTED_VALUE"""),2682.65)</f>
        <v>2682.65</v>
      </c>
      <c r="C8306" s="1">
        <f>IFERROR(__xludf.DUMMYFUNCTION("""COMPUTED_VALUE"""),2706.85)</f>
        <v>2706.85</v>
      </c>
      <c r="D8306" s="1">
        <f>IFERROR(__xludf.DUMMYFUNCTION("""COMPUTED_VALUE"""),2603.54)</f>
        <v>2603.54</v>
      </c>
      <c r="E8306" s="1">
        <f>IFERROR(__xludf.DUMMYFUNCTION("""COMPUTED_VALUE"""),2641.25)</f>
        <v>2641.25</v>
      </c>
      <c r="F8306" s="1">
        <f>IFERROR(__xludf.DUMMYFUNCTION("""COMPUTED_VALUE"""),0.0)</f>
        <v>0</v>
      </c>
    </row>
    <row r="8307">
      <c r="A8307" s="2">
        <f>IFERROR(__xludf.DUMMYFUNCTION("""COMPUTED_VALUE"""),43403.66666666667)</f>
        <v>43403.66667</v>
      </c>
      <c r="B8307" s="1">
        <f>IFERROR(__xludf.DUMMYFUNCTION("""COMPUTED_VALUE"""),2640.68)</f>
        <v>2640.68</v>
      </c>
      <c r="C8307" s="1">
        <f>IFERROR(__xludf.DUMMYFUNCTION("""COMPUTED_VALUE"""),2685.43)</f>
        <v>2685.43</v>
      </c>
      <c r="D8307" s="1">
        <f>IFERROR(__xludf.DUMMYFUNCTION("""COMPUTED_VALUE"""),2635.34)</f>
        <v>2635.34</v>
      </c>
      <c r="E8307" s="1">
        <f>IFERROR(__xludf.DUMMYFUNCTION("""COMPUTED_VALUE"""),2682.63)</f>
        <v>2682.63</v>
      </c>
      <c r="F8307" s="1">
        <f>IFERROR(__xludf.DUMMYFUNCTION("""COMPUTED_VALUE"""),0.0)</f>
        <v>0</v>
      </c>
    </row>
    <row r="8308">
      <c r="A8308" s="2">
        <f>IFERROR(__xludf.DUMMYFUNCTION("""COMPUTED_VALUE"""),43404.66666666667)</f>
        <v>43404.66667</v>
      </c>
      <c r="B8308" s="1">
        <f>IFERROR(__xludf.DUMMYFUNCTION("""COMPUTED_VALUE"""),2705.6)</f>
        <v>2705.6</v>
      </c>
      <c r="C8308" s="1">
        <f>IFERROR(__xludf.DUMMYFUNCTION("""COMPUTED_VALUE"""),2736.69)</f>
        <v>2736.69</v>
      </c>
      <c r="D8308" s="1">
        <f>IFERROR(__xludf.DUMMYFUNCTION("""COMPUTED_VALUE"""),2705.6)</f>
        <v>2705.6</v>
      </c>
      <c r="E8308" s="1">
        <f>IFERROR(__xludf.DUMMYFUNCTION("""COMPUTED_VALUE"""),2711.74)</f>
        <v>2711.74</v>
      </c>
      <c r="F8308" s="1">
        <f>IFERROR(__xludf.DUMMYFUNCTION("""COMPUTED_VALUE"""),0.0)</f>
        <v>0</v>
      </c>
    </row>
    <row r="8309">
      <c r="A8309" s="2">
        <f>IFERROR(__xludf.DUMMYFUNCTION("""COMPUTED_VALUE"""),43405.66666666667)</f>
        <v>43405.66667</v>
      </c>
      <c r="B8309" s="1">
        <f>IFERROR(__xludf.DUMMYFUNCTION("""COMPUTED_VALUE"""),2717.58)</f>
        <v>2717.58</v>
      </c>
      <c r="C8309" s="1">
        <f>IFERROR(__xludf.DUMMYFUNCTION("""COMPUTED_VALUE"""),2741.67)</f>
        <v>2741.67</v>
      </c>
      <c r="D8309" s="1">
        <f>IFERROR(__xludf.DUMMYFUNCTION("""COMPUTED_VALUE"""),2708.85)</f>
        <v>2708.85</v>
      </c>
      <c r="E8309" s="1">
        <f>IFERROR(__xludf.DUMMYFUNCTION("""COMPUTED_VALUE"""),2740.37)</f>
        <v>2740.37</v>
      </c>
      <c r="F8309" s="1">
        <f>IFERROR(__xludf.DUMMYFUNCTION("""COMPUTED_VALUE"""),0.0)</f>
        <v>0</v>
      </c>
    </row>
    <row r="8310">
      <c r="A8310" s="2">
        <f>IFERROR(__xludf.DUMMYFUNCTION("""COMPUTED_VALUE"""),43406.66666666667)</f>
        <v>43406.66667</v>
      </c>
      <c r="B8310" s="1">
        <f>IFERROR(__xludf.DUMMYFUNCTION("""COMPUTED_VALUE"""),2745.45)</f>
        <v>2745.45</v>
      </c>
      <c r="C8310" s="1">
        <f>IFERROR(__xludf.DUMMYFUNCTION("""COMPUTED_VALUE"""),2756.55)</f>
        <v>2756.55</v>
      </c>
      <c r="D8310" s="1">
        <f>IFERROR(__xludf.DUMMYFUNCTION("""COMPUTED_VALUE"""),2700.44)</f>
        <v>2700.44</v>
      </c>
      <c r="E8310" s="1">
        <f>IFERROR(__xludf.DUMMYFUNCTION("""COMPUTED_VALUE"""),2723.06)</f>
        <v>2723.06</v>
      </c>
      <c r="F8310" s="1">
        <f>IFERROR(__xludf.DUMMYFUNCTION("""COMPUTED_VALUE"""),0.0)</f>
        <v>0</v>
      </c>
    </row>
    <row r="8311">
      <c r="A8311" s="2">
        <f>IFERROR(__xludf.DUMMYFUNCTION("""COMPUTED_VALUE"""),43409.66666666667)</f>
        <v>43409.66667</v>
      </c>
      <c r="B8311" s="1">
        <f>IFERROR(__xludf.DUMMYFUNCTION("""COMPUTED_VALUE"""),2726.37)</f>
        <v>2726.37</v>
      </c>
      <c r="C8311" s="1">
        <f>IFERROR(__xludf.DUMMYFUNCTION("""COMPUTED_VALUE"""),2744.27)</f>
        <v>2744.27</v>
      </c>
      <c r="D8311" s="1">
        <f>IFERROR(__xludf.DUMMYFUNCTION("""COMPUTED_VALUE"""),2717.94)</f>
        <v>2717.94</v>
      </c>
      <c r="E8311" s="1">
        <f>IFERROR(__xludf.DUMMYFUNCTION("""COMPUTED_VALUE"""),2738.31)</f>
        <v>2738.31</v>
      </c>
      <c r="F8311" s="1">
        <f>IFERROR(__xludf.DUMMYFUNCTION("""COMPUTED_VALUE"""),0.0)</f>
        <v>0</v>
      </c>
    </row>
    <row r="8312">
      <c r="A8312" s="2">
        <f>IFERROR(__xludf.DUMMYFUNCTION("""COMPUTED_VALUE"""),43410.66666666667)</f>
        <v>43410.66667</v>
      </c>
      <c r="B8312" s="1">
        <f>IFERROR(__xludf.DUMMYFUNCTION("""COMPUTED_VALUE"""),2738.4)</f>
        <v>2738.4</v>
      </c>
      <c r="C8312" s="1">
        <f>IFERROR(__xludf.DUMMYFUNCTION("""COMPUTED_VALUE"""),2756.82)</f>
        <v>2756.82</v>
      </c>
      <c r="D8312" s="1">
        <f>IFERROR(__xludf.DUMMYFUNCTION("""COMPUTED_VALUE"""),2737.08)</f>
        <v>2737.08</v>
      </c>
      <c r="E8312" s="1">
        <f>IFERROR(__xludf.DUMMYFUNCTION("""COMPUTED_VALUE"""),2755.45)</f>
        <v>2755.45</v>
      </c>
      <c r="F8312" s="1">
        <f>IFERROR(__xludf.DUMMYFUNCTION("""COMPUTED_VALUE"""),0.0)</f>
        <v>0</v>
      </c>
    </row>
    <row r="8313">
      <c r="A8313" s="2">
        <f>IFERROR(__xludf.DUMMYFUNCTION("""COMPUTED_VALUE"""),43411.66666666667)</f>
        <v>43411.66667</v>
      </c>
      <c r="B8313" s="1">
        <f>IFERROR(__xludf.DUMMYFUNCTION("""COMPUTED_VALUE"""),2774.13)</f>
        <v>2774.13</v>
      </c>
      <c r="C8313" s="1">
        <f>IFERROR(__xludf.DUMMYFUNCTION("""COMPUTED_VALUE"""),2815.15)</f>
        <v>2815.15</v>
      </c>
      <c r="D8313" s="1">
        <f>IFERROR(__xludf.DUMMYFUNCTION("""COMPUTED_VALUE"""),2774.13)</f>
        <v>2774.13</v>
      </c>
      <c r="E8313" s="1">
        <f>IFERROR(__xludf.DUMMYFUNCTION("""COMPUTED_VALUE"""),2813.89)</f>
        <v>2813.89</v>
      </c>
      <c r="F8313" s="1">
        <f>IFERROR(__xludf.DUMMYFUNCTION("""COMPUTED_VALUE"""),0.0)</f>
        <v>0</v>
      </c>
    </row>
    <row r="8314">
      <c r="A8314" s="2">
        <f>IFERROR(__xludf.DUMMYFUNCTION("""COMPUTED_VALUE"""),43412.66666666667)</f>
        <v>43412.66667</v>
      </c>
      <c r="B8314" s="1">
        <f>IFERROR(__xludf.DUMMYFUNCTION("""COMPUTED_VALUE"""),2806.38)</f>
        <v>2806.38</v>
      </c>
      <c r="C8314" s="1">
        <f>IFERROR(__xludf.DUMMYFUNCTION("""COMPUTED_VALUE"""),2814.75)</f>
        <v>2814.75</v>
      </c>
      <c r="D8314" s="1">
        <f>IFERROR(__xludf.DUMMYFUNCTION("""COMPUTED_VALUE"""),2794.99)</f>
        <v>2794.99</v>
      </c>
      <c r="E8314" s="1">
        <f>IFERROR(__xludf.DUMMYFUNCTION("""COMPUTED_VALUE"""),2806.83)</f>
        <v>2806.83</v>
      </c>
      <c r="F8314" s="1">
        <f>IFERROR(__xludf.DUMMYFUNCTION("""COMPUTED_VALUE"""),0.0)</f>
        <v>0</v>
      </c>
    </row>
    <row r="8315">
      <c r="A8315" s="2">
        <f>IFERROR(__xludf.DUMMYFUNCTION("""COMPUTED_VALUE"""),43413.66666666667)</f>
        <v>43413.66667</v>
      </c>
      <c r="B8315" s="1">
        <f>IFERROR(__xludf.DUMMYFUNCTION("""COMPUTED_VALUE"""),2794.1)</f>
        <v>2794.1</v>
      </c>
      <c r="C8315" s="1">
        <f>IFERROR(__xludf.DUMMYFUNCTION("""COMPUTED_VALUE"""),2794.1)</f>
        <v>2794.1</v>
      </c>
      <c r="D8315" s="1">
        <f>IFERROR(__xludf.DUMMYFUNCTION("""COMPUTED_VALUE"""),2764.24)</f>
        <v>2764.24</v>
      </c>
      <c r="E8315" s="1">
        <f>IFERROR(__xludf.DUMMYFUNCTION("""COMPUTED_VALUE"""),2781.01)</f>
        <v>2781.01</v>
      </c>
      <c r="F8315" s="1">
        <f>IFERROR(__xludf.DUMMYFUNCTION("""COMPUTED_VALUE"""),0.0)</f>
        <v>0</v>
      </c>
    </row>
    <row r="8316">
      <c r="A8316" s="2">
        <f>IFERROR(__xludf.DUMMYFUNCTION("""COMPUTED_VALUE"""),43416.66666666667)</f>
        <v>43416.66667</v>
      </c>
      <c r="B8316" s="1">
        <f>IFERROR(__xludf.DUMMYFUNCTION("""COMPUTED_VALUE"""),2773.93)</f>
        <v>2773.93</v>
      </c>
      <c r="C8316" s="1">
        <f>IFERROR(__xludf.DUMMYFUNCTION("""COMPUTED_VALUE"""),2775.99)</f>
        <v>2775.99</v>
      </c>
      <c r="D8316" s="1">
        <f>IFERROR(__xludf.DUMMYFUNCTION("""COMPUTED_VALUE"""),2722.0)</f>
        <v>2722</v>
      </c>
      <c r="E8316" s="1">
        <f>IFERROR(__xludf.DUMMYFUNCTION("""COMPUTED_VALUE"""),2726.22)</f>
        <v>2726.22</v>
      </c>
      <c r="F8316" s="1">
        <f>IFERROR(__xludf.DUMMYFUNCTION("""COMPUTED_VALUE"""),0.0)</f>
        <v>0</v>
      </c>
    </row>
    <row r="8317">
      <c r="A8317" s="2">
        <f>IFERROR(__xludf.DUMMYFUNCTION("""COMPUTED_VALUE"""),43417.66666666667)</f>
        <v>43417.66667</v>
      </c>
      <c r="B8317" s="1">
        <f>IFERROR(__xludf.DUMMYFUNCTION("""COMPUTED_VALUE"""),2730.05)</f>
        <v>2730.05</v>
      </c>
      <c r="C8317" s="1">
        <f>IFERROR(__xludf.DUMMYFUNCTION("""COMPUTED_VALUE"""),2754.6)</f>
        <v>2754.6</v>
      </c>
      <c r="D8317" s="1">
        <f>IFERROR(__xludf.DUMMYFUNCTION("""COMPUTED_VALUE"""),2714.98)</f>
        <v>2714.98</v>
      </c>
      <c r="E8317" s="1">
        <f>IFERROR(__xludf.DUMMYFUNCTION("""COMPUTED_VALUE"""),2722.18)</f>
        <v>2722.18</v>
      </c>
      <c r="F8317" s="1">
        <f>IFERROR(__xludf.DUMMYFUNCTION("""COMPUTED_VALUE"""),0.0)</f>
        <v>0</v>
      </c>
    </row>
    <row r="8318">
      <c r="A8318" s="2">
        <f>IFERROR(__xludf.DUMMYFUNCTION("""COMPUTED_VALUE"""),43418.66666666667)</f>
        <v>43418.66667</v>
      </c>
      <c r="B8318" s="1">
        <f>IFERROR(__xludf.DUMMYFUNCTION("""COMPUTED_VALUE"""),2737.9)</f>
        <v>2737.9</v>
      </c>
      <c r="C8318" s="1">
        <f>IFERROR(__xludf.DUMMYFUNCTION("""COMPUTED_VALUE"""),2746.8)</f>
        <v>2746.8</v>
      </c>
      <c r="D8318" s="1">
        <f>IFERROR(__xludf.DUMMYFUNCTION("""COMPUTED_VALUE"""),2685.75)</f>
        <v>2685.75</v>
      </c>
      <c r="E8318" s="1">
        <f>IFERROR(__xludf.DUMMYFUNCTION("""COMPUTED_VALUE"""),2701.58)</f>
        <v>2701.58</v>
      </c>
      <c r="F8318" s="1">
        <f>IFERROR(__xludf.DUMMYFUNCTION("""COMPUTED_VALUE"""),0.0)</f>
        <v>0</v>
      </c>
    </row>
    <row r="8319">
      <c r="A8319" s="2">
        <f>IFERROR(__xludf.DUMMYFUNCTION("""COMPUTED_VALUE"""),43419.66666666667)</f>
        <v>43419.66667</v>
      </c>
      <c r="B8319" s="1">
        <f>IFERROR(__xludf.DUMMYFUNCTION("""COMPUTED_VALUE"""),2693.52)</f>
        <v>2693.52</v>
      </c>
      <c r="C8319" s="1">
        <f>IFERROR(__xludf.DUMMYFUNCTION("""COMPUTED_VALUE"""),2735.38)</f>
        <v>2735.38</v>
      </c>
      <c r="D8319" s="1">
        <f>IFERROR(__xludf.DUMMYFUNCTION("""COMPUTED_VALUE"""),2670.75)</f>
        <v>2670.75</v>
      </c>
      <c r="E8319" s="1">
        <f>IFERROR(__xludf.DUMMYFUNCTION("""COMPUTED_VALUE"""),2730.2)</f>
        <v>2730.2</v>
      </c>
      <c r="F8319" s="1">
        <f>IFERROR(__xludf.DUMMYFUNCTION("""COMPUTED_VALUE"""),0.0)</f>
        <v>0</v>
      </c>
    </row>
    <row r="8320">
      <c r="A8320" s="2">
        <f>IFERROR(__xludf.DUMMYFUNCTION("""COMPUTED_VALUE"""),43420.66666666667)</f>
        <v>43420.66667</v>
      </c>
      <c r="B8320" s="1">
        <f>IFERROR(__xludf.DUMMYFUNCTION("""COMPUTED_VALUE"""),2718.54)</f>
        <v>2718.54</v>
      </c>
      <c r="C8320" s="1">
        <f>IFERROR(__xludf.DUMMYFUNCTION("""COMPUTED_VALUE"""),2746.75)</f>
        <v>2746.75</v>
      </c>
      <c r="D8320" s="1">
        <f>IFERROR(__xludf.DUMMYFUNCTION("""COMPUTED_VALUE"""),2712.16)</f>
        <v>2712.16</v>
      </c>
      <c r="E8320" s="1">
        <f>IFERROR(__xludf.DUMMYFUNCTION("""COMPUTED_VALUE"""),2736.27)</f>
        <v>2736.27</v>
      </c>
      <c r="F8320" s="1">
        <f>IFERROR(__xludf.DUMMYFUNCTION("""COMPUTED_VALUE"""),0.0)</f>
        <v>0</v>
      </c>
    </row>
    <row r="8321">
      <c r="A8321" s="2">
        <f>IFERROR(__xludf.DUMMYFUNCTION("""COMPUTED_VALUE"""),43423.66666666667)</f>
        <v>43423.66667</v>
      </c>
      <c r="B8321" s="1">
        <f>IFERROR(__xludf.DUMMYFUNCTION("""COMPUTED_VALUE"""),2730.74)</f>
        <v>2730.74</v>
      </c>
      <c r="C8321" s="1">
        <f>IFERROR(__xludf.DUMMYFUNCTION("""COMPUTED_VALUE"""),2733.16)</f>
        <v>2733.16</v>
      </c>
      <c r="D8321" s="1">
        <f>IFERROR(__xludf.DUMMYFUNCTION("""COMPUTED_VALUE"""),2681.09)</f>
        <v>2681.09</v>
      </c>
      <c r="E8321" s="1">
        <f>IFERROR(__xludf.DUMMYFUNCTION("""COMPUTED_VALUE"""),2690.73)</f>
        <v>2690.73</v>
      </c>
      <c r="F8321" s="1">
        <f>IFERROR(__xludf.DUMMYFUNCTION("""COMPUTED_VALUE"""),0.0)</f>
        <v>0</v>
      </c>
    </row>
    <row r="8322">
      <c r="A8322" s="2">
        <f>IFERROR(__xludf.DUMMYFUNCTION("""COMPUTED_VALUE"""),43424.66666666667)</f>
        <v>43424.66667</v>
      </c>
      <c r="B8322" s="1">
        <f>IFERROR(__xludf.DUMMYFUNCTION("""COMPUTED_VALUE"""),2654.6)</f>
        <v>2654.6</v>
      </c>
      <c r="C8322" s="1">
        <f>IFERROR(__xludf.DUMMYFUNCTION("""COMPUTED_VALUE"""),2669.44)</f>
        <v>2669.44</v>
      </c>
      <c r="D8322" s="1">
        <f>IFERROR(__xludf.DUMMYFUNCTION("""COMPUTED_VALUE"""),2631.52)</f>
        <v>2631.52</v>
      </c>
      <c r="E8322" s="1">
        <f>IFERROR(__xludf.DUMMYFUNCTION("""COMPUTED_VALUE"""),2641.89)</f>
        <v>2641.89</v>
      </c>
      <c r="F8322" s="1">
        <f>IFERROR(__xludf.DUMMYFUNCTION("""COMPUTED_VALUE"""),0.0)</f>
        <v>0</v>
      </c>
    </row>
    <row r="8323">
      <c r="A8323" s="2">
        <f>IFERROR(__xludf.DUMMYFUNCTION("""COMPUTED_VALUE"""),43425.66666666667)</f>
        <v>43425.66667</v>
      </c>
      <c r="B8323" s="1">
        <f>IFERROR(__xludf.DUMMYFUNCTION("""COMPUTED_VALUE"""),2657.74)</f>
        <v>2657.74</v>
      </c>
      <c r="C8323" s="1">
        <f>IFERROR(__xludf.DUMMYFUNCTION("""COMPUTED_VALUE"""),2670.73)</f>
        <v>2670.73</v>
      </c>
      <c r="D8323" s="1">
        <f>IFERROR(__xludf.DUMMYFUNCTION("""COMPUTED_VALUE"""),2649.82)</f>
        <v>2649.82</v>
      </c>
      <c r="E8323" s="1">
        <f>IFERROR(__xludf.DUMMYFUNCTION("""COMPUTED_VALUE"""),2649.93)</f>
        <v>2649.93</v>
      </c>
      <c r="F8323" s="1">
        <f>IFERROR(__xludf.DUMMYFUNCTION("""COMPUTED_VALUE"""),0.0)</f>
        <v>0</v>
      </c>
    </row>
    <row r="8324">
      <c r="A8324" s="2">
        <f>IFERROR(__xludf.DUMMYFUNCTION("""COMPUTED_VALUE"""),43427.54166666667)</f>
        <v>43427.54167</v>
      </c>
      <c r="B8324" s="1">
        <f>IFERROR(__xludf.DUMMYFUNCTION("""COMPUTED_VALUE"""),2633.36)</f>
        <v>2633.36</v>
      </c>
      <c r="C8324" s="1">
        <f>IFERROR(__xludf.DUMMYFUNCTION("""COMPUTED_VALUE"""),2647.55)</f>
        <v>2647.55</v>
      </c>
      <c r="D8324" s="1">
        <f>IFERROR(__xludf.DUMMYFUNCTION("""COMPUTED_VALUE"""),2631.09)</f>
        <v>2631.09</v>
      </c>
      <c r="E8324" s="1">
        <f>IFERROR(__xludf.DUMMYFUNCTION("""COMPUTED_VALUE"""),2632.56)</f>
        <v>2632.56</v>
      </c>
      <c r="F8324" s="1">
        <f>IFERROR(__xludf.DUMMYFUNCTION("""COMPUTED_VALUE"""),0.0)</f>
        <v>0</v>
      </c>
    </row>
    <row r="8325">
      <c r="A8325" s="2">
        <f>IFERROR(__xludf.DUMMYFUNCTION("""COMPUTED_VALUE"""),43430.66666666667)</f>
        <v>43430.66667</v>
      </c>
      <c r="B8325" s="1">
        <f>IFERROR(__xludf.DUMMYFUNCTION("""COMPUTED_VALUE"""),2649.97)</f>
        <v>2649.97</v>
      </c>
      <c r="C8325" s="1">
        <f>IFERROR(__xludf.DUMMYFUNCTION("""COMPUTED_VALUE"""),2674.35)</f>
        <v>2674.35</v>
      </c>
      <c r="D8325" s="1">
        <f>IFERROR(__xludf.DUMMYFUNCTION("""COMPUTED_VALUE"""),2649.97)</f>
        <v>2649.97</v>
      </c>
      <c r="E8325" s="1">
        <f>IFERROR(__xludf.DUMMYFUNCTION("""COMPUTED_VALUE"""),2673.45)</f>
        <v>2673.45</v>
      </c>
      <c r="F8325" s="1">
        <f>IFERROR(__xludf.DUMMYFUNCTION("""COMPUTED_VALUE"""),0.0)</f>
        <v>0</v>
      </c>
    </row>
    <row r="8326">
      <c r="A8326" s="2">
        <f>IFERROR(__xludf.DUMMYFUNCTION("""COMPUTED_VALUE"""),43431.66666666667)</f>
        <v>43431.66667</v>
      </c>
      <c r="B8326" s="1">
        <f>IFERROR(__xludf.DUMMYFUNCTION("""COMPUTED_VALUE"""),2663.75)</f>
        <v>2663.75</v>
      </c>
      <c r="C8326" s="1">
        <f>IFERROR(__xludf.DUMMYFUNCTION("""COMPUTED_VALUE"""),2682.53)</f>
        <v>2682.53</v>
      </c>
      <c r="D8326" s="1">
        <f>IFERROR(__xludf.DUMMYFUNCTION("""COMPUTED_VALUE"""),2655.89)</f>
        <v>2655.89</v>
      </c>
      <c r="E8326" s="1">
        <f>IFERROR(__xludf.DUMMYFUNCTION("""COMPUTED_VALUE"""),2682.17)</f>
        <v>2682.17</v>
      </c>
      <c r="F8326" s="1">
        <f>IFERROR(__xludf.DUMMYFUNCTION("""COMPUTED_VALUE"""),0.0)</f>
        <v>0</v>
      </c>
    </row>
    <row r="8327">
      <c r="A8327" s="2">
        <f>IFERROR(__xludf.DUMMYFUNCTION("""COMPUTED_VALUE"""),43432.66666666667)</f>
        <v>43432.66667</v>
      </c>
      <c r="B8327" s="1">
        <f>IFERROR(__xludf.DUMMYFUNCTION("""COMPUTED_VALUE"""),2691.45)</f>
        <v>2691.45</v>
      </c>
      <c r="C8327" s="1">
        <f>IFERROR(__xludf.DUMMYFUNCTION("""COMPUTED_VALUE"""),2744.0)</f>
        <v>2744</v>
      </c>
      <c r="D8327" s="1">
        <f>IFERROR(__xludf.DUMMYFUNCTION("""COMPUTED_VALUE"""),2684.38)</f>
        <v>2684.38</v>
      </c>
      <c r="E8327" s="1">
        <f>IFERROR(__xludf.DUMMYFUNCTION("""COMPUTED_VALUE"""),2743.79)</f>
        <v>2743.79</v>
      </c>
      <c r="F8327" s="1">
        <f>IFERROR(__xludf.DUMMYFUNCTION("""COMPUTED_VALUE"""),0.0)</f>
        <v>0</v>
      </c>
    </row>
    <row r="8328">
      <c r="A8328" s="2">
        <f>IFERROR(__xludf.DUMMYFUNCTION("""COMPUTED_VALUE"""),43433.66666666667)</f>
        <v>43433.66667</v>
      </c>
      <c r="B8328" s="1">
        <f>IFERROR(__xludf.DUMMYFUNCTION("""COMPUTED_VALUE"""),2736.97)</f>
        <v>2736.97</v>
      </c>
      <c r="C8328" s="1">
        <f>IFERROR(__xludf.DUMMYFUNCTION("""COMPUTED_VALUE"""),2753.75)</f>
        <v>2753.75</v>
      </c>
      <c r="D8328" s="1">
        <f>IFERROR(__xludf.DUMMYFUNCTION("""COMPUTED_VALUE"""),2722.94)</f>
        <v>2722.94</v>
      </c>
      <c r="E8328" s="1">
        <f>IFERROR(__xludf.DUMMYFUNCTION("""COMPUTED_VALUE"""),2737.76)</f>
        <v>2737.76</v>
      </c>
      <c r="F8328" s="1">
        <f>IFERROR(__xludf.DUMMYFUNCTION("""COMPUTED_VALUE"""),0.0)</f>
        <v>0</v>
      </c>
    </row>
    <row r="8329">
      <c r="A8329" s="2">
        <f>IFERROR(__xludf.DUMMYFUNCTION("""COMPUTED_VALUE"""),43434.66666666667)</f>
        <v>43434.66667</v>
      </c>
      <c r="B8329" s="1">
        <f>IFERROR(__xludf.DUMMYFUNCTION("""COMPUTED_VALUE"""),2737.76)</f>
        <v>2737.76</v>
      </c>
      <c r="C8329" s="1">
        <f>IFERROR(__xludf.DUMMYFUNCTION("""COMPUTED_VALUE"""),2760.88)</f>
        <v>2760.88</v>
      </c>
      <c r="D8329" s="1">
        <f>IFERROR(__xludf.DUMMYFUNCTION("""COMPUTED_VALUE"""),2732.76)</f>
        <v>2732.76</v>
      </c>
      <c r="E8329" s="1">
        <f>IFERROR(__xludf.DUMMYFUNCTION("""COMPUTED_VALUE"""),2760.17)</f>
        <v>2760.17</v>
      </c>
      <c r="F8329" s="1">
        <f>IFERROR(__xludf.DUMMYFUNCTION("""COMPUTED_VALUE"""),0.0)</f>
        <v>0</v>
      </c>
    </row>
    <row r="8330">
      <c r="A8330" s="2">
        <f>IFERROR(__xludf.DUMMYFUNCTION("""COMPUTED_VALUE"""),43437.66666666667)</f>
        <v>43437.66667</v>
      </c>
      <c r="B8330" s="1">
        <f>IFERROR(__xludf.DUMMYFUNCTION("""COMPUTED_VALUE"""),2790.5)</f>
        <v>2790.5</v>
      </c>
      <c r="C8330" s="1">
        <f>IFERROR(__xludf.DUMMYFUNCTION("""COMPUTED_VALUE"""),2800.18)</f>
        <v>2800.18</v>
      </c>
      <c r="D8330" s="1">
        <f>IFERROR(__xludf.DUMMYFUNCTION("""COMPUTED_VALUE"""),2773.38)</f>
        <v>2773.38</v>
      </c>
      <c r="E8330" s="1">
        <f>IFERROR(__xludf.DUMMYFUNCTION("""COMPUTED_VALUE"""),2790.37)</f>
        <v>2790.37</v>
      </c>
      <c r="F8330" s="1">
        <f>IFERROR(__xludf.DUMMYFUNCTION("""COMPUTED_VALUE"""),0.0)</f>
        <v>0</v>
      </c>
    </row>
    <row r="8331">
      <c r="A8331" s="2">
        <f>IFERROR(__xludf.DUMMYFUNCTION("""COMPUTED_VALUE"""),43438.66666666667)</f>
        <v>43438.66667</v>
      </c>
      <c r="B8331" s="1">
        <f>IFERROR(__xludf.DUMMYFUNCTION("""COMPUTED_VALUE"""),2782.43)</f>
        <v>2782.43</v>
      </c>
      <c r="C8331" s="1">
        <f>IFERROR(__xludf.DUMMYFUNCTION("""COMPUTED_VALUE"""),2785.93)</f>
        <v>2785.93</v>
      </c>
      <c r="D8331" s="1">
        <f>IFERROR(__xludf.DUMMYFUNCTION("""COMPUTED_VALUE"""),2697.18)</f>
        <v>2697.18</v>
      </c>
      <c r="E8331" s="1">
        <f>IFERROR(__xludf.DUMMYFUNCTION("""COMPUTED_VALUE"""),2700.06)</f>
        <v>2700.06</v>
      </c>
      <c r="F8331" s="1">
        <f>IFERROR(__xludf.DUMMYFUNCTION("""COMPUTED_VALUE"""),0.0)</f>
        <v>0</v>
      </c>
    </row>
    <row r="8332">
      <c r="A8332" s="2">
        <f>IFERROR(__xludf.DUMMYFUNCTION("""COMPUTED_VALUE"""),43440.66666666667)</f>
        <v>43440.66667</v>
      </c>
      <c r="B8332" s="1">
        <f>IFERROR(__xludf.DUMMYFUNCTION("""COMPUTED_VALUE"""),2663.51)</f>
        <v>2663.51</v>
      </c>
      <c r="C8332" s="1">
        <f>IFERROR(__xludf.DUMMYFUNCTION("""COMPUTED_VALUE"""),2696.15)</f>
        <v>2696.15</v>
      </c>
      <c r="D8332" s="1">
        <f>IFERROR(__xludf.DUMMYFUNCTION("""COMPUTED_VALUE"""),2621.53)</f>
        <v>2621.53</v>
      </c>
      <c r="E8332" s="1">
        <f>IFERROR(__xludf.DUMMYFUNCTION("""COMPUTED_VALUE"""),2695.95)</f>
        <v>2695.95</v>
      </c>
      <c r="F8332" s="1">
        <f>IFERROR(__xludf.DUMMYFUNCTION("""COMPUTED_VALUE"""),0.0)</f>
        <v>0</v>
      </c>
    </row>
    <row r="8333">
      <c r="A8333" s="2">
        <f>IFERROR(__xludf.DUMMYFUNCTION("""COMPUTED_VALUE"""),43441.66666666667)</f>
        <v>43441.66667</v>
      </c>
      <c r="B8333" s="1">
        <f>IFERROR(__xludf.DUMMYFUNCTION("""COMPUTED_VALUE"""),2691.26)</f>
        <v>2691.26</v>
      </c>
      <c r="C8333" s="1">
        <f>IFERROR(__xludf.DUMMYFUNCTION("""COMPUTED_VALUE"""),2708.54)</f>
        <v>2708.54</v>
      </c>
      <c r="D8333" s="1">
        <f>IFERROR(__xludf.DUMMYFUNCTION("""COMPUTED_VALUE"""),2623.14)</f>
        <v>2623.14</v>
      </c>
      <c r="E8333" s="1">
        <f>IFERROR(__xludf.DUMMYFUNCTION("""COMPUTED_VALUE"""),2633.08)</f>
        <v>2633.08</v>
      </c>
      <c r="F8333" s="1">
        <f>IFERROR(__xludf.DUMMYFUNCTION("""COMPUTED_VALUE"""),0.0)</f>
        <v>0</v>
      </c>
    </row>
    <row r="8334">
      <c r="A8334" s="2">
        <f>IFERROR(__xludf.DUMMYFUNCTION("""COMPUTED_VALUE"""),43444.66666666667)</f>
        <v>43444.66667</v>
      </c>
      <c r="B8334" s="1">
        <f>IFERROR(__xludf.DUMMYFUNCTION("""COMPUTED_VALUE"""),2630.86)</f>
        <v>2630.86</v>
      </c>
      <c r="C8334" s="1">
        <f>IFERROR(__xludf.DUMMYFUNCTION("""COMPUTED_VALUE"""),2647.51)</f>
        <v>2647.51</v>
      </c>
      <c r="D8334" s="1">
        <f>IFERROR(__xludf.DUMMYFUNCTION("""COMPUTED_VALUE"""),2583.23)</f>
        <v>2583.23</v>
      </c>
      <c r="E8334" s="1">
        <f>IFERROR(__xludf.DUMMYFUNCTION("""COMPUTED_VALUE"""),2637.72)</f>
        <v>2637.72</v>
      </c>
      <c r="F8334" s="1">
        <f>IFERROR(__xludf.DUMMYFUNCTION("""COMPUTED_VALUE"""),0.0)</f>
        <v>0</v>
      </c>
    </row>
    <row r="8335">
      <c r="A8335" s="2">
        <f>IFERROR(__xludf.DUMMYFUNCTION("""COMPUTED_VALUE"""),43445.66666666667)</f>
        <v>43445.66667</v>
      </c>
      <c r="B8335" s="1">
        <f>IFERROR(__xludf.DUMMYFUNCTION("""COMPUTED_VALUE"""),2664.44)</f>
        <v>2664.44</v>
      </c>
      <c r="C8335" s="1">
        <f>IFERROR(__xludf.DUMMYFUNCTION("""COMPUTED_VALUE"""),2674.35)</f>
        <v>2674.35</v>
      </c>
      <c r="D8335" s="1">
        <f>IFERROR(__xludf.DUMMYFUNCTION("""COMPUTED_VALUE"""),2621.3)</f>
        <v>2621.3</v>
      </c>
      <c r="E8335" s="1">
        <f>IFERROR(__xludf.DUMMYFUNCTION("""COMPUTED_VALUE"""),2636.78)</f>
        <v>2636.78</v>
      </c>
      <c r="F8335" s="1">
        <f>IFERROR(__xludf.DUMMYFUNCTION("""COMPUTED_VALUE"""),0.0)</f>
        <v>0</v>
      </c>
    </row>
    <row r="8336">
      <c r="A8336" s="2">
        <f>IFERROR(__xludf.DUMMYFUNCTION("""COMPUTED_VALUE"""),43446.66666666667)</f>
        <v>43446.66667</v>
      </c>
      <c r="B8336" s="1">
        <f>IFERROR(__xludf.DUMMYFUNCTION("""COMPUTED_VALUE"""),2658.23)</f>
        <v>2658.23</v>
      </c>
      <c r="C8336" s="1">
        <f>IFERROR(__xludf.DUMMYFUNCTION("""COMPUTED_VALUE"""),2685.44)</f>
        <v>2685.44</v>
      </c>
      <c r="D8336" s="1">
        <f>IFERROR(__xludf.DUMMYFUNCTION("""COMPUTED_VALUE"""),2650.26)</f>
        <v>2650.26</v>
      </c>
      <c r="E8336" s="1">
        <f>IFERROR(__xludf.DUMMYFUNCTION("""COMPUTED_VALUE"""),2651.07)</f>
        <v>2651.07</v>
      </c>
      <c r="F8336" s="1">
        <f>IFERROR(__xludf.DUMMYFUNCTION("""COMPUTED_VALUE"""),0.0)</f>
        <v>0</v>
      </c>
    </row>
    <row r="8337">
      <c r="A8337" s="2">
        <f>IFERROR(__xludf.DUMMYFUNCTION("""COMPUTED_VALUE"""),43447.66666666667)</f>
        <v>43447.66667</v>
      </c>
      <c r="B8337" s="1">
        <f>IFERROR(__xludf.DUMMYFUNCTION("""COMPUTED_VALUE"""),2658.7)</f>
        <v>2658.7</v>
      </c>
      <c r="C8337" s="1">
        <f>IFERROR(__xludf.DUMMYFUNCTION("""COMPUTED_VALUE"""),2670.19)</f>
        <v>2670.19</v>
      </c>
      <c r="D8337" s="1">
        <f>IFERROR(__xludf.DUMMYFUNCTION("""COMPUTED_VALUE"""),2637.27)</f>
        <v>2637.27</v>
      </c>
      <c r="E8337" s="1">
        <f>IFERROR(__xludf.DUMMYFUNCTION("""COMPUTED_VALUE"""),2650.54)</f>
        <v>2650.54</v>
      </c>
      <c r="F8337" s="1">
        <f>IFERROR(__xludf.DUMMYFUNCTION("""COMPUTED_VALUE"""),0.0)</f>
        <v>0</v>
      </c>
    </row>
    <row r="8338">
      <c r="A8338" s="2">
        <f>IFERROR(__xludf.DUMMYFUNCTION("""COMPUTED_VALUE"""),43448.66666666667)</f>
        <v>43448.66667</v>
      </c>
      <c r="B8338" s="1">
        <f>IFERROR(__xludf.DUMMYFUNCTION("""COMPUTED_VALUE"""),2629.68)</f>
        <v>2629.68</v>
      </c>
      <c r="C8338" s="1">
        <f>IFERROR(__xludf.DUMMYFUNCTION("""COMPUTED_VALUE"""),2635.07)</f>
        <v>2635.07</v>
      </c>
      <c r="D8338" s="1">
        <f>IFERROR(__xludf.DUMMYFUNCTION("""COMPUTED_VALUE"""),2593.84)</f>
        <v>2593.84</v>
      </c>
      <c r="E8338" s="1">
        <f>IFERROR(__xludf.DUMMYFUNCTION("""COMPUTED_VALUE"""),2599.95)</f>
        <v>2599.95</v>
      </c>
      <c r="F8338" s="1">
        <f>IFERROR(__xludf.DUMMYFUNCTION("""COMPUTED_VALUE"""),0.0)</f>
        <v>0</v>
      </c>
    </row>
    <row r="8339">
      <c r="A8339" s="2">
        <f>IFERROR(__xludf.DUMMYFUNCTION("""COMPUTED_VALUE"""),43451.66666666667)</f>
        <v>43451.66667</v>
      </c>
      <c r="B8339" s="1">
        <f>IFERROR(__xludf.DUMMYFUNCTION("""COMPUTED_VALUE"""),2590.75)</f>
        <v>2590.75</v>
      </c>
      <c r="C8339" s="1">
        <f>IFERROR(__xludf.DUMMYFUNCTION("""COMPUTED_VALUE"""),2601.13)</f>
        <v>2601.13</v>
      </c>
      <c r="D8339" s="1">
        <f>IFERROR(__xludf.DUMMYFUNCTION("""COMPUTED_VALUE"""),2530.54)</f>
        <v>2530.54</v>
      </c>
      <c r="E8339" s="1">
        <f>IFERROR(__xludf.DUMMYFUNCTION("""COMPUTED_VALUE"""),2545.94)</f>
        <v>2545.94</v>
      </c>
      <c r="F8339" s="1">
        <f>IFERROR(__xludf.DUMMYFUNCTION("""COMPUTED_VALUE"""),0.0)</f>
        <v>0</v>
      </c>
    </row>
    <row r="8340">
      <c r="A8340" s="2">
        <f>IFERROR(__xludf.DUMMYFUNCTION("""COMPUTED_VALUE"""),43452.66666666667)</f>
        <v>43452.66667</v>
      </c>
      <c r="B8340" s="1">
        <f>IFERROR(__xludf.DUMMYFUNCTION("""COMPUTED_VALUE"""),2559.9)</f>
        <v>2559.9</v>
      </c>
      <c r="C8340" s="1">
        <f>IFERROR(__xludf.DUMMYFUNCTION("""COMPUTED_VALUE"""),2573.99)</f>
        <v>2573.99</v>
      </c>
      <c r="D8340" s="1">
        <f>IFERROR(__xludf.DUMMYFUNCTION("""COMPUTED_VALUE"""),2528.71)</f>
        <v>2528.71</v>
      </c>
      <c r="E8340" s="1">
        <f>IFERROR(__xludf.DUMMYFUNCTION("""COMPUTED_VALUE"""),2546.16)</f>
        <v>2546.16</v>
      </c>
      <c r="F8340" s="1">
        <f>IFERROR(__xludf.DUMMYFUNCTION("""COMPUTED_VALUE"""),0.0)</f>
        <v>0</v>
      </c>
    </row>
    <row r="8341">
      <c r="A8341" s="2">
        <f>IFERROR(__xludf.DUMMYFUNCTION("""COMPUTED_VALUE"""),43453.66666666667)</f>
        <v>43453.66667</v>
      </c>
      <c r="B8341" s="1">
        <f>IFERROR(__xludf.DUMMYFUNCTION("""COMPUTED_VALUE"""),2547.05)</f>
        <v>2547.05</v>
      </c>
      <c r="C8341" s="1">
        <f>IFERROR(__xludf.DUMMYFUNCTION("""COMPUTED_VALUE"""),2585.29)</f>
        <v>2585.29</v>
      </c>
      <c r="D8341" s="1">
        <f>IFERROR(__xludf.DUMMYFUNCTION("""COMPUTED_VALUE"""),2488.96)</f>
        <v>2488.96</v>
      </c>
      <c r="E8341" s="1">
        <f>IFERROR(__xludf.DUMMYFUNCTION("""COMPUTED_VALUE"""),2506.96)</f>
        <v>2506.96</v>
      </c>
      <c r="F8341" s="1">
        <f>IFERROR(__xludf.DUMMYFUNCTION("""COMPUTED_VALUE"""),0.0)</f>
        <v>0</v>
      </c>
    </row>
    <row r="8342">
      <c r="A8342" s="2">
        <f>IFERROR(__xludf.DUMMYFUNCTION("""COMPUTED_VALUE"""),43454.66666666667)</f>
        <v>43454.66667</v>
      </c>
      <c r="B8342" s="1">
        <f>IFERROR(__xludf.DUMMYFUNCTION("""COMPUTED_VALUE"""),2496.77)</f>
        <v>2496.77</v>
      </c>
      <c r="C8342" s="1">
        <f>IFERROR(__xludf.DUMMYFUNCTION("""COMPUTED_VALUE"""),2509.63)</f>
        <v>2509.63</v>
      </c>
      <c r="D8342" s="1">
        <f>IFERROR(__xludf.DUMMYFUNCTION("""COMPUTED_VALUE"""),2441.18)</f>
        <v>2441.18</v>
      </c>
      <c r="E8342" s="1">
        <f>IFERROR(__xludf.DUMMYFUNCTION("""COMPUTED_VALUE"""),2467.42)</f>
        <v>2467.42</v>
      </c>
      <c r="F8342" s="1">
        <f>IFERROR(__xludf.DUMMYFUNCTION("""COMPUTED_VALUE"""),0.0)</f>
        <v>0</v>
      </c>
    </row>
    <row r="8343">
      <c r="A8343" s="2">
        <f>IFERROR(__xludf.DUMMYFUNCTION("""COMPUTED_VALUE"""),43455.66666666667)</f>
        <v>43455.66667</v>
      </c>
      <c r="B8343" s="1">
        <f>IFERROR(__xludf.DUMMYFUNCTION("""COMPUTED_VALUE"""),2465.38)</f>
        <v>2465.38</v>
      </c>
      <c r="C8343" s="1">
        <f>IFERROR(__xludf.DUMMYFUNCTION("""COMPUTED_VALUE"""),2504.41)</f>
        <v>2504.41</v>
      </c>
      <c r="D8343" s="1">
        <f>IFERROR(__xludf.DUMMYFUNCTION("""COMPUTED_VALUE"""),2408.55)</f>
        <v>2408.55</v>
      </c>
      <c r="E8343" s="1">
        <f>IFERROR(__xludf.DUMMYFUNCTION("""COMPUTED_VALUE"""),2416.62)</f>
        <v>2416.62</v>
      </c>
      <c r="F8343" s="1">
        <f>IFERROR(__xludf.DUMMYFUNCTION("""COMPUTED_VALUE"""),0.0)</f>
        <v>0</v>
      </c>
    </row>
    <row r="8344">
      <c r="A8344" s="2">
        <f>IFERROR(__xludf.DUMMYFUNCTION("""COMPUTED_VALUE"""),43458.54166666667)</f>
        <v>43458.54167</v>
      </c>
      <c r="B8344" s="1">
        <f>IFERROR(__xludf.DUMMYFUNCTION("""COMPUTED_VALUE"""),2400.56)</f>
        <v>2400.56</v>
      </c>
      <c r="C8344" s="1">
        <f>IFERROR(__xludf.DUMMYFUNCTION("""COMPUTED_VALUE"""),2410.34)</f>
        <v>2410.34</v>
      </c>
      <c r="D8344" s="1">
        <f>IFERROR(__xludf.DUMMYFUNCTION("""COMPUTED_VALUE"""),2351.1)</f>
        <v>2351.1</v>
      </c>
      <c r="E8344" s="1">
        <f>IFERROR(__xludf.DUMMYFUNCTION("""COMPUTED_VALUE"""),2351.1)</f>
        <v>2351.1</v>
      </c>
      <c r="F8344" s="1">
        <f>IFERROR(__xludf.DUMMYFUNCTION("""COMPUTED_VALUE"""),0.0)</f>
        <v>0</v>
      </c>
    </row>
    <row r="8345">
      <c r="A8345" s="2">
        <f>IFERROR(__xludf.DUMMYFUNCTION("""COMPUTED_VALUE"""),43460.66666666667)</f>
        <v>43460.66667</v>
      </c>
      <c r="B8345" s="1">
        <f>IFERROR(__xludf.DUMMYFUNCTION("""COMPUTED_VALUE"""),2363.12)</f>
        <v>2363.12</v>
      </c>
      <c r="C8345" s="1">
        <f>IFERROR(__xludf.DUMMYFUNCTION("""COMPUTED_VALUE"""),2467.76)</f>
        <v>2467.76</v>
      </c>
      <c r="D8345" s="1">
        <f>IFERROR(__xludf.DUMMYFUNCTION("""COMPUTED_VALUE"""),2346.58)</f>
        <v>2346.58</v>
      </c>
      <c r="E8345" s="1">
        <f>IFERROR(__xludf.DUMMYFUNCTION("""COMPUTED_VALUE"""),2467.7)</f>
        <v>2467.7</v>
      </c>
      <c r="F8345" s="1">
        <f>IFERROR(__xludf.DUMMYFUNCTION("""COMPUTED_VALUE"""),0.0)</f>
        <v>0</v>
      </c>
    </row>
    <row r="8346">
      <c r="A8346" s="2">
        <f>IFERROR(__xludf.DUMMYFUNCTION("""COMPUTED_VALUE"""),43461.66666666667)</f>
        <v>43461.66667</v>
      </c>
      <c r="B8346" s="1">
        <f>IFERROR(__xludf.DUMMYFUNCTION("""COMPUTED_VALUE"""),2442.5)</f>
        <v>2442.5</v>
      </c>
      <c r="C8346" s="1">
        <f>IFERROR(__xludf.DUMMYFUNCTION("""COMPUTED_VALUE"""),2489.1)</f>
        <v>2489.1</v>
      </c>
      <c r="D8346" s="1">
        <f>IFERROR(__xludf.DUMMYFUNCTION("""COMPUTED_VALUE"""),2397.94)</f>
        <v>2397.94</v>
      </c>
      <c r="E8346" s="1">
        <f>IFERROR(__xludf.DUMMYFUNCTION("""COMPUTED_VALUE"""),2488.83)</f>
        <v>2488.83</v>
      </c>
      <c r="F8346" s="1">
        <f>IFERROR(__xludf.DUMMYFUNCTION("""COMPUTED_VALUE"""),0.0)</f>
        <v>0</v>
      </c>
    </row>
    <row r="8347">
      <c r="A8347" s="2">
        <f>IFERROR(__xludf.DUMMYFUNCTION("""COMPUTED_VALUE"""),43462.66666666667)</f>
        <v>43462.66667</v>
      </c>
      <c r="B8347" s="1">
        <f>IFERROR(__xludf.DUMMYFUNCTION("""COMPUTED_VALUE"""),2498.77)</f>
        <v>2498.77</v>
      </c>
      <c r="C8347" s="1">
        <f>IFERROR(__xludf.DUMMYFUNCTION("""COMPUTED_VALUE"""),2520.27)</f>
        <v>2520.27</v>
      </c>
      <c r="D8347" s="1">
        <f>IFERROR(__xludf.DUMMYFUNCTION("""COMPUTED_VALUE"""),2472.89)</f>
        <v>2472.89</v>
      </c>
      <c r="E8347" s="1">
        <f>IFERROR(__xludf.DUMMYFUNCTION("""COMPUTED_VALUE"""),2485.74)</f>
        <v>2485.74</v>
      </c>
      <c r="F8347" s="1">
        <f>IFERROR(__xludf.DUMMYFUNCTION("""COMPUTED_VALUE"""),0.0)</f>
        <v>0</v>
      </c>
    </row>
    <row r="8348">
      <c r="A8348" s="2">
        <f>IFERROR(__xludf.DUMMYFUNCTION("""COMPUTED_VALUE"""),43465.66666666667)</f>
        <v>43465.66667</v>
      </c>
      <c r="B8348" s="1">
        <f>IFERROR(__xludf.DUMMYFUNCTION("""COMPUTED_VALUE"""),2498.94)</f>
        <v>2498.94</v>
      </c>
      <c r="C8348" s="1">
        <f>IFERROR(__xludf.DUMMYFUNCTION("""COMPUTED_VALUE"""),2509.24)</f>
        <v>2509.24</v>
      </c>
      <c r="D8348" s="1">
        <f>IFERROR(__xludf.DUMMYFUNCTION("""COMPUTED_VALUE"""),2482.82)</f>
        <v>2482.82</v>
      </c>
      <c r="E8348" s="1">
        <f>IFERROR(__xludf.DUMMYFUNCTION("""COMPUTED_VALUE"""),2506.85)</f>
        <v>2506.85</v>
      </c>
      <c r="F8348" s="1">
        <f>IFERROR(__xludf.DUMMYFUNCTION("""COMPUTED_VALUE"""),0.0)</f>
        <v>0</v>
      </c>
    </row>
    <row r="8349">
      <c r="A8349" s="2">
        <f>IFERROR(__xludf.DUMMYFUNCTION("""COMPUTED_VALUE"""),43467.66666666667)</f>
        <v>43467.66667</v>
      </c>
      <c r="B8349" s="1">
        <f>IFERROR(__xludf.DUMMYFUNCTION("""COMPUTED_VALUE"""),2476.96)</f>
        <v>2476.96</v>
      </c>
      <c r="C8349" s="1">
        <f>IFERROR(__xludf.DUMMYFUNCTION("""COMPUTED_VALUE"""),2519.49)</f>
        <v>2519.49</v>
      </c>
      <c r="D8349" s="1">
        <f>IFERROR(__xludf.DUMMYFUNCTION("""COMPUTED_VALUE"""),2467.47)</f>
        <v>2467.47</v>
      </c>
      <c r="E8349" s="1">
        <f>IFERROR(__xludf.DUMMYFUNCTION("""COMPUTED_VALUE"""),2510.03)</f>
        <v>2510.03</v>
      </c>
      <c r="F8349" s="1">
        <f>IFERROR(__xludf.DUMMYFUNCTION("""COMPUTED_VALUE"""),0.0)</f>
        <v>0</v>
      </c>
    </row>
    <row r="8350">
      <c r="A8350" s="2">
        <f>IFERROR(__xludf.DUMMYFUNCTION("""COMPUTED_VALUE"""),43468.66666666667)</f>
        <v>43468.66667</v>
      </c>
      <c r="B8350" s="1">
        <f>IFERROR(__xludf.DUMMYFUNCTION("""COMPUTED_VALUE"""),2491.92)</f>
        <v>2491.92</v>
      </c>
      <c r="C8350" s="1">
        <f>IFERROR(__xludf.DUMMYFUNCTION("""COMPUTED_VALUE"""),2493.14)</f>
        <v>2493.14</v>
      </c>
      <c r="D8350" s="1">
        <f>IFERROR(__xludf.DUMMYFUNCTION("""COMPUTED_VALUE"""),2443.96)</f>
        <v>2443.96</v>
      </c>
      <c r="E8350" s="1">
        <f>IFERROR(__xludf.DUMMYFUNCTION("""COMPUTED_VALUE"""),2447.89)</f>
        <v>2447.89</v>
      </c>
      <c r="F8350" s="1">
        <f>IFERROR(__xludf.DUMMYFUNCTION("""COMPUTED_VALUE"""),0.0)</f>
        <v>0</v>
      </c>
    </row>
    <row r="8351">
      <c r="A8351" s="2">
        <f>IFERROR(__xludf.DUMMYFUNCTION("""COMPUTED_VALUE"""),43469.66666666667)</f>
        <v>43469.66667</v>
      </c>
      <c r="B8351" s="1">
        <f>IFERROR(__xludf.DUMMYFUNCTION("""COMPUTED_VALUE"""),2474.33)</f>
        <v>2474.33</v>
      </c>
      <c r="C8351" s="1">
        <f>IFERROR(__xludf.DUMMYFUNCTION("""COMPUTED_VALUE"""),2538.07)</f>
        <v>2538.07</v>
      </c>
      <c r="D8351" s="1">
        <f>IFERROR(__xludf.DUMMYFUNCTION("""COMPUTED_VALUE"""),2474.33)</f>
        <v>2474.33</v>
      </c>
      <c r="E8351" s="1">
        <f>IFERROR(__xludf.DUMMYFUNCTION("""COMPUTED_VALUE"""),2531.94)</f>
        <v>2531.94</v>
      </c>
      <c r="F8351" s="1">
        <f>IFERROR(__xludf.DUMMYFUNCTION("""COMPUTED_VALUE"""),0.0)</f>
        <v>0</v>
      </c>
    </row>
    <row r="8352">
      <c r="A8352" s="2">
        <f>IFERROR(__xludf.DUMMYFUNCTION("""COMPUTED_VALUE"""),43472.66666666667)</f>
        <v>43472.66667</v>
      </c>
      <c r="B8352" s="1">
        <f>IFERROR(__xludf.DUMMYFUNCTION("""COMPUTED_VALUE"""),2535.61)</f>
        <v>2535.61</v>
      </c>
      <c r="C8352" s="1">
        <f>IFERROR(__xludf.DUMMYFUNCTION("""COMPUTED_VALUE"""),2566.16)</f>
        <v>2566.16</v>
      </c>
      <c r="D8352" s="1">
        <f>IFERROR(__xludf.DUMMYFUNCTION("""COMPUTED_VALUE"""),2524.56)</f>
        <v>2524.56</v>
      </c>
      <c r="E8352" s="1">
        <f>IFERROR(__xludf.DUMMYFUNCTION("""COMPUTED_VALUE"""),2549.69)</f>
        <v>2549.69</v>
      </c>
      <c r="F8352" s="1">
        <f>IFERROR(__xludf.DUMMYFUNCTION("""COMPUTED_VALUE"""),0.0)</f>
        <v>0</v>
      </c>
    </row>
    <row r="8353">
      <c r="A8353" s="2">
        <f>IFERROR(__xludf.DUMMYFUNCTION("""COMPUTED_VALUE"""),43473.66666666667)</f>
        <v>43473.66667</v>
      </c>
      <c r="B8353" s="1">
        <f>IFERROR(__xludf.DUMMYFUNCTION("""COMPUTED_VALUE"""),2568.11)</f>
        <v>2568.11</v>
      </c>
      <c r="C8353" s="1">
        <f>IFERROR(__xludf.DUMMYFUNCTION("""COMPUTED_VALUE"""),2579.82)</f>
        <v>2579.82</v>
      </c>
      <c r="D8353" s="1">
        <f>IFERROR(__xludf.DUMMYFUNCTION("""COMPUTED_VALUE"""),2547.56)</f>
        <v>2547.56</v>
      </c>
      <c r="E8353" s="1">
        <f>IFERROR(__xludf.DUMMYFUNCTION("""COMPUTED_VALUE"""),2574.41)</f>
        <v>2574.41</v>
      </c>
      <c r="F8353" s="1">
        <f>IFERROR(__xludf.DUMMYFUNCTION("""COMPUTED_VALUE"""),0.0)</f>
        <v>0</v>
      </c>
    </row>
    <row r="8354">
      <c r="A8354" s="2">
        <f>IFERROR(__xludf.DUMMYFUNCTION("""COMPUTED_VALUE"""),43474.66666666667)</f>
        <v>43474.66667</v>
      </c>
      <c r="B8354" s="1">
        <f>IFERROR(__xludf.DUMMYFUNCTION("""COMPUTED_VALUE"""),2580.0)</f>
        <v>2580</v>
      </c>
      <c r="C8354" s="1">
        <f>IFERROR(__xludf.DUMMYFUNCTION("""COMPUTED_VALUE"""),2595.32)</f>
        <v>2595.32</v>
      </c>
      <c r="D8354" s="1">
        <f>IFERROR(__xludf.DUMMYFUNCTION("""COMPUTED_VALUE"""),2568.89)</f>
        <v>2568.89</v>
      </c>
      <c r="E8354" s="1">
        <f>IFERROR(__xludf.DUMMYFUNCTION("""COMPUTED_VALUE"""),2584.96)</f>
        <v>2584.96</v>
      </c>
      <c r="F8354" s="1">
        <f>IFERROR(__xludf.DUMMYFUNCTION("""COMPUTED_VALUE"""),0.0)</f>
        <v>0</v>
      </c>
    </row>
    <row r="8355">
      <c r="A8355" s="2">
        <f>IFERROR(__xludf.DUMMYFUNCTION("""COMPUTED_VALUE"""),43475.66666666667)</f>
        <v>43475.66667</v>
      </c>
      <c r="B8355" s="1">
        <f>IFERROR(__xludf.DUMMYFUNCTION("""COMPUTED_VALUE"""),2573.51)</f>
        <v>2573.51</v>
      </c>
      <c r="C8355" s="1">
        <f>IFERROR(__xludf.DUMMYFUNCTION("""COMPUTED_VALUE"""),2597.82)</f>
        <v>2597.82</v>
      </c>
      <c r="D8355" s="1">
        <f>IFERROR(__xludf.DUMMYFUNCTION("""COMPUTED_VALUE"""),2562.02)</f>
        <v>2562.02</v>
      </c>
      <c r="E8355" s="1">
        <f>IFERROR(__xludf.DUMMYFUNCTION("""COMPUTED_VALUE"""),2596.64)</f>
        <v>2596.64</v>
      </c>
      <c r="F8355" s="1">
        <f>IFERROR(__xludf.DUMMYFUNCTION("""COMPUTED_VALUE"""),0.0)</f>
        <v>0</v>
      </c>
    </row>
    <row r="8356">
      <c r="A8356" s="2">
        <f>IFERROR(__xludf.DUMMYFUNCTION("""COMPUTED_VALUE"""),43476.66666666667)</f>
        <v>43476.66667</v>
      </c>
      <c r="B8356" s="1">
        <f>IFERROR(__xludf.DUMMYFUNCTION("""COMPUTED_VALUE"""),2588.11)</f>
        <v>2588.11</v>
      </c>
      <c r="C8356" s="1">
        <f>IFERROR(__xludf.DUMMYFUNCTION("""COMPUTED_VALUE"""),2596.27)</f>
        <v>2596.27</v>
      </c>
      <c r="D8356" s="1">
        <f>IFERROR(__xludf.DUMMYFUNCTION("""COMPUTED_VALUE"""),2577.4)</f>
        <v>2577.4</v>
      </c>
      <c r="E8356" s="1">
        <f>IFERROR(__xludf.DUMMYFUNCTION("""COMPUTED_VALUE"""),2596.26)</f>
        <v>2596.26</v>
      </c>
      <c r="F8356" s="1">
        <f>IFERROR(__xludf.DUMMYFUNCTION("""COMPUTED_VALUE"""),0.0)</f>
        <v>0</v>
      </c>
    </row>
    <row r="8357">
      <c r="A8357" s="2">
        <f>IFERROR(__xludf.DUMMYFUNCTION("""COMPUTED_VALUE"""),43479.66666666667)</f>
        <v>43479.66667</v>
      </c>
      <c r="B8357" s="1">
        <f>IFERROR(__xludf.DUMMYFUNCTION("""COMPUTED_VALUE"""),2580.31)</f>
        <v>2580.31</v>
      </c>
      <c r="C8357" s="1">
        <f>IFERROR(__xludf.DUMMYFUNCTION("""COMPUTED_VALUE"""),2589.32)</f>
        <v>2589.32</v>
      </c>
      <c r="D8357" s="1">
        <f>IFERROR(__xludf.DUMMYFUNCTION("""COMPUTED_VALUE"""),2570.41)</f>
        <v>2570.41</v>
      </c>
      <c r="E8357" s="1">
        <f>IFERROR(__xludf.DUMMYFUNCTION("""COMPUTED_VALUE"""),2582.61)</f>
        <v>2582.61</v>
      </c>
      <c r="F8357" s="1">
        <f>IFERROR(__xludf.DUMMYFUNCTION("""COMPUTED_VALUE"""),0.0)</f>
        <v>0</v>
      </c>
    </row>
    <row r="8358">
      <c r="A8358" s="2">
        <f>IFERROR(__xludf.DUMMYFUNCTION("""COMPUTED_VALUE"""),43480.66666666667)</f>
        <v>43480.66667</v>
      </c>
      <c r="B8358" s="1">
        <f>IFERROR(__xludf.DUMMYFUNCTION("""COMPUTED_VALUE"""),2585.1)</f>
        <v>2585.1</v>
      </c>
      <c r="C8358" s="1">
        <f>IFERROR(__xludf.DUMMYFUNCTION("""COMPUTED_VALUE"""),2613.08)</f>
        <v>2613.08</v>
      </c>
      <c r="D8358" s="1">
        <f>IFERROR(__xludf.DUMMYFUNCTION("""COMPUTED_VALUE"""),2585.1)</f>
        <v>2585.1</v>
      </c>
      <c r="E8358" s="1">
        <f>IFERROR(__xludf.DUMMYFUNCTION("""COMPUTED_VALUE"""),2610.3)</f>
        <v>2610.3</v>
      </c>
      <c r="F8358" s="1">
        <f>IFERROR(__xludf.DUMMYFUNCTION("""COMPUTED_VALUE"""),0.0)</f>
        <v>0</v>
      </c>
    </row>
    <row r="8359">
      <c r="A8359" s="2">
        <f>IFERROR(__xludf.DUMMYFUNCTION("""COMPUTED_VALUE"""),43481.66666666667)</f>
        <v>43481.66667</v>
      </c>
      <c r="B8359" s="1">
        <f>IFERROR(__xludf.DUMMYFUNCTION("""COMPUTED_VALUE"""),2614.75)</f>
        <v>2614.75</v>
      </c>
      <c r="C8359" s="1">
        <f>IFERROR(__xludf.DUMMYFUNCTION("""COMPUTED_VALUE"""),2625.76)</f>
        <v>2625.76</v>
      </c>
      <c r="D8359" s="1">
        <f>IFERROR(__xludf.DUMMYFUNCTION("""COMPUTED_VALUE"""),2612.68)</f>
        <v>2612.68</v>
      </c>
      <c r="E8359" s="1">
        <f>IFERROR(__xludf.DUMMYFUNCTION("""COMPUTED_VALUE"""),2616.1)</f>
        <v>2616.1</v>
      </c>
      <c r="F8359" s="1">
        <f>IFERROR(__xludf.DUMMYFUNCTION("""COMPUTED_VALUE"""),0.0)</f>
        <v>0</v>
      </c>
    </row>
    <row r="8360">
      <c r="A8360" s="2">
        <f>IFERROR(__xludf.DUMMYFUNCTION("""COMPUTED_VALUE"""),43482.66666666667)</f>
        <v>43482.66667</v>
      </c>
      <c r="B8360" s="1">
        <f>IFERROR(__xludf.DUMMYFUNCTION("""COMPUTED_VALUE"""),2609.28)</f>
        <v>2609.28</v>
      </c>
      <c r="C8360" s="1">
        <f>IFERROR(__xludf.DUMMYFUNCTION("""COMPUTED_VALUE"""),2645.06)</f>
        <v>2645.06</v>
      </c>
      <c r="D8360" s="1">
        <f>IFERROR(__xludf.DUMMYFUNCTION("""COMPUTED_VALUE"""),2606.36)</f>
        <v>2606.36</v>
      </c>
      <c r="E8360" s="1">
        <f>IFERROR(__xludf.DUMMYFUNCTION("""COMPUTED_VALUE"""),2635.96)</f>
        <v>2635.96</v>
      </c>
      <c r="F8360" s="1">
        <f>IFERROR(__xludf.DUMMYFUNCTION("""COMPUTED_VALUE"""),0.0)</f>
        <v>0</v>
      </c>
    </row>
    <row r="8361">
      <c r="A8361" s="2">
        <f>IFERROR(__xludf.DUMMYFUNCTION("""COMPUTED_VALUE"""),43483.66666666667)</f>
        <v>43483.66667</v>
      </c>
      <c r="B8361" s="1">
        <f>IFERROR(__xludf.DUMMYFUNCTION("""COMPUTED_VALUE"""),2651.27)</f>
        <v>2651.27</v>
      </c>
      <c r="C8361" s="1">
        <f>IFERROR(__xludf.DUMMYFUNCTION("""COMPUTED_VALUE"""),2675.47)</f>
        <v>2675.47</v>
      </c>
      <c r="D8361" s="1">
        <f>IFERROR(__xludf.DUMMYFUNCTION("""COMPUTED_VALUE"""),2647.58)</f>
        <v>2647.58</v>
      </c>
      <c r="E8361" s="1">
        <f>IFERROR(__xludf.DUMMYFUNCTION("""COMPUTED_VALUE"""),2670.71)</f>
        <v>2670.71</v>
      </c>
      <c r="F8361" s="1">
        <f>IFERROR(__xludf.DUMMYFUNCTION("""COMPUTED_VALUE"""),0.0)</f>
        <v>0</v>
      </c>
    </row>
    <row r="8362">
      <c r="A8362" s="2">
        <f>IFERROR(__xludf.DUMMYFUNCTION("""COMPUTED_VALUE"""),43487.66666666667)</f>
        <v>43487.66667</v>
      </c>
      <c r="B8362" s="1">
        <f>IFERROR(__xludf.DUMMYFUNCTION("""COMPUTED_VALUE"""),2657.88)</f>
        <v>2657.88</v>
      </c>
      <c r="C8362" s="1">
        <f>IFERROR(__xludf.DUMMYFUNCTION("""COMPUTED_VALUE"""),2657.88)</f>
        <v>2657.88</v>
      </c>
      <c r="D8362" s="1">
        <f>IFERROR(__xludf.DUMMYFUNCTION("""COMPUTED_VALUE"""),2617.27)</f>
        <v>2617.27</v>
      </c>
      <c r="E8362" s="1">
        <f>IFERROR(__xludf.DUMMYFUNCTION("""COMPUTED_VALUE"""),2632.9)</f>
        <v>2632.9</v>
      </c>
      <c r="F8362" s="1">
        <f>IFERROR(__xludf.DUMMYFUNCTION("""COMPUTED_VALUE"""),0.0)</f>
        <v>0</v>
      </c>
    </row>
    <row r="8363">
      <c r="A8363" s="2">
        <f>IFERROR(__xludf.DUMMYFUNCTION("""COMPUTED_VALUE"""),43488.66666666667)</f>
        <v>43488.66667</v>
      </c>
      <c r="B8363" s="1">
        <f>IFERROR(__xludf.DUMMYFUNCTION("""COMPUTED_VALUE"""),2643.48)</f>
        <v>2643.48</v>
      </c>
      <c r="C8363" s="1">
        <f>IFERROR(__xludf.DUMMYFUNCTION("""COMPUTED_VALUE"""),2653.19)</f>
        <v>2653.19</v>
      </c>
      <c r="D8363" s="1">
        <f>IFERROR(__xludf.DUMMYFUNCTION("""COMPUTED_VALUE"""),2612.86)</f>
        <v>2612.86</v>
      </c>
      <c r="E8363" s="1">
        <f>IFERROR(__xludf.DUMMYFUNCTION("""COMPUTED_VALUE"""),2638.7)</f>
        <v>2638.7</v>
      </c>
      <c r="F8363" s="1">
        <f>IFERROR(__xludf.DUMMYFUNCTION("""COMPUTED_VALUE"""),0.0)</f>
        <v>0</v>
      </c>
    </row>
    <row r="8364">
      <c r="A8364" s="2">
        <f>IFERROR(__xludf.DUMMYFUNCTION("""COMPUTED_VALUE"""),43489.66666666667)</f>
        <v>43489.66667</v>
      </c>
      <c r="B8364" s="1">
        <f>IFERROR(__xludf.DUMMYFUNCTION("""COMPUTED_VALUE"""),2638.84)</f>
        <v>2638.84</v>
      </c>
      <c r="C8364" s="1">
        <f>IFERROR(__xludf.DUMMYFUNCTION("""COMPUTED_VALUE"""),2647.2)</f>
        <v>2647.2</v>
      </c>
      <c r="D8364" s="1">
        <f>IFERROR(__xludf.DUMMYFUNCTION("""COMPUTED_VALUE"""),2627.01)</f>
        <v>2627.01</v>
      </c>
      <c r="E8364" s="1">
        <f>IFERROR(__xludf.DUMMYFUNCTION("""COMPUTED_VALUE"""),2642.33)</f>
        <v>2642.33</v>
      </c>
      <c r="F8364" s="1">
        <f>IFERROR(__xludf.DUMMYFUNCTION("""COMPUTED_VALUE"""),0.0)</f>
        <v>0</v>
      </c>
    </row>
    <row r="8365">
      <c r="A8365" s="2">
        <f>IFERROR(__xludf.DUMMYFUNCTION("""COMPUTED_VALUE"""),43490.66666666667)</f>
        <v>43490.66667</v>
      </c>
      <c r="B8365" s="1">
        <f>IFERROR(__xludf.DUMMYFUNCTION("""COMPUTED_VALUE"""),2657.44)</f>
        <v>2657.44</v>
      </c>
      <c r="C8365" s="1">
        <f>IFERROR(__xludf.DUMMYFUNCTION("""COMPUTED_VALUE"""),2672.38)</f>
        <v>2672.38</v>
      </c>
      <c r="D8365" s="1">
        <f>IFERROR(__xludf.DUMMYFUNCTION("""COMPUTED_VALUE"""),2657.33)</f>
        <v>2657.33</v>
      </c>
      <c r="E8365" s="1">
        <f>IFERROR(__xludf.DUMMYFUNCTION("""COMPUTED_VALUE"""),2664.76)</f>
        <v>2664.76</v>
      </c>
      <c r="F8365" s="1">
        <f>IFERROR(__xludf.DUMMYFUNCTION("""COMPUTED_VALUE"""),0.0)</f>
        <v>0</v>
      </c>
    </row>
    <row r="8366">
      <c r="A8366" s="2">
        <f>IFERROR(__xludf.DUMMYFUNCTION("""COMPUTED_VALUE"""),43493.66666666667)</f>
        <v>43493.66667</v>
      </c>
      <c r="B8366" s="1">
        <f>IFERROR(__xludf.DUMMYFUNCTION("""COMPUTED_VALUE"""),2644.97)</f>
        <v>2644.97</v>
      </c>
      <c r="C8366" s="1">
        <f>IFERROR(__xludf.DUMMYFUNCTION("""COMPUTED_VALUE"""),2644.97)</f>
        <v>2644.97</v>
      </c>
      <c r="D8366" s="1">
        <f>IFERROR(__xludf.DUMMYFUNCTION("""COMPUTED_VALUE"""),2624.06)</f>
        <v>2624.06</v>
      </c>
      <c r="E8366" s="1">
        <f>IFERROR(__xludf.DUMMYFUNCTION("""COMPUTED_VALUE"""),2643.85)</f>
        <v>2643.85</v>
      </c>
      <c r="F8366" s="1">
        <f>IFERROR(__xludf.DUMMYFUNCTION("""COMPUTED_VALUE"""),0.0)</f>
        <v>0</v>
      </c>
    </row>
    <row r="8367">
      <c r="A8367" s="2">
        <f>IFERROR(__xludf.DUMMYFUNCTION("""COMPUTED_VALUE"""),43494.66666666667)</f>
        <v>43494.66667</v>
      </c>
      <c r="B8367" s="1">
        <f>IFERROR(__xludf.DUMMYFUNCTION("""COMPUTED_VALUE"""),2644.89)</f>
        <v>2644.89</v>
      </c>
      <c r="C8367" s="1">
        <f>IFERROR(__xludf.DUMMYFUNCTION("""COMPUTED_VALUE"""),2650.93)</f>
        <v>2650.93</v>
      </c>
      <c r="D8367" s="1">
        <f>IFERROR(__xludf.DUMMYFUNCTION("""COMPUTED_VALUE"""),2631.05)</f>
        <v>2631.05</v>
      </c>
      <c r="E8367" s="1">
        <f>IFERROR(__xludf.DUMMYFUNCTION("""COMPUTED_VALUE"""),2640.0)</f>
        <v>2640</v>
      </c>
      <c r="F8367" s="1">
        <f>IFERROR(__xludf.DUMMYFUNCTION("""COMPUTED_VALUE"""),0.0)</f>
        <v>0</v>
      </c>
    </row>
    <row r="8368">
      <c r="A8368" s="2">
        <f>IFERROR(__xludf.DUMMYFUNCTION("""COMPUTED_VALUE"""),43495.66666666667)</f>
        <v>43495.66667</v>
      </c>
      <c r="B8368" s="1">
        <f>IFERROR(__xludf.DUMMYFUNCTION("""COMPUTED_VALUE"""),2653.62)</f>
        <v>2653.62</v>
      </c>
      <c r="C8368" s="1">
        <f>IFERROR(__xludf.DUMMYFUNCTION("""COMPUTED_VALUE"""),2690.44)</f>
        <v>2690.44</v>
      </c>
      <c r="D8368" s="1">
        <f>IFERROR(__xludf.DUMMYFUNCTION("""COMPUTED_VALUE"""),2648.34)</f>
        <v>2648.34</v>
      </c>
      <c r="E8368" s="1">
        <f>IFERROR(__xludf.DUMMYFUNCTION("""COMPUTED_VALUE"""),2681.05)</f>
        <v>2681.05</v>
      </c>
      <c r="F8368" s="1">
        <f>IFERROR(__xludf.DUMMYFUNCTION("""COMPUTED_VALUE"""),0.0)</f>
        <v>0</v>
      </c>
    </row>
    <row r="8369">
      <c r="A8369" s="2">
        <f>IFERROR(__xludf.DUMMYFUNCTION("""COMPUTED_VALUE"""),43496.66666666667)</f>
        <v>43496.66667</v>
      </c>
      <c r="B8369" s="1">
        <f>IFERROR(__xludf.DUMMYFUNCTION("""COMPUTED_VALUE"""),2685.49)</f>
        <v>2685.49</v>
      </c>
      <c r="C8369" s="1">
        <f>IFERROR(__xludf.DUMMYFUNCTION("""COMPUTED_VALUE"""),2708.95)</f>
        <v>2708.95</v>
      </c>
      <c r="D8369" s="1">
        <f>IFERROR(__xludf.DUMMYFUNCTION("""COMPUTED_VALUE"""),2678.65)</f>
        <v>2678.65</v>
      </c>
      <c r="E8369" s="1">
        <f>IFERROR(__xludf.DUMMYFUNCTION("""COMPUTED_VALUE"""),2704.1)</f>
        <v>2704.1</v>
      </c>
      <c r="F8369" s="1">
        <f>IFERROR(__xludf.DUMMYFUNCTION("""COMPUTED_VALUE"""),0.0)</f>
        <v>0</v>
      </c>
    </row>
    <row r="8370">
      <c r="A8370" s="2">
        <f>IFERROR(__xludf.DUMMYFUNCTION("""COMPUTED_VALUE"""),43497.66666666667)</f>
        <v>43497.66667</v>
      </c>
      <c r="B8370" s="1">
        <f>IFERROR(__xludf.DUMMYFUNCTION("""COMPUTED_VALUE"""),2702.32)</f>
        <v>2702.32</v>
      </c>
      <c r="C8370" s="1">
        <f>IFERROR(__xludf.DUMMYFUNCTION("""COMPUTED_VALUE"""),2716.66)</f>
        <v>2716.66</v>
      </c>
      <c r="D8370" s="1">
        <f>IFERROR(__xludf.DUMMYFUNCTION("""COMPUTED_VALUE"""),2696.88)</f>
        <v>2696.88</v>
      </c>
      <c r="E8370" s="1">
        <f>IFERROR(__xludf.DUMMYFUNCTION("""COMPUTED_VALUE"""),2706.53)</f>
        <v>2706.53</v>
      </c>
      <c r="F8370" s="1">
        <f>IFERROR(__xludf.DUMMYFUNCTION("""COMPUTED_VALUE"""),0.0)</f>
        <v>0</v>
      </c>
    </row>
    <row r="8371">
      <c r="A8371" s="2">
        <f>IFERROR(__xludf.DUMMYFUNCTION("""COMPUTED_VALUE"""),43500.66666666667)</f>
        <v>43500.66667</v>
      </c>
      <c r="B8371" s="1">
        <f>IFERROR(__xludf.DUMMYFUNCTION("""COMPUTED_VALUE"""),2706.49)</f>
        <v>2706.49</v>
      </c>
      <c r="C8371" s="1">
        <f>IFERROR(__xludf.DUMMYFUNCTION("""COMPUTED_VALUE"""),2724.99)</f>
        <v>2724.99</v>
      </c>
      <c r="D8371" s="1">
        <f>IFERROR(__xludf.DUMMYFUNCTION("""COMPUTED_VALUE"""),2698.75)</f>
        <v>2698.75</v>
      </c>
      <c r="E8371" s="1">
        <f>IFERROR(__xludf.DUMMYFUNCTION("""COMPUTED_VALUE"""),2724.87)</f>
        <v>2724.87</v>
      </c>
      <c r="F8371" s="1">
        <f>IFERROR(__xludf.DUMMYFUNCTION("""COMPUTED_VALUE"""),0.0)</f>
        <v>0</v>
      </c>
    </row>
    <row r="8372">
      <c r="A8372" s="2">
        <f>IFERROR(__xludf.DUMMYFUNCTION("""COMPUTED_VALUE"""),43501.66666666667)</f>
        <v>43501.66667</v>
      </c>
      <c r="B8372" s="1">
        <f>IFERROR(__xludf.DUMMYFUNCTION("""COMPUTED_VALUE"""),2728.34)</f>
        <v>2728.34</v>
      </c>
      <c r="C8372" s="1">
        <f>IFERROR(__xludf.DUMMYFUNCTION("""COMPUTED_VALUE"""),2738.98)</f>
        <v>2738.98</v>
      </c>
      <c r="D8372" s="1">
        <f>IFERROR(__xludf.DUMMYFUNCTION("""COMPUTED_VALUE"""),2724.03)</f>
        <v>2724.03</v>
      </c>
      <c r="E8372" s="1">
        <f>IFERROR(__xludf.DUMMYFUNCTION("""COMPUTED_VALUE"""),2737.7)</f>
        <v>2737.7</v>
      </c>
      <c r="F8372" s="1">
        <f>IFERROR(__xludf.DUMMYFUNCTION("""COMPUTED_VALUE"""),0.0)</f>
        <v>0</v>
      </c>
    </row>
    <row r="8373">
      <c r="A8373" s="2">
        <f>IFERROR(__xludf.DUMMYFUNCTION("""COMPUTED_VALUE"""),43502.66666666667)</f>
        <v>43502.66667</v>
      </c>
      <c r="B8373" s="1">
        <f>IFERROR(__xludf.DUMMYFUNCTION("""COMPUTED_VALUE"""),2735.05)</f>
        <v>2735.05</v>
      </c>
      <c r="C8373" s="1">
        <f>IFERROR(__xludf.DUMMYFUNCTION("""COMPUTED_VALUE"""),2738.08)</f>
        <v>2738.08</v>
      </c>
      <c r="D8373" s="1">
        <f>IFERROR(__xludf.DUMMYFUNCTION("""COMPUTED_VALUE"""),2724.15)</f>
        <v>2724.15</v>
      </c>
      <c r="E8373" s="1">
        <f>IFERROR(__xludf.DUMMYFUNCTION("""COMPUTED_VALUE"""),2731.61)</f>
        <v>2731.61</v>
      </c>
      <c r="F8373" s="1">
        <f>IFERROR(__xludf.DUMMYFUNCTION("""COMPUTED_VALUE"""),0.0)</f>
        <v>0</v>
      </c>
    </row>
    <row r="8374">
      <c r="A8374" s="2">
        <f>IFERROR(__xludf.DUMMYFUNCTION("""COMPUTED_VALUE"""),43503.66666666667)</f>
        <v>43503.66667</v>
      </c>
      <c r="B8374" s="1">
        <f>IFERROR(__xludf.DUMMYFUNCTION("""COMPUTED_VALUE"""),2717.53)</f>
        <v>2717.53</v>
      </c>
      <c r="C8374" s="1">
        <f>IFERROR(__xludf.DUMMYFUNCTION("""COMPUTED_VALUE"""),2719.32)</f>
        <v>2719.32</v>
      </c>
      <c r="D8374" s="1">
        <f>IFERROR(__xludf.DUMMYFUNCTION("""COMPUTED_VALUE"""),2687.26)</f>
        <v>2687.26</v>
      </c>
      <c r="E8374" s="1">
        <f>IFERROR(__xludf.DUMMYFUNCTION("""COMPUTED_VALUE"""),2706.05)</f>
        <v>2706.05</v>
      </c>
      <c r="F8374" s="1">
        <f>IFERROR(__xludf.DUMMYFUNCTION("""COMPUTED_VALUE"""),0.0)</f>
        <v>0</v>
      </c>
    </row>
    <row r="8375">
      <c r="A8375" s="2">
        <f>IFERROR(__xludf.DUMMYFUNCTION("""COMPUTED_VALUE"""),43504.66666666667)</f>
        <v>43504.66667</v>
      </c>
      <c r="B8375" s="1">
        <f>IFERROR(__xludf.DUMMYFUNCTION("""COMPUTED_VALUE"""),2692.36)</f>
        <v>2692.36</v>
      </c>
      <c r="C8375" s="1">
        <f>IFERROR(__xludf.DUMMYFUNCTION("""COMPUTED_VALUE"""),2708.07)</f>
        <v>2708.07</v>
      </c>
      <c r="D8375" s="1">
        <f>IFERROR(__xludf.DUMMYFUNCTION("""COMPUTED_VALUE"""),2681.83)</f>
        <v>2681.83</v>
      </c>
      <c r="E8375" s="1">
        <f>IFERROR(__xludf.DUMMYFUNCTION("""COMPUTED_VALUE"""),2707.88)</f>
        <v>2707.88</v>
      </c>
      <c r="F8375" s="1">
        <f>IFERROR(__xludf.DUMMYFUNCTION("""COMPUTED_VALUE"""),0.0)</f>
        <v>0</v>
      </c>
    </row>
    <row r="8376">
      <c r="A8376" s="2">
        <f>IFERROR(__xludf.DUMMYFUNCTION("""COMPUTED_VALUE"""),43507.66666666667)</f>
        <v>43507.66667</v>
      </c>
      <c r="B8376" s="1">
        <f>IFERROR(__xludf.DUMMYFUNCTION("""COMPUTED_VALUE"""),2712.4)</f>
        <v>2712.4</v>
      </c>
      <c r="C8376" s="1">
        <f>IFERROR(__xludf.DUMMYFUNCTION("""COMPUTED_VALUE"""),2718.05)</f>
        <v>2718.05</v>
      </c>
      <c r="D8376" s="1">
        <f>IFERROR(__xludf.DUMMYFUNCTION("""COMPUTED_VALUE"""),2703.79)</f>
        <v>2703.79</v>
      </c>
      <c r="E8376" s="1">
        <f>IFERROR(__xludf.DUMMYFUNCTION("""COMPUTED_VALUE"""),2709.8)</f>
        <v>2709.8</v>
      </c>
      <c r="F8376" s="1">
        <f>IFERROR(__xludf.DUMMYFUNCTION("""COMPUTED_VALUE"""),0.0)</f>
        <v>0</v>
      </c>
    </row>
    <row r="8377">
      <c r="A8377" s="2">
        <f>IFERROR(__xludf.DUMMYFUNCTION("""COMPUTED_VALUE"""),43508.66666666667)</f>
        <v>43508.66667</v>
      </c>
      <c r="B8377" s="1">
        <f>IFERROR(__xludf.DUMMYFUNCTION("""COMPUTED_VALUE"""),2722.61)</f>
        <v>2722.61</v>
      </c>
      <c r="C8377" s="1">
        <f>IFERROR(__xludf.DUMMYFUNCTION("""COMPUTED_VALUE"""),2748.19)</f>
        <v>2748.19</v>
      </c>
      <c r="D8377" s="1">
        <f>IFERROR(__xludf.DUMMYFUNCTION("""COMPUTED_VALUE"""),2722.61)</f>
        <v>2722.61</v>
      </c>
      <c r="E8377" s="1">
        <f>IFERROR(__xludf.DUMMYFUNCTION("""COMPUTED_VALUE"""),2744.73)</f>
        <v>2744.73</v>
      </c>
      <c r="F8377" s="1">
        <f>IFERROR(__xludf.DUMMYFUNCTION("""COMPUTED_VALUE"""),0.0)</f>
        <v>0</v>
      </c>
    </row>
    <row r="8378">
      <c r="A8378" s="2">
        <f>IFERROR(__xludf.DUMMYFUNCTION("""COMPUTED_VALUE"""),43509.66666666667)</f>
        <v>43509.66667</v>
      </c>
      <c r="B8378" s="1">
        <f>IFERROR(__xludf.DUMMYFUNCTION("""COMPUTED_VALUE"""),2750.3)</f>
        <v>2750.3</v>
      </c>
      <c r="C8378" s="1">
        <f>IFERROR(__xludf.DUMMYFUNCTION("""COMPUTED_VALUE"""),2761.85)</f>
        <v>2761.85</v>
      </c>
      <c r="D8378" s="1">
        <f>IFERROR(__xludf.DUMMYFUNCTION("""COMPUTED_VALUE"""),2748.63)</f>
        <v>2748.63</v>
      </c>
      <c r="E8378" s="1">
        <f>IFERROR(__xludf.DUMMYFUNCTION("""COMPUTED_VALUE"""),2753.03)</f>
        <v>2753.03</v>
      </c>
      <c r="F8378" s="1">
        <f>IFERROR(__xludf.DUMMYFUNCTION("""COMPUTED_VALUE"""),0.0)</f>
        <v>0</v>
      </c>
    </row>
    <row r="8379">
      <c r="A8379" s="2">
        <f>IFERROR(__xludf.DUMMYFUNCTION("""COMPUTED_VALUE"""),43510.66666666667)</f>
        <v>43510.66667</v>
      </c>
      <c r="B8379" s="1">
        <f>IFERROR(__xludf.DUMMYFUNCTION("""COMPUTED_VALUE"""),2743.5)</f>
        <v>2743.5</v>
      </c>
      <c r="C8379" s="1">
        <f>IFERROR(__xludf.DUMMYFUNCTION("""COMPUTED_VALUE"""),2757.9)</f>
        <v>2757.9</v>
      </c>
      <c r="D8379" s="1">
        <f>IFERROR(__xludf.DUMMYFUNCTION("""COMPUTED_VALUE"""),2731.23)</f>
        <v>2731.23</v>
      </c>
      <c r="E8379" s="1">
        <f>IFERROR(__xludf.DUMMYFUNCTION("""COMPUTED_VALUE"""),2745.73)</f>
        <v>2745.73</v>
      </c>
      <c r="F8379" s="1">
        <f>IFERROR(__xludf.DUMMYFUNCTION("""COMPUTED_VALUE"""),0.0)</f>
        <v>0</v>
      </c>
    </row>
    <row r="8380">
      <c r="A8380" s="2">
        <f>IFERROR(__xludf.DUMMYFUNCTION("""COMPUTED_VALUE"""),43511.66666666667)</f>
        <v>43511.66667</v>
      </c>
      <c r="B8380" s="1">
        <f>IFERROR(__xludf.DUMMYFUNCTION("""COMPUTED_VALUE"""),2760.24)</f>
        <v>2760.24</v>
      </c>
      <c r="C8380" s="1">
        <f>IFERROR(__xludf.DUMMYFUNCTION("""COMPUTED_VALUE"""),2775.66)</f>
        <v>2775.66</v>
      </c>
      <c r="D8380" s="1">
        <f>IFERROR(__xludf.DUMMYFUNCTION("""COMPUTED_VALUE"""),2760.24)</f>
        <v>2760.24</v>
      </c>
      <c r="E8380" s="1">
        <f>IFERROR(__xludf.DUMMYFUNCTION("""COMPUTED_VALUE"""),2775.6)</f>
        <v>2775.6</v>
      </c>
      <c r="F8380" s="1">
        <f>IFERROR(__xludf.DUMMYFUNCTION("""COMPUTED_VALUE"""),0.0)</f>
        <v>0</v>
      </c>
    </row>
    <row r="8381">
      <c r="A8381" s="2">
        <f>IFERROR(__xludf.DUMMYFUNCTION("""COMPUTED_VALUE"""),43515.66666666667)</f>
        <v>43515.66667</v>
      </c>
      <c r="B8381" s="1">
        <f>IFERROR(__xludf.DUMMYFUNCTION("""COMPUTED_VALUE"""),2769.28)</f>
        <v>2769.28</v>
      </c>
      <c r="C8381" s="1">
        <f>IFERROR(__xludf.DUMMYFUNCTION("""COMPUTED_VALUE"""),2787.33)</f>
        <v>2787.33</v>
      </c>
      <c r="D8381" s="1">
        <f>IFERROR(__xludf.DUMMYFUNCTION("""COMPUTED_VALUE"""),2767.29)</f>
        <v>2767.29</v>
      </c>
      <c r="E8381" s="1">
        <f>IFERROR(__xludf.DUMMYFUNCTION("""COMPUTED_VALUE"""),2779.76)</f>
        <v>2779.76</v>
      </c>
      <c r="F8381" s="1">
        <f>IFERROR(__xludf.DUMMYFUNCTION("""COMPUTED_VALUE"""),0.0)</f>
        <v>0</v>
      </c>
    </row>
    <row r="8382">
      <c r="A8382" s="2">
        <f>IFERROR(__xludf.DUMMYFUNCTION("""COMPUTED_VALUE"""),43516.66666666667)</f>
        <v>43516.66667</v>
      </c>
      <c r="B8382" s="1">
        <f>IFERROR(__xludf.DUMMYFUNCTION("""COMPUTED_VALUE"""),2779.05)</f>
        <v>2779.05</v>
      </c>
      <c r="C8382" s="1">
        <f>IFERROR(__xludf.DUMMYFUNCTION("""COMPUTED_VALUE"""),2789.88)</f>
        <v>2789.88</v>
      </c>
      <c r="D8382" s="1">
        <f>IFERROR(__xludf.DUMMYFUNCTION("""COMPUTED_VALUE"""),2774.06)</f>
        <v>2774.06</v>
      </c>
      <c r="E8382" s="1">
        <f>IFERROR(__xludf.DUMMYFUNCTION("""COMPUTED_VALUE"""),2784.7)</f>
        <v>2784.7</v>
      </c>
      <c r="F8382" s="1">
        <f>IFERROR(__xludf.DUMMYFUNCTION("""COMPUTED_VALUE"""),0.0)</f>
        <v>0</v>
      </c>
    </row>
    <row r="8383">
      <c r="A8383" s="2">
        <f>IFERROR(__xludf.DUMMYFUNCTION("""COMPUTED_VALUE"""),43517.66666666667)</f>
        <v>43517.66667</v>
      </c>
      <c r="B8383" s="1">
        <f>IFERROR(__xludf.DUMMYFUNCTION("""COMPUTED_VALUE"""),2780.24)</f>
        <v>2780.24</v>
      </c>
      <c r="C8383" s="1">
        <f>IFERROR(__xludf.DUMMYFUNCTION("""COMPUTED_VALUE"""),2781.58)</f>
        <v>2781.58</v>
      </c>
      <c r="D8383" s="1">
        <f>IFERROR(__xludf.DUMMYFUNCTION("""COMPUTED_VALUE"""),2764.55)</f>
        <v>2764.55</v>
      </c>
      <c r="E8383" s="1">
        <f>IFERROR(__xludf.DUMMYFUNCTION("""COMPUTED_VALUE"""),2774.88)</f>
        <v>2774.88</v>
      </c>
      <c r="F8383" s="1">
        <f>IFERROR(__xludf.DUMMYFUNCTION("""COMPUTED_VALUE"""),0.0)</f>
        <v>0</v>
      </c>
    </row>
    <row r="8384">
      <c r="A8384" s="2">
        <f>IFERROR(__xludf.DUMMYFUNCTION("""COMPUTED_VALUE"""),43518.66666666667)</f>
        <v>43518.66667</v>
      </c>
      <c r="B8384" s="1">
        <f>IFERROR(__xludf.DUMMYFUNCTION("""COMPUTED_VALUE"""),2780.67)</f>
        <v>2780.67</v>
      </c>
      <c r="C8384" s="1">
        <f>IFERROR(__xludf.DUMMYFUNCTION("""COMPUTED_VALUE"""),2794.2)</f>
        <v>2794.2</v>
      </c>
      <c r="D8384" s="1">
        <f>IFERROR(__xludf.DUMMYFUNCTION("""COMPUTED_VALUE"""),2779.11)</f>
        <v>2779.11</v>
      </c>
      <c r="E8384" s="1">
        <f>IFERROR(__xludf.DUMMYFUNCTION("""COMPUTED_VALUE"""),2792.67)</f>
        <v>2792.67</v>
      </c>
      <c r="F8384" s="1">
        <f>IFERROR(__xludf.DUMMYFUNCTION("""COMPUTED_VALUE"""),0.0)</f>
        <v>0</v>
      </c>
    </row>
    <row r="8385">
      <c r="A8385" s="2">
        <f>IFERROR(__xludf.DUMMYFUNCTION("""COMPUTED_VALUE"""),43521.66666666667)</f>
        <v>43521.66667</v>
      </c>
      <c r="B8385" s="1">
        <f>IFERROR(__xludf.DUMMYFUNCTION("""COMPUTED_VALUE"""),2804.35)</f>
        <v>2804.35</v>
      </c>
      <c r="C8385" s="1">
        <f>IFERROR(__xludf.DUMMYFUNCTION("""COMPUTED_VALUE"""),2813.49)</f>
        <v>2813.49</v>
      </c>
      <c r="D8385" s="1">
        <f>IFERROR(__xludf.DUMMYFUNCTION("""COMPUTED_VALUE"""),2794.99)</f>
        <v>2794.99</v>
      </c>
      <c r="E8385" s="1">
        <f>IFERROR(__xludf.DUMMYFUNCTION("""COMPUTED_VALUE"""),2796.11)</f>
        <v>2796.11</v>
      </c>
      <c r="F8385" s="1">
        <f>IFERROR(__xludf.DUMMYFUNCTION("""COMPUTED_VALUE"""),0.0)</f>
        <v>0</v>
      </c>
    </row>
    <row r="8386">
      <c r="A8386" s="2">
        <f>IFERROR(__xludf.DUMMYFUNCTION("""COMPUTED_VALUE"""),43522.66666666667)</f>
        <v>43522.66667</v>
      </c>
      <c r="B8386" s="1">
        <f>IFERROR(__xludf.DUMMYFUNCTION("""COMPUTED_VALUE"""),2792.36)</f>
        <v>2792.36</v>
      </c>
      <c r="C8386" s="1">
        <f>IFERROR(__xludf.DUMMYFUNCTION("""COMPUTED_VALUE"""),2803.12)</f>
        <v>2803.12</v>
      </c>
      <c r="D8386" s="1">
        <f>IFERROR(__xludf.DUMMYFUNCTION("""COMPUTED_VALUE"""),2789.47)</f>
        <v>2789.47</v>
      </c>
      <c r="E8386" s="1">
        <f>IFERROR(__xludf.DUMMYFUNCTION("""COMPUTED_VALUE"""),2793.9)</f>
        <v>2793.9</v>
      </c>
      <c r="F8386" s="1">
        <f>IFERROR(__xludf.DUMMYFUNCTION("""COMPUTED_VALUE"""),0.0)</f>
        <v>0</v>
      </c>
    </row>
    <row r="8387">
      <c r="A8387" s="2">
        <f>IFERROR(__xludf.DUMMYFUNCTION("""COMPUTED_VALUE"""),43523.66666666667)</f>
        <v>43523.66667</v>
      </c>
      <c r="B8387" s="1">
        <f>IFERROR(__xludf.DUMMYFUNCTION("""COMPUTED_VALUE"""),2787.5)</f>
        <v>2787.5</v>
      </c>
      <c r="C8387" s="1">
        <f>IFERROR(__xludf.DUMMYFUNCTION("""COMPUTED_VALUE"""),2795.76)</f>
        <v>2795.76</v>
      </c>
      <c r="D8387" s="1">
        <f>IFERROR(__xludf.DUMMYFUNCTION("""COMPUTED_VALUE"""),2775.13)</f>
        <v>2775.13</v>
      </c>
      <c r="E8387" s="1">
        <f>IFERROR(__xludf.DUMMYFUNCTION("""COMPUTED_VALUE"""),2792.38)</f>
        <v>2792.38</v>
      </c>
      <c r="F8387" s="1">
        <f>IFERROR(__xludf.DUMMYFUNCTION("""COMPUTED_VALUE"""),0.0)</f>
        <v>0</v>
      </c>
    </row>
    <row r="8388">
      <c r="A8388" s="2">
        <f>IFERROR(__xludf.DUMMYFUNCTION("""COMPUTED_VALUE"""),43524.66666666667)</f>
        <v>43524.66667</v>
      </c>
      <c r="B8388" s="1">
        <f>IFERROR(__xludf.DUMMYFUNCTION("""COMPUTED_VALUE"""),2788.11)</f>
        <v>2788.11</v>
      </c>
      <c r="C8388" s="1">
        <f>IFERROR(__xludf.DUMMYFUNCTION("""COMPUTED_VALUE"""),2793.73)</f>
        <v>2793.73</v>
      </c>
      <c r="D8388" s="1">
        <f>IFERROR(__xludf.DUMMYFUNCTION("""COMPUTED_VALUE"""),2782.51)</f>
        <v>2782.51</v>
      </c>
      <c r="E8388" s="1">
        <f>IFERROR(__xludf.DUMMYFUNCTION("""COMPUTED_VALUE"""),2784.49)</f>
        <v>2784.49</v>
      </c>
      <c r="F8388" s="1">
        <f>IFERROR(__xludf.DUMMYFUNCTION("""COMPUTED_VALUE"""),0.0)</f>
        <v>0</v>
      </c>
    </row>
    <row r="8389">
      <c r="A8389" s="2">
        <f>IFERROR(__xludf.DUMMYFUNCTION("""COMPUTED_VALUE"""),43525.66666666667)</f>
        <v>43525.66667</v>
      </c>
      <c r="B8389" s="1">
        <f>IFERROR(__xludf.DUMMYFUNCTION("""COMPUTED_VALUE"""),2798.22)</f>
        <v>2798.22</v>
      </c>
      <c r="C8389" s="1">
        <f>IFERROR(__xludf.DUMMYFUNCTION("""COMPUTED_VALUE"""),2808.02)</f>
        <v>2808.02</v>
      </c>
      <c r="D8389" s="1">
        <f>IFERROR(__xludf.DUMMYFUNCTION("""COMPUTED_VALUE"""),2787.38)</f>
        <v>2787.38</v>
      </c>
      <c r="E8389" s="1">
        <f>IFERROR(__xludf.DUMMYFUNCTION("""COMPUTED_VALUE"""),2803.69)</f>
        <v>2803.69</v>
      </c>
      <c r="F8389" s="1">
        <f>IFERROR(__xludf.DUMMYFUNCTION("""COMPUTED_VALUE"""),0.0)</f>
        <v>0</v>
      </c>
    </row>
    <row r="8390">
      <c r="A8390" s="2">
        <f>IFERROR(__xludf.DUMMYFUNCTION("""COMPUTED_VALUE"""),43528.66666666667)</f>
        <v>43528.66667</v>
      </c>
      <c r="B8390" s="1">
        <f>IFERROR(__xludf.DUMMYFUNCTION("""COMPUTED_VALUE"""),2814.37)</f>
        <v>2814.37</v>
      </c>
      <c r="C8390" s="1">
        <f>IFERROR(__xludf.DUMMYFUNCTION("""COMPUTED_VALUE"""),2816.88)</f>
        <v>2816.88</v>
      </c>
      <c r="D8390" s="1">
        <f>IFERROR(__xludf.DUMMYFUNCTION("""COMPUTED_VALUE"""),2767.66)</f>
        <v>2767.66</v>
      </c>
      <c r="E8390" s="1">
        <f>IFERROR(__xludf.DUMMYFUNCTION("""COMPUTED_VALUE"""),2792.81)</f>
        <v>2792.81</v>
      </c>
      <c r="F8390" s="1">
        <f>IFERROR(__xludf.DUMMYFUNCTION("""COMPUTED_VALUE"""),0.0)</f>
        <v>0</v>
      </c>
    </row>
    <row r="8391">
      <c r="A8391" s="2">
        <f>IFERROR(__xludf.DUMMYFUNCTION("""COMPUTED_VALUE"""),43529.66666666667)</f>
        <v>43529.66667</v>
      </c>
      <c r="B8391" s="1">
        <f>IFERROR(__xludf.DUMMYFUNCTION("""COMPUTED_VALUE"""),2794.41)</f>
        <v>2794.41</v>
      </c>
      <c r="C8391" s="1">
        <f>IFERROR(__xludf.DUMMYFUNCTION("""COMPUTED_VALUE"""),2796.44)</f>
        <v>2796.44</v>
      </c>
      <c r="D8391" s="1">
        <f>IFERROR(__xludf.DUMMYFUNCTION("""COMPUTED_VALUE"""),2782.97)</f>
        <v>2782.97</v>
      </c>
      <c r="E8391" s="1">
        <f>IFERROR(__xludf.DUMMYFUNCTION("""COMPUTED_VALUE"""),2789.65)</f>
        <v>2789.65</v>
      </c>
      <c r="F8391" s="1">
        <f>IFERROR(__xludf.DUMMYFUNCTION("""COMPUTED_VALUE"""),0.0)</f>
        <v>0</v>
      </c>
    </row>
    <row r="8392">
      <c r="A8392" s="2">
        <f>IFERROR(__xludf.DUMMYFUNCTION("""COMPUTED_VALUE"""),43530.66666666667)</f>
        <v>43530.66667</v>
      </c>
      <c r="B8392" s="1">
        <f>IFERROR(__xludf.DUMMYFUNCTION("""COMPUTED_VALUE"""),2790.27)</f>
        <v>2790.27</v>
      </c>
      <c r="C8392" s="1">
        <f>IFERROR(__xludf.DUMMYFUNCTION("""COMPUTED_VALUE"""),2790.27)</f>
        <v>2790.27</v>
      </c>
      <c r="D8392" s="1">
        <f>IFERROR(__xludf.DUMMYFUNCTION("""COMPUTED_VALUE"""),2768.69)</f>
        <v>2768.69</v>
      </c>
      <c r="E8392" s="1">
        <f>IFERROR(__xludf.DUMMYFUNCTION("""COMPUTED_VALUE"""),2771.45)</f>
        <v>2771.45</v>
      </c>
      <c r="F8392" s="1">
        <f>IFERROR(__xludf.DUMMYFUNCTION("""COMPUTED_VALUE"""),0.0)</f>
        <v>0</v>
      </c>
    </row>
    <row r="8393">
      <c r="A8393" s="2">
        <f>IFERROR(__xludf.DUMMYFUNCTION("""COMPUTED_VALUE"""),43531.66666666667)</f>
        <v>43531.66667</v>
      </c>
      <c r="B8393" s="1">
        <f>IFERROR(__xludf.DUMMYFUNCTION("""COMPUTED_VALUE"""),2766.53)</f>
        <v>2766.53</v>
      </c>
      <c r="C8393" s="1">
        <f>IFERROR(__xludf.DUMMYFUNCTION("""COMPUTED_VALUE"""),2767.25)</f>
        <v>2767.25</v>
      </c>
      <c r="D8393" s="1">
        <f>IFERROR(__xludf.DUMMYFUNCTION("""COMPUTED_VALUE"""),2739.09)</f>
        <v>2739.09</v>
      </c>
      <c r="E8393" s="1">
        <f>IFERROR(__xludf.DUMMYFUNCTION("""COMPUTED_VALUE"""),2748.93)</f>
        <v>2748.93</v>
      </c>
      <c r="F8393" s="1">
        <f>IFERROR(__xludf.DUMMYFUNCTION("""COMPUTED_VALUE"""),0.0)</f>
        <v>0</v>
      </c>
    </row>
    <row r="8394">
      <c r="A8394" s="2">
        <f>IFERROR(__xludf.DUMMYFUNCTION("""COMPUTED_VALUE"""),43532.66666666667)</f>
        <v>43532.66667</v>
      </c>
      <c r="B8394" s="1">
        <f>IFERROR(__xludf.DUMMYFUNCTION("""COMPUTED_VALUE"""),2730.79)</f>
        <v>2730.79</v>
      </c>
      <c r="C8394" s="1">
        <f>IFERROR(__xludf.DUMMYFUNCTION("""COMPUTED_VALUE"""),2744.13)</f>
        <v>2744.13</v>
      </c>
      <c r="D8394" s="1">
        <f>IFERROR(__xludf.DUMMYFUNCTION("""COMPUTED_VALUE"""),2722.27)</f>
        <v>2722.27</v>
      </c>
      <c r="E8394" s="1">
        <f>IFERROR(__xludf.DUMMYFUNCTION("""COMPUTED_VALUE"""),2743.07)</f>
        <v>2743.07</v>
      </c>
      <c r="F8394" s="1">
        <f>IFERROR(__xludf.DUMMYFUNCTION("""COMPUTED_VALUE"""),0.0)</f>
        <v>0</v>
      </c>
    </row>
    <row r="8395">
      <c r="A8395" s="2">
        <f>IFERROR(__xludf.DUMMYFUNCTION("""COMPUTED_VALUE"""),43535.66666666667)</f>
        <v>43535.66667</v>
      </c>
      <c r="B8395" s="1">
        <f>IFERROR(__xludf.DUMMYFUNCTION("""COMPUTED_VALUE"""),2747.61)</f>
        <v>2747.61</v>
      </c>
      <c r="C8395" s="1">
        <f>IFERROR(__xludf.DUMMYFUNCTION("""COMPUTED_VALUE"""),2784.0)</f>
        <v>2784</v>
      </c>
      <c r="D8395" s="1">
        <f>IFERROR(__xludf.DUMMYFUNCTION("""COMPUTED_VALUE"""),2747.61)</f>
        <v>2747.61</v>
      </c>
      <c r="E8395" s="1">
        <f>IFERROR(__xludf.DUMMYFUNCTION("""COMPUTED_VALUE"""),2783.3)</f>
        <v>2783.3</v>
      </c>
      <c r="F8395" s="1">
        <f>IFERROR(__xludf.DUMMYFUNCTION("""COMPUTED_VALUE"""),0.0)</f>
        <v>0</v>
      </c>
    </row>
    <row r="8396">
      <c r="A8396" s="2">
        <f>IFERROR(__xludf.DUMMYFUNCTION("""COMPUTED_VALUE"""),43536.66666666667)</f>
        <v>43536.66667</v>
      </c>
      <c r="B8396" s="1">
        <f>IFERROR(__xludf.DUMMYFUNCTION("""COMPUTED_VALUE"""),2787.34)</f>
        <v>2787.34</v>
      </c>
      <c r="C8396" s="1">
        <f>IFERROR(__xludf.DUMMYFUNCTION("""COMPUTED_VALUE"""),2798.32)</f>
        <v>2798.32</v>
      </c>
      <c r="D8396" s="1">
        <f>IFERROR(__xludf.DUMMYFUNCTION("""COMPUTED_VALUE"""),2786.73)</f>
        <v>2786.73</v>
      </c>
      <c r="E8396" s="1">
        <f>IFERROR(__xludf.DUMMYFUNCTION("""COMPUTED_VALUE"""),2791.52)</f>
        <v>2791.52</v>
      </c>
      <c r="F8396" s="1">
        <f>IFERROR(__xludf.DUMMYFUNCTION("""COMPUTED_VALUE"""),0.0)</f>
        <v>0</v>
      </c>
    </row>
    <row r="8397">
      <c r="A8397" s="2">
        <f>IFERROR(__xludf.DUMMYFUNCTION("""COMPUTED_VALUE"""),43537.66666666667)</f>
        <v>43537.66667</v>
      </c>
      <c r="B8397" s="1">
        <f>IFERROR(__xludf.DUMMYFUNCTION("""COMPUTED_VALUE"""),2799.78)</f>
        <v>2799.78</v>
      </c>
      <c r="C8397" s="1">
        <f>IFERROR(__xludf.DUMMYFUNCTION("""COMPUTED_VALUE"""),2821.24)</f>
        <v>2821.24</v>
      </c>
      <c r="D8397" s="1">
        <f>IFERROR(__xludf.DUMMYFUNCTION("""COMPUTED_VALUE"""),2799.78)</f>
        <v>2799.78</v>
      </c>
      <c r="E8397" s="1">
        <f>IFERROR(__xludf.DUMMYFUNCTION("""COMPUTED_VALUE"""),2810.92)</f>
        <v>2810.92</v>
      </c>
      <c r="F8397" s="1">
        <f>IFERROR(__xludf.DUMMYFUNCTION("""COMPUTED_VALUE"""),0.0)</f>
        <v>0</v>
      </c>
    </row>
    <row r="8398">
      <c r="A8398" s="2">
        <f>IFERROR(__xludf.DUMMYFUNCTION("""COMPUTED_VALUE"""),43538.66666666667)</f>
        <v>43538.66667</v>
      </c>
      <c r="B8398" s="1">
        <f>IFERROR(__xludf.DUMMYFUNCTION("""COMPUTED_VALUE"""),2810.38)</f>
        <v>2810.38</v>
      </c>
      <c r="C8398" s="1">
        <f>IFERROR(__xludf.DUMMYFUNCTION("""COMPUTED_VALUE"""),2815.0)</f>
        <v>2815</v>
      </c>
      <c r="D8398" s="1">
        <f>IFERROR(__xludf.DUMMYFUNCTION("""COMPUTED_VALUE"""),2803.46)</f>
        <v>2803.46</v>
      </c>
      <c r="E8398" s="1">
        <f>IFERROR(__xludf.DUMMYFUNCTION("""COMPUTED_VALUE"""),2808.48)</f>
        <v>2808.48</v>
      </c>
      <c r="F8398" s="1">
        <f>IFERROR(__xludf.DUMMYFUNCTION("""COMPUTED_VALUE"""),0.0)</f>
        <v>0</v>
      </c>
    </row>
    <row r="8399">
      <c r="A8399" s="2">
        <f>IFERROR(__xludf.DUMMYFUNCTION("""COMPUTED_VALUE"""),43539.66666666667)</f>
        <v>43539.66667</v>
      </c>
      <c r="B8399" s="1">
        <f>IFERROR(__xludf.DUMMYFUNCTION("""COMPUTED_VALUE"""),2810.79)</f>
        <v>2810.79</v>
      </c>
      <c r="C8399" s="1">
        <f>IFERROR(__xludf.DUMMYFUNCTION("""COMPUTED_VALUE"""),2830.73)</f>
        <v>2830.73</v>
      </c>
      <c r="D8399" s="1">
        <f>IFERROR(__xludf.DUMMYFUNCTION("""COMPUTED_VALUE"""),2810.79)</f>
        <v>2810.79</v>
      </c>
      <c r="E8399" s="1">
        <f>IFERROR(__xludf.DUMMYFUNCTION("""COMPUTED_VALUE"""),2822.48)</f>
        <v>2822.48</v>
      </c>
      <c r="F8399" s="1">
        <f>IFERROR(__xludf.DUMMYFUNCTION("""COMPUTED_VALUE"""),0.0)</f>
        <v>0</v>
      </c>
    </row>
    <row r="8400">
      <c r="A8400" s="2">
        <f>IFERROR(__xludf.DUMMYFUNCTION("""COMPUTED_VALUE"""),43542.66666666667)</f>
        <v>43542.66667</v>
      </c>
      <c r="B8400" s="1">
        <f>IFERROR(__xludf.DUMMYFUNCTION("""COMPUTED_VALUE"""),2822.61)</f>
        <v>2822.61</v>
      </c>
      <c r="C8400" s="1">
        <f>IFERROR(__xludf.DUMMYFUNCTION("""COMPUTED_VALUE"""),2835.41)</f>
        <v>2835.41</v>
      </c>
      <c r="D8400" s="1">
        <f>IFERROR(__xludf.DUMMYFUNCTION("""COMPUTED_VALUE"""),2821.99)</f>
        <v>2821.99</v>
      </c>
      <c r="E8400" s="1">
        <f>IFERROR(__xludf.DUMMYFUNCTION("""COMPUTED_VALUE"""),2832.94)</f>
        <v>2832.94</v>
      </c>
      <c r="F8400" s="1">
        <f>IFERROR(__xludf.DUMMYFUNCTION("""COMPUTED_VALUE"""),0.0)</f>
        <v>0</v>
      </c>
    </row>
    <row r="8401">
      <c r="A8401" s="2">
        <f>IFERROR(__xludf.DUMMYFUNCTION("""COMPUTED_VALUE"""),43543.66666666667)</f>
        <v>43543.66667</v>
      </c>
      <c r="B8401" s="1">
        <f>IFERROR(__xludf.DUMMYFUNCTION("""COMPUTED_VALUE"""),2840.76)</f>
        <v>2840.76</v>
      </c>
      <c r="C8401" s="1">
        <f>IFERROR(__xludf.DUMMYFUNCTION("""COMPUTED_VALUE"""),2852.42)</f>
        <v>2852.42</v>
      </c>
      <c r="D8401" s="1">
        <f>IFERROR(__xludf.DUMMYFUNCTION("""COMPUTED_VALUE"""),2823.27)</f>
        <v>2823.27</v>
      </c>
      <c r="E8401" s="1">
        <f>IFERROR(__xludf.DUMMYFUNCTION("""COMPUTED_VALUE"""),2832.57)</f>
        <v>2832.57</v>
      </c>
      <c r="F8401" s="1">
        <f>IFERROR(__xludf.DUMMYFUNCTION("""COMPUTED_VALUE"""),0.0)</f>
        <v>0</v>
      </c>
    </row>
    <row r="8402">
      <c r="A8402" s="2">
        <f>IFERROR(__xludf.DUMMYFUNCTION("""COMPUTED_VALUE"""),43544.66666666667)</f>
        <v>43544.66667</v>
      </c>
      <c r="B8402" s="1">
        <f>IFERROR(__xludf.DUMMYFUNCTION("""COMPUTED_VALUE"""),2831.34)</f>
        <v>2831.34</v>
      </c>
      <c r="C8402" s="1">
        <f>IFERROR(__xludf.DUMMYFUNCTION("""COMPUTED_VALUE"""),2843.54)</f>
        <v>2843.54</v>
      </c>
      <c r="D8402" s="1">
        <f>IFERROR(__xludf.DUMMYFUNCTION("""COMPUTED_VALUE"""),2812.43)</f>
        <v>2812.43</v>
      </c>
      <c r="E8402" s="1">
        <f>IFERROR(__xludf.DUMMYFUNCTION("""COMPUTED_VALUE"""),2824.23)</f>
        <v>2824.23</v>
      </c>
      <c r="F8402" s="1">
        <f>IFERROR(__xludf.DUMMYFUNCTION("""COMPUTED_VALUE"""),0.0)</f>
        <v>0</v>
      </c>
    </row>
    <row r="8403">
      <c r="A8403" s="2">
        <f>IFERROR(__xludf.DUMMYFUNCTION("""COMPUTED_VALUE"""),43545.66666666667)</f>
        <v>43545.66667</v>
      </c>
      <c r="B8403" s="1">
        <f>IFERROR(__xludf.DUMMYFUNCTION("""COMPUTED_VALUE"""),2819.72)</f>
        <v>2819.72</v>
      </c>
      <c r="C8403" s="1">
        <f>IFERROR(__xludf.DUMMYFUNCTION("""COMPUTED_VALUE"""),2860.31)</f>
        <v>2860.31</v>
      </c>
      <c r="D8403" s="1">
        <f>IFERROR(__xludf.DUMMYFUNCTION("""COMPUTED_VALUE"""),2817.38)</f>
        <v>2817.38</v>
      </c>
      <c r="E8403" s="1">
        <f>IFERROR(__xludf.DUMMYFUNCTION("""COMPUTED_VALUE"""),2854.88)</f>
        <v>2854.88</v>
      </c>
      <c r="F8403" s="1">
        <f>IFERROR(__xludf.DUMMYFUNCTION("""COMPUTED_VALUE"""),0.0)</f>
        <v>0</v>
      </c>
    </row>
    <row r="8404">
      <c r="A8404" s="2">
        <f>IFERROR(__xludf.DUMMYFUNCTION("""COMPUTED_VALUE"""),43546.66666666667)</f>
        <v>43546.66667</v>
      </c>
      <c r="B8404" s="1">
        <f>IFERROR(__xludf.DUMMYFUNCTION("""COMPUTED_VALUE"""),2844.52)</f>
        <v>2844.52</v>
      </c>
      <c r="C8404" s="1">
        <f>IFERROR(__xludf.DUMMYFUNCTION("""COMPUTED_VALUE"""),2846.16)</f>
        <v>2846.16</v>
      </c>
      <c r="D8404" s="1">
        <f>IFERROR(__xludf.DUMMYFUNCTION("""COMPUTED_VALUE"""),2800.47)</f>
        <v>2800.47</v>
      </c>
      <c r="E8404" s="1">
        <f>IFERROR(__xludf.DUMMYFUNCTION("""COMPUTED_VALUE"""),2800.71)</f>
        <v>2800.71</v>
      </c>
      <c r="F8404" s="1">
        <f>IFERROR(__xludf.DUMMYFUNCTION("""COMPUTED_VALUE"""),0.0)</f>
        <v>0</v>
      </c>
    </row>
    <row r="8405">
      <c r="A8405" s="2">
        <f>IFERROR(__xludf.DUMMYFUNCTION("""COMPUTED_VALUE"""),43549.66666666667)</f>
        <v>43549.66667</v>
      </c>
      <c r="B8405" s="1">
        <f>IFERROR(__xludf.DUMMYFUNCTION("""COMPUTED_VALUE"""),2796.01)</f>
        <v>2796.01</v>
      </c>
      <c r="C8405" s="1">
        <f>IFERROR(__xludf.DUMMYFUNCTION("""COMPUTED_VALUE"""),2809.79)</f>
        <v>2809.79</v>
      </c>
      <c r="D8405" s="1">
        <f>IFERROR(__xludf.DUMMYFUNCTION("""COMPUTED_VALUE"""),2785.02)</f>
        <v>2785.02</v>
      </c>
      <c r="E8405" s="1">
        <f>IFERROR(__xludf.DUMMYFUNCTION("""COMPUTED_VALUE"""),2798.36)</f>
        <v>2798.36</v>
      </c>
      <c r="F8405" s="1">
        <f>IFERROR(__xludf.DUMMYFUNCTION("""COMPUTED_VALUE"""),0.0)</f>
        <v>0</v>
      </c>
    </row>
    <row r="8406">
      <c r="A8406" s="2">
        <f>IFERROR(__xludf.DUMMYFUNCTION("""COMPUTED_VALUE"""),43550.66666666667)</f>
        <v>43550.66667</v>
      </c>
      <c r="B8406" s="1">
        <f>IFERROR(__xludf.DUMMYFUNCTION("""COMPUTED_VALUE"""),2812.66)</f>
        <v>2812.66</v>
      </c>
      <c r="C8406" s="1">
        <f>IFERROR(__xludf.DUMMYFUNCTION("""COMPUTED_VALUE"""),2829.87)</f>
        <v>2829.87</v>
      </c>
      <c r="D8406" s="1">
        <f>IFERROR(__xludf.DUMMYFUNCTION("""COMPUTED_VALUE"""),2803.99)</f>
        <v>2803.99</v>
      </c>
      <c r="E8406" s="1">
        <f>IFERROR(__xludf.DUMMYFUNCTION("""COMPUTED_VALUE"""),2818.46)</f>
        <v>2818.46</v>
      </c>
      <c r="F8406" s="1">
        <f>IFERROR(__xludf.DUMMYFUNCTION("""COMPUTED_VALUE"""),0.0)</f>
        <v>0</v>
      </c>
    </row>
    <row r="8407">
      <c r="A8407" s="2">
        <f>IFERROR(__xludf.DUMMYFUNCTION("""COMPUTED_VALUE"""),43551.66666666667)</f>
        <v>43551.66667</v>
      </c>
      <c r="B8407" s="1">
        <f>IFERROR(__xludf.DUMMYFUNCTION("""COMPUTED_VALUE"""),2819.72)</f>
        <v>2819.72</v>
      </c>
      <c r="C8407" s="1">
        <f>IFERROR(__xludf.DUMMYFUNCTION("""COMPUTED_VALUE"""),2825.56)</f>
        <v>2825.56</v>
      </c>
      <c r="D8407" s="1">
        <f>IFERROR(__xludf.DUMMYFUNCTION("""COMPUTED_VALUE"""),2787.72)</f>
        <v>2787.72</v>
      </c>
      <c r="E8407" s="1">
        <f>IFERROR(__xludf.DUMMYFUNCTION("""COMPUTED_VALUE"""),2805.37)</f>
        <v>2805.37</v>
      </c>
      <c r="F8407" s="1">
        <f>IFERROR(__xludf.DUMMYFUNCTION("""COMPUTED_VALUE"""),0.0)</f>
        <v>0</v>
      </c>
    </row>
    <row r="8408">
      <c r="A8408" s="2">
        <f>IFERROR(__xludf.DUMMYFUNCTION("""COMPUTED_VALUE"""),43552.66666666667)</f>
        <v>43552.66667</v>
      </c>
      <c r="B8408" s="1">
        <f>IFERROR(__xludf.DUMMYFUNCTION("""COMPUTED_VALUE"""),2809.4)</f>
        <v>2809.4</v>
      </c>
      <c r="C8408" s="1">
        <f>IFERROR(__xludf.DUMMYFUNCTION("""COMPUTED_VALUE"""),2819.71)</f>
        <v>2819.71</v>
      </c>
      <c r="D8408" s="1">
        <f>IFERROR(__xludf.DUMMYFUNCTION("""COMPUTED_VALUE"""),2798.77)</f>
        <v>2798.77</v>
      </c>
      <c r="E8408" s="1">
        <f>IFERROR(__xludf.DUMMYFUNCTION("""COMPUTED_VALUE"""),2815.44)</f>
        <v>2815.44</v>
      </c>
      <c r="F8408" s="1">
        <f>IFERROR(__xludf.DUMMYFUNCTION("""COMPUTED_VALUE"""),0.0)</f>
        <v>0</v>
      </c>
    </row>
    <row r="8409">
      <c r="A8409" s="2">
        <f>IFERROR(__xludf.DUMMYFUNCTION("""COMPUTED_VALUE"""),43553.66666666667)</f>
        <v>43553.66667</v>
      </c>
      <c r="B8409" s="1">
        <f>IFERROR(__xludf.DUMMYFUNCTION("""COMPUTED_VALUE"""),2828.27)</f>
        <v>2828.27</v>
      </c>
      <c r="C8409" s="1">
        <f>IFERROR(__xludf.DUMMYFUNCTION("""COMPUTED_VALUE"""),2836.03)</f>
        <v>2836.03</v>
      </c>
      <c r="D8409" s="1">
        <f>IFERROR(__xludf.DUMMYFUNCTION("""COMPUTED_VALUE"""),2819.23)</f>
        <v>2819.23</v>
      </c>
      <c r="E8409" s="1">
        <f>IFERROR(__xludf.DUMMYFUNCTION("""COMPUTED_VALUE"""),2834.4)</f>
        <v>2834.4</v>
      </c>
      <c r="F8409" s="1">
        <f>IFERROR(__xludf.DUMMYFUNCTION("""COMPUTED_VALUE"""),0.0)</f>
        <v>0</v>
      </c>
    </row>
    <row r="8410">
      <c r="A8410" s="2">
        <f>IFERROR(__xludf.DUMMYFUNCTION("""COMPUTED_VALUE"""),43556.66666666667)</f>
        <v>43556.66667</v>
      </c>
      <c r="B8410" s="1">
        <f>IFERROR(__xludf.DUMMYFUNCTION("""COMPUTED_VALUE"""),2848.63)</f>
        <v>2848.63</v>
      </c>
      <c r="C8410" s="1">
        <f>IFERROR(__xludf.DUMMYFUNCTION("""COMPUTED_VALUE"""),2869.4)</f>
        <v>2869.4</v>
      </c>
      <c r="D8410" s="1">
        <f>IFERROR(__xludf.DUMMYFUNCTION("""COMPUTED_VALUE"""),2848.63)</f>
        <v>2848.63</v>
      </c>
      <c r="E8410" s="1">
        <f>IFERROR(__xludf.DUMMYFUNCTION("""COMPUTED_VALUE"""),2867.19)</f>
        <v>2867.19</v>
      </c>
      <c r="F8410" s="1">
        <f>IFERROR(__xludf.DUMMYFUNCTION("""COMPUTED_VALUE"""),0.0)</f>
        <v>0</v>
      </c>
    </row>
    <row r="8411">
      <c r="A8411" s="2">
        <f>IFERROR(__xludf.DUMMYFUNCTION("""COMPUTED_VALUE"""),43557.66666666667)</f>
        <v>43557.66667</v>
      </c>
      <c r="B8411" s="1">
        <f>IFERROR(__xludf.DUMMYFUNCTION("""COMPUTED_VALUE"""),2868.24)</f>
        <v>2868.24</v>
      </c>
      <c r="C8411" s="1">
        <f>IFERROR(__xludf.DUMMYFUNCTION("""COMPUTED_VALUE"""),2872.9)</f>
        <v>2872.9</v>
      </c>
      <c r="D8411" s="1">
        <f>IFERROR(__xludf.DUMMYFUNCTION("""COMPUTED_VALUE"""),2858.75)</f>
        <v>2858.75</v>
      </c>
      <c r="E8411" s="1">
        <f>IFERROR(__xludf.DUMMYFUNCTION("""COMPUTED_VALUE"""),2867.24)</f>
        <v>2867.24</v>
      </c>
      <c r="F8411" s="1">
        <f>IFERROR(__xludf.DUMMYFUNCTION("""COMPUTED_VALUE"""),0.0)</f>
        <v>0</v>
      </c>
    </row>
    <row r="8412">
      <c r="A8412" s="2">
        <f>IFERROR(__xludf.DUMMYFUNCTION("""COMPUTED_VALUE"""),43558.66666666667)</f>
        <v>43558.66667</v>
      </c>
      <c r="B8412" s="1">
        <f>IFERROR(__xludf.DUMMYFUNCTION("""COMPUTED_VALUE"""),2876.09)</f>
        <v>2876.09</v>
      </c>
      <c r="C8412" s="1">
        <f>IFERROR(__xludf.DUMMYFUNCTION("""COMPUTED_VALUE"""),2885.25)</f>
        <v>2885.25</v>
      </c>
      <c r="D8412" s="1">
        <f>IFERROR(__xludf.DUMMYFUNCTION("""COMPUTED_VALUE"""),2865.17)</f>
        <v>2865.17</v>
      </c>
      <c r="E8412" s="1">
        <f>IFERROR(__xludf.DUMMYFUNCTION("""COMPUTED_VALUE"""),2873.4)</f>
        <v>2873.4</v>
      </c>
      <c r="F8412" s="1">
        <f>IFERROR(__xludf.DUMMYFUNCTION("""COMPUTED_VALUE"""),0.0)</f>
        <v>0</v>
      </c>
    </row>
    <row r="8413">
      <c r="A8413" s="2">
        <f>IFERROR(__xludf.DUMMYFUNCTION("""COMPUTED_VALUE"""),43559.66666666667)</f>
        <v>43559.66667</v>
      </c>
      <c r="B8413" s="1">
        <f>IFERROR(__xludf.DUMMYFUNCTION("""COMPUTED_VALUE"""),2873.99)</f>
        <v>2873.99</v>
      </c>
      <c r="C8413" s="1">
        <f>IFERROR(__xludf.DUMMYFUNCTION("""COMPUTED_VALUE"""),2881.28)</f>
        <v>2881.28</v>
      </c>
      <c r="D8413" s="1">
        <f>IFERROR(__xludf.DUMMYFUNCTION("""COMPUTED_VALUE"""),2867.14)</f>
        <v>2867.14</v>
      </c>
      <c r="E8413" s="1">
        <f>IFERROR(__xludf.DUMMYFUNCTION("""COMPUTED_VALUE"""),2879.39)</f>
        <v>2879.39</v>
      </c>
      <c r="F8413" s="1">
        <f>IFERROR(__xludf.DUMMYFUNCTION("""COMPUTED_VALUE"""),0.0)</f>
        <v>0</v>
      </c>
    </row>
    <row r="8414">
      <c r="A8414" s="2">
        <f>IFERROR(__xludf.DUMMYFUNCTION("""COMPUTED_VALUE"""),43560.66666666667)</f>
        <v>43560.66667</v>
      </c>
      <c r="B8414" s="1">
        <f>IFERROR(__xludf.DUMMYFUNCTION("""COMPUTED_VALUE"""),2884.16)</f>
        <v>2884.16</v>
      </c>
      <c r="C8414" s="1">
        <f>IFERROR(__xludf.DUMMYFUNCTION("""COMPUTED_VALUE"""),2893.24)</f>
        <v>2893.24</v>
      </c>
      <c r="D8414" s="1">
        <f>IFERROR(__xludf.DUMMYFUNCTION("""COMPUTED_VALUE"""),2882.99)</f>
        <v>2882.99</v>
      </c>
      <c r="E8414" s="1">
        <f>IFERROR(__xludf.DUMMYFUNCTION("""COMPUTED_VALUE"""),2892.74)</f>
        <v>2892.74</v>
      </c>
      <c r="F8414" s="1">
        <f>IFERROR(__xludf.DUMMYFUNCTION("""COMPUTED_VALUE"""),0.0)</f>
        <v>0</v>
      </c>
    </row>
    <row r="8415">
      <c r="A8415" s="2">
        <f>IFERROR(__xludf.DUMMYFUNCTION("""COMPUTED_VALUE"""),43563.66666666667)</f>
        <v>43563.66667</v>
      </c>
      <c r="B8415" s="1">
        <f>IFERROR(__xludf.DUMMYFUNCTION("""COMPUTED_VALUE"""),2888.46)</f>
        <v>2888.46</v>
      </c>
      <c r="C8415" s="1">
        <f>IFERROR(__xludf.DUMMYFUNCTION("""COMPUTED_VALUE"""),2895.95)</f>
        <v>2895.95</v>
      </c>
      <c r="D8415" s="1">
        <f>IFERROR(__xludf.DUMMYFUNCTION("""COMPUTED_VALUE"""),2880.78)</f>
        <v>2880.78</v>
      </c>
      <c r="E8415" s="1">
        <f>IFERROR(__xludf.DUMMYFUNCTION("""COMPUTED_VALUE"""),2895.77)</f>
        <v>2895.77</v>
      </c>
      <c r="F8415" s="1">
        <f>IFERROR(__xludf.DUMMYFUNCTION("""COMPUTED_VALUE"""),0.0)</f>
        <v>0</v>
      </c>
    </row>
    <row r="8416">
      <c r="A8416" s="2">
        <f>IFERROR(__xludf.DUMMYFUNCTION("""COMPUTED_VALUE"""),43564.66666666667)</f>
        <v>43564.66667</v>
      </c>
      <c r="B8416" s="1">
        <f>IFERROR(__xludf.DUMMYFUNCTION("""COMPUTED_VALUE"""),2886.58)</f>
        <v>2886.58</v>
      </c>
      <c r="C8416" s="1">
        <f>IFERROR(__xludf.DUMMYFUNCTION("""COMPUTED_VALUE"""),2886.88)</f>
        <v>2886.88</v>
      </c>
      <c r="D8416" s="1">
        <f>IFERROR(__xludf.DUMMYFUNCTION("""COMPUTED_VALUE"""),2873.33)</f>
        <v>2873.33</v>
      </c>
      <c r="E8416" s="1">
        <f>IFERROR(__xludf.DUMMYFUNCTION("""COMPUTED_VALUE"""),2878.2)</f>
        <v>2878.2</v>
      </c>
      <c r="F8416" s="1">
        <f>IFERROR(__xludf.DUMMYFUNCTION("""COMPUTED_VALUE"""),0.0)</f>
        <v>0</v>
      </c>
    </row>
    <row r="8417">
      <c r="A8417" s="2">
        <f>IFERROR(__xludf.DUMMYFUNCTION("""COMPUTED_VALUE"""),43565.66666666667)</f>
        <v>43565.66667</v>
      </c>
      <c r="B8417" s="1">
        <f>IFERROR(__xludf.DUMMYFUNCTION("""COMPUTED_VALUE"""),2881.37)</f>
        <v>2881.37</v>
      </c>
      <c r="C8417" s="1">
        <f>IFERROR(__xludf.DUMMYFUNCTION("""COMPUTED_VALUE"""),2889.71)</f>
        <v>2889.71</v>
      </c>
      <c r="D8417" s="1">
        <f>IFERROR(__xludf.DUMMYFUNCTION("""COMPUTED_VALUE"""),2879.13)</f>
        <v>2879.13</v>
      </c>
      <c r="E8417" s="1">
        <f>IFERROR(__xludf.DUMMYFUNCTION("""COMPUTED_VALUE"""),2888.21)</f>
        <v>2888.21</v>
      </c>
      <c r="F8417" s="1">
        <f>IFERROR(__xludf.DUMMYFUNCTION("""COMPUTED_VALUE"""),0.0)</f>
        <v>0</v>
      </c>
    </row>
    <row r="8418">
      <c r="A8418" s="2">
        <f>IFERROR(__xludf.DUMMYFUNCTION("""COMPUTED_VALUE"""),43566.66666666667)</f>
        <v>43566.66667</v>
      </c>
      <c r="B8418" s="1">
        <f>IFERROR(__xludf.DUMMYFUNCTION("""COMPUTED_VALUE"""),2891.92)</f>
        <v>2891.92</v>
      </c>
      <c r="C8418" s="1">
        <f>IFERROR(__xludf.DUMMYFUNCTION("""COMPUTED_VALUE"""),2893.42)</f>
        <v>2893.42</v>
      </c>
      <c r="D8418" s="1">
        <f>IFERROR(__xludf.DUMMYFUNCTION("""COMPUTED_VALUE"""),2881.99)</f>
        <v>2881.99</v>
      </c>
      <c r="E8418" s="1">
        <f>IFERROR(__xludf.DUMMYFUNCTION("""COMPUTED_VALUE"""),2888.32)</f>
        <v>2888.32</v>
      </c>
      <c r="F8418" s="1">
        <f>IFERROR(__xludf.DUMMYFUNCTION("""COMPUTED_VALUE"""),0.0)</f>
        <v>0</v>
      </c>
    </row>
    <row r="8419">
      <c r="A8419" s="2">
        <f>IFERROR(__xludf.DUMMYFUNCTION("""COMPUTED_VALUE"""),43567.66666666667)</f>
        <v>43567.66667</v>
      </c>
      <c r="B8419" s="1">
        <f>IFERROR(__xludf.DUMMYFUNCTION("""COMPUTED_VALUE"""),2900.86)</f>
        <v>2900.86</v>
      </c>
      <c r="C8419" s="1">
        <f>IFERROR(__xludf.DUMMYFUNCTION("""COMPUTED_VALUE"""),2910.54)</f>
        <v>2910.54</v>
      </c>
      <c r="D8419" s="1">
        <f>IFERROR(__xludf.DUMMYFUNCTION("""COMPUTED_VALUE"""),2898.37)</f>
        <v>2898.37</v>
      </c>
      <c r="E8419" s="1">
        <f>IFERROR(__xludf.DUMMYFUNCTION("""COMPUTED_VALUE"""),2907.41)</f>
        <v>2907.41</v>
      </c>
      <c r="F8419" s="1">
        <f>IFERROR(__xludf.DUMMYFUNCTION("""COMPUTED_VALUE"""),0.0)</f>
        <v>0</v>
      </c>
    </row>
    <row r="8420">
      <c r="A8420" s="2">
        <f>IFERROR(__xludf.DUMMYFUNCTION("""COMPUTED_VALUE"""),43570.66666666667)</f>
        <v>43570.66667</v>
      </c>
      <c r="B8420" s="1">
        <f>IFERROR(__xludf.DUMMYFUNCTION("""COMPUTED_VALUE"""),2908.32)</f>
        <v>2908.32</v>
      </c>
      <c r="C8420" s="1">
        <f>IFERROR(__xludf.DUMMYFUNCTION("""COMPUTED_VALUE"""),2909.6)</f>
        <v>2909.6</v>
      </c>
      <c r="D8420" s="1">
        <f>IFERROR(__xludf.DUMMYFUNCTION("""COMPUTED_VALUE"""),2896.48)</f>
        <v>2896.48</v>
      </c>
      <c r="E8420" s="1">
        <f>IFERROR(__xludf.DUMMYFUNCTION("""COMPUTED_VALUE"""),2905.58)</f>
        <v>2905.58</v>
      </c>
      <c r="F8420" s="1">
        <f>IFERROR(__xludf.DUMMYFUNCTION("""COMPUTED_VALUE"""),0.0)</f>
        <v>0</v>
      </c>
    </row>
    <row r="8421">
      <c r="A8421" s="2">
        <f>IFERROR(__xludf.DUMMYFUNCTION("""COMPUTED_VALUE"""),43571.66666666667)</f>
        <v>43571.66667</v>
      </c>
      <c r="B8421" s="1">
        <f>IFERROR(__xludf.DUMMYFUNCTION("""COMPUTED_VALUE"""),2912.26)</f>
        <v>2912.26</v>
      </c>
      <c r="C8421" s="1">
        <f>IFERROR(__xludf.DUMMYFUNCTION("""COMPUTED_VALUE"""),2916.06)</f>
        <v>2916.06</v>
      </c>
      <c r="D8421" s="1">
        <f>IFERROR(__xludf.DUMMYFUNCTION("""COMPUTED_VALUE"""),2900.71)</f>
        <v>2900.71</v>
      </c>
      <c r="E8421" s="1">
        <f>IFERROR(__xludf.DUMMYFUNCTION("""COMPUTED_VALUE"""),2907.06)</f>
        <v>2907.06</v>
      </c>
      <c r="F8421" s="1">
        <f>IFERROR(__xludf.DUMMYFUNCTION("""COMPUTED_VALUE"""),0.0)</f>
        <v>0</v>
      </c>
    </row>
    <row r="8422">
      <c r="A8422" s="2">
        <f>IFERROR(__xludf.DUMMYFUNCTION("""COMPUTED_VALUE"""),43572.66666666667)</f>
        <v>43572.66667</v>
      </c>
      <c r="B8422" s="1">
        <f>IFERROR(__xludf.DUMMYFUNCTION("""COMPUTED_VALUE"""),2916.04)</f>
        <v>2916.04</v>
      </c>
      <c r="C8422" s="1">
        <f>IFERROR(__xludf.DUMMYFUNCTION("""COMPUTED_VALUE"""),2918.0)</f>
        <v>2918</v>
      </c>
      <c r="D8422" s="1">
        <f>IFERROR(__xludf.DUMMYFUNCTION("""COMPUTED_VALUE"""),2895.45)</f>
        <v>2895.45</v>
      </c>
      <c r="E8422" s="1">
        <f>IFERROR(__xludf.DUMMYFUNCTION("""COMPUTED_VALUE"""),2900.45)</f>
        <v>2900.45</v>
      </c>
      <c r="F8422" s="1">
        <f>IFERROR(__xludf.DUMMYFUNCTION("""COMPUTED_VALUE"""),0.0)</f>
        <v>0</v>
      </c>
    </row>
    <row r="8423">
      <c r="A8423" s="2">
        <f>IFERROR(__xludf.DUMMYFUNCTION("""COMPUTED_VALUE"""),43573.66666666667)</f>
        <v>43573.66667</v>
      </c>
      <c r="B8423" s="1">
        <f>IFERROR(__xludf.DUMMYFUNCTION("""COMPUTED_VALUE"""),2904.81)</f>
        <v>2904.81</v>
      </c>
      <c r="C8423" s="1">
        <f>IFERROR(__xludf.DUMMYFUNCTION("""COMPUTED_VALUE"""),2908.4)</f>
        <v>2908.4</v>
      </c>
      <c r="D8423" s="1">
        <f>IFERROR(__xludf.DUMMYFUNCTION("""COMPUTED_VALUE"""),2891.9)</f>
        <v>2891.9</v>
      </c>
      <c r="E8423" s="1">
        <f>IFERROR(__xludf.DUMMYFUNCTION("""COMPUTED_VALUE"""),2905.03)</f>
        <v>2905.03</v>
      </c>
      <c r="F8423" s="1">
        <f>IFERROR(__xludf.DUMMYFUNCTION("""COMPUTED_VALUE"""),0.0)</f>
        <v>0</v>
      </c>
    </row>
    <row r="8424">
      <c r="A8424" s="2">
        <f>IFERROR(__xludf.DUMMYFUNCTION("""COMPUTED_VALUE"""),43577.66666666667)</f>
        <v>43577.66667</v>
      </c>
      <c r="B8424" s="1">
        <f>IFERROR(__xludf.DUMMYFUNCTION("""COMPUTED_VALUE"""),2898.78)</f>
        <v>2898.78</v>
      </c>
      <c r="C8424" s="1">
        <f>IFERROR(__xludf.DUMMYFUNCTION("""COMPUTED_VALUE"""),2909.51)</f>
        <v>2909.51</v>
      </c>
      <c r="D8424" s="1">
        <f>IFERROR(__xludf.DUMMYFUNCTION("""COMPUTED_VALUE"""),2896.35)</f>
        <v>2896.35</v>
      </c>
      <c r="E8424" s="1">
        <f>IFERROR(__xludf.DUMMYFUNCTION("""COMPUTED_VALUE"""),2907.97)</f>
        <v>2907.97</v>
      </c>
      <c r="F8424" s="1">
        <f>IFERROR(__xludf.DUMMYFUNCTION("""COMPUTED_VALUE"""),0.0)</f>
        <v>0</v>
      </c>
    </row>
    <row r="8425">
      <c r="A8425" s="2">
        <f>IFERROR(__xludf.DUMMYFUNCTION("""COMPUTED_VALUE"""),43578.66666666667)</f>
        <v>43578.66667</v>
      </c>
      <c r="B8425" s="1">
        <f>IFERROR(__xludf.DUMMYFUNCTION("""COMPUTED_VALUE"""),2909.99)</f>
        <v>2909.99</v>
      </c>
      <c r="C8425" s="1">
        <f>IFERROR(__xludf.DUMMYFUNCTION("""COMPUTED_VALUE"""),2936.31)</f>
        <v>2936.31</v>
      </c>
      <c r="D8425" s="1">
        <f>IFERROR(__xludf.DUMMYFUNCTION("""COMPUTED_VALUE"""),2908.53)</f>
        <v>2908.53</v>
      </c>
      <c r="E8425" s="1">
        <f>IFERROR(__xludf.DUMMYFUNCTION("""COMPUTED_VALUE"""),2933.68)</f>
        <v>2933.68</v>
      </c>
      <c r="F8425" s="1">
        <f>IFERROR(__xludf.DUMMYFUNCTION("""COMPUTED_VALUE"""),0.0)</f>
        <v>0</v>
      </c>
    </row>
    <row r="8426">
      <c r="A8426" s="2">
        <f>IFERROR(__xludf.DUMMYFUNCTION("""COMPUTED_VALUE"""),43579.66666666667)</f>
        <v>43579.66667</v>
      </c>
      <c r="B8426" s="1">
        <f>IFERROR(__xludf.DUMMYFUNCTION("""COMPUTED_VALUE"""),2933.6)</f>
        <v>2933.6</v>
      </c>
      <c r="C8426" s="1">
        <f>IFERROR(__xludf.DUMMYFUNCTION("""COMPUTED_VALUE"""),2936.83)</f>
        <v>2936.83</v>
      </c>
      <c r="D8426" s="1">
        <f>IFERROR(__xludf.DUMMYFUNCTION("""COMPUTED_VALUE"""),2926.05)</f>
        <v>2926.05</v>
      </c>
      <c r="E8426" s="1">
        <f>IFERROR(__xludf.DUMMYFUNCTION("""COMPUTED_VALUE"""),2927.25)</f>
        <v>2927.25</v>
      </c>
      <c r="F8426" s="1">
        <f>IFERROR(__xludf.DUMMYFUNCTION("""COMPUTED_VALUE"""),0.0)</f>
        <v>0</v>
      </c>
    </row>
    <row r="8427">
      <c r="A8427" s="2">
        <f>IFERROR(__xludf.DUMMYFUNCTION("""COMPUTED_VALUE"""),43580.66666666667)</f>
        <v>43580.66667</v>
      </c>
      <c r="B8427" s="1">
        <f>IFERROR(__xludf.DUMMYFUNCTION("""COMPUTED_VALUE"""),2928.99)</f>
        <v>2928.99</v>
      </c>
      <c r="C8427" s="1">
        <f>IFERROR(__xludf.DUMMYFUNCTION("""COMPUTED_VALUE"""),2933.1)</f>
        <v>2933.1</v>
      </c>
      <c r="D8427" s="1">
        <f>IFERROR(__xludf.DUMMYFUNCTION("""COMPUTED_VALUE"""),2912.84)</f>
        <v>2912.84</v>
      </c>
      <c r="E8427" s="1">
        <f>IFERROR(__xludf.DUMMYFUNCTION("""COMPUTED_VALUE"""),2926.17)</f>
        <v>2926.17</v>
      </c>
      <c r="F8427" s="1">
        <f>IFERROR(__xludf.DUMMYFUNCTION("""COMPUTED_VALUE"""),0.0)</f>
        <v>0</v>
      </c>
    </row>
    <row r="8428">
      <c r="A8428" s="2">
        <f>IFERROR(__xludf.DUMMYFUNCTION("""COMPUTED_VALUE"""),43581.66666666667)</f>
        <v>43581.66667</v>
      </c>
      <c r="B8428" s="1">
        <f>IFERROR(__xludf.DUMMYFUNCTION("""COMPUTED_VALUE"""),2925.81)</f>
        <v>2925.81</v>
      </c>
      <c r="C8428" s="1">
        <f>IFERROR(__xludf.DUMMYFUNCTION("""COMPUTED_VALUE"""),2939.88)</f>
        <v>2939.88</v>
      </c>
      <c r="D8428" s="1">
        <f>IFERROR(__xludf.DUMMYFUNCTION("""COMPUTED_VALUE"""),2917.56)</f>
        <v>2917.56</v>
      </c>
      <c r="E8428" s="1">
        <f>IFERROR(__xludf.DUMMYFUNCTION("""COMPUTED_VALUE"""),2939.88)</f>
        <v>2939.88</v>
      </c>
      <c r="F8428" s="1">
        <f>IFERROR(__xludf.DUMMYFUNCTION("""COMPUTED_VALUE"""),0.0)</f>
        <v>0</v>
      </c>
    </row>
    <row r="8429">
      <c r="A8429" s="2">
        <f>IFERROR(__xludf.DUMMYFUNCTION("""COMPUTED_VALUE"""),43584.66666666667)</f>
        <v>43584.66667</v>
      </c>
      <c r="B8429" s="1">
        <f>IFERROR(__xludf.DUMMYFUNCTION("""COMPUTED_VALUE"""),2940.58)</f>
        <v>2940.58</v>
      </c>
      <c r="C8429" s="1">
        <f>IFERROR(__xludf.DUMMYFUNCTION("""COMPUTED_VALUE"""),2949.52)</f>
        <v>2949.52</v>
      </c>
      <c r="D8429" s="1">
        <f>IFERROR(__xludf.DUMMYFUNCTION("""COMPUTED_VALUE"""),2939.35)</f>
        <v>2939.35</v>
      </c>
      <c r="E8429" s="1">
        <f>IFERROR(__xludf.DUMMYFUNCTION("""COMPUTED_VALUE"""),2943.03)</f>
        <v>2943.03</v>
      </c>
      <c r="F8429" s="1">
        <f>IFERROR(__xludf.DUMMYFUNCTION("""COMPUTED_VALUE"""),0.0)</f>
        <v>0</v>
      </c>
    </row>
    <row r="8430">
      <c r="A8430" s="2">
        <f>IFERROR(__xludf.DUMMYFUNCTION("""COMPUTED_VALUE"""),43585.66666666667)</f>
        <v>43585.66667</v>
      </c>
      <c r="B8430" s="1">
        <f>IFERROR(__xludf.DUMMYFUNCTION("""COMPUTED_VALUE"""),2937.14)</f>
        <v>2937.14</v>
      </c>
      <c r="C8430" s="1">
        <f>IFERROR(__xludf.DUMMYFUNCTION("""COMPUTED_VALUE"""),2948.22)</f>
        <v>2948.22</v>
      </c>
      <c r="D8430" s="1">
        <f>IFERROR(__xludf.DUMMYFUNCTION("""COMPUTED_VALUE"""),2924.11)</f>
        <v>2924.11</v>
      </c>
      <c r="E8430" s="1">
        <f>IFERROR(__xludf.DUMMYFUNCTION("""COMPUTED_VALUE"""),2945.83)</f>
        <v>2945.83</v>
      </c>
      <c r="F8430" s="1">
        <f>IFERROR(__xludf.DUMMYFUNCTION("""COMPUTED_VALUE"""),0.0)</f>
        <v>0</v>
      </c>
    </row>
    <row r="8431">
      <c r="A8431" s="2">
        <f>IFERROR(__xludf.DUMMYFUNCTION("""COMPUTED_VALUE"""),43586.66666666667)</f>
        <v>43586.66667</v>
      </c>
      <c r="B8431" s="1">
        <f>IFERROR(__xludf.DUMMYFUNCTION("""COMPUTED_VALUE"""),2952.33)</f>
        <v>2952.33</v>
      </c>
      <c r="C8431" s="1">
        <f>IFERROR(__xludf.DUMMYFUNCTION("""COMPUTED_VALUE"""),2954.13)</f>
        <v>2954.13</v>
      </c>
      <c r="D8431" s="1">
        <f>IFERROR(__xludf.DUMMYFUNCTION("""COMPUTED_VALUE"""),2923.36)</f>
        <v>2923.36</v>
      </c>
      <c r="E8431" s="1">
        <f>IFERROR(__xludf.DUMMYFUNCTION("""COMPUTED_VALUE"""),2923.73)</f>
        <v>2923.73</v>
      </c>
      <c r="F8431" s="1">
        <f>IFERROR(__xludf.DUMMYFUNCTION("""COMPUTED_VALUE"""),0.0)</f>
        <v>0</v>
      </c>
    </row>
    <row r="8432">
      <c r="A8432" s="2">
        <f>IFERROR(__xludf.DUMMYFUNCTION("""COMPUTED_VALUE"""),43587.66666666667)</f>
        <v>43587.66667</v>
      </c>
      <c r="B8432" s="1">
        <f>IFERROR(__xludf.DUMMYFUNCTION("""COMPUTED_VALUE"""),2922.16)</f>
        <v>2922.16</v>
      </c>
      <c r="C8432" s="1">
        <f>IFERROR(__xludf.DUMMYFUNCTION("""COMPUTED_VALUE"""),2931.68)</f>
        <v>2931.68</v>
      </c>
      <c r="D8432" s="1">
        <f>IFERROR(__xludf.DUMMYFUNCTION("""COMPUTED_VALUE"""),2900.5)</f>
        <v>2900.5</v>
      </c>
      <c r="E8432" s="1">
        <f>IFERROR(__xludf.DUMMYFUNCTION("""COMPUTED_VALUE"""),2917.52)</f>
        <v>2917.52</v>
      </c>
      <c r="F8432" s="1">
        <f>IFERROR(__xludf.DUMMYFUNCTION("""COMPUTED_VALUE"""),0.0)</f>
        <v>0</v>
      </c>
    </row>
    <row r="8433">
      <c r="A8433" s="2">
        <f>IFERROR(__xludf.DUMMYFUNCTION("""COMPUTED_VALUE"""),43588.66666666667)</f>
        <v>43588.66667</v>
      </c>
      <c r="B8433" s="1">
        <f>IFERROR(__xludf.DUMMYFUNCTION("""COMPUTED_VALUE"""),2929.21)</f>
        <v>2929.21</v>
      </c>
      <c r="C8433" s="1">
        <f>IFERROR(__xludf.DUMMYFUNCTION("""COMPUTED_VALUE"""),2947.85)</f>
        <v>2947.85</v>
      </c>
      <c r="D8433" s="1">
        <f>IFERROR(__xludf.DUMMYFUNCTION("""COMPUTED_VALUE"""),2929.21)</f>
        <v>2929.21</v>
      </c>
      <c r="E8433" s="1">
        <f>IFERROR(__xludf.DUMMYFUNCTION("""COMPUTED_VALUE"""),2945.64)</f>
        <v>2945.64</v>
      </c>
      <c r="F8433" s="1">
        <f>IFERROR(__xludf.DUMMYFUNCTION("""COMPUTED_VALUE"""),0.0)</f>
        <v>0</v>
      </c>
    </row>
    <row r="8434">
      <c r="A8434" s="2">
        <f>IFERROR(__xludf.DUMMYFUNCTION("""COMPUTED_VALUE"""),43591.66666666667)</f>
        <v>43591.66667</v>
      </c>
      <c r="B8434" s="1">
        <f>IFERROR(__xludf.DUMMYFUNCTION("""COMPUTED_VALUE"""),2908.89)</f>
        <v>2908.89</v>
      </c>
      <c r="C8434" s="1">
        <f>IFERROR(__xludf.DUMMYFUNCTION("""COMPUTED_VALUE"""),2937.32)</f>
        <v>2937.32</v>
      </c>
      <c r="D8434" s="1">
        <f>IFERROR(__xludf.DUMMYFUNCTION("""COMPUTED_VALUE"""),2898.21)</f>
        <v>2898.21</v>
      </c>
      <c r="E8434" s="1">
        <f>IFERROR(__xludf.DUMMYFUNCTION("""COMPUTED_VALUE"""),2932.47)</f>
        <v>2932.47</v>
      </c>
      <c r="F8434" s="1">
        <f>IFERROR(__xludf.DUMMYFUNCTION("""COMPUTED_VALUE"""),0.0)</f>
        <v>0</v>
      </c>
    </row>
    <row r="8435">
      <c r="A8435" s="2">
        <f>IFERROR(__xludf.DUMMYFUNCTION("""COMPUTED_VALUE"""),43592.66666666667)</f>
        <v>43592.66667</v>
      </c>
      <c r="B8435" s="1">
        <f>IFERROR(__xludf.DUMMYFUNCTION("""COMPUTED_VALUE"""),2913.03)</f>
        <v>2913.03</v>
      </c>
      <c r="C8435" s="1">
        <f>IFERROR(__xludf.DUMMYFUNCTION("""COMPUTED_VALUE"""),2913.03)</f>
        <v>2913.03</v>
      </c>
      <c r="D8435" s="1">
        <f>IFERROR(__xludf.DUMMYFUNCTION("""COMPUTED_VALUE"""),2862.6)</f>
        <v>2862.6</v>
      </c>
      <c r="E8435" s="1">
        <f>IFERROR(__xludf.DUMMYFUNCTION("""COMPUTED_VALUE"""),2884.05)</f>
        <v>2884.05</v>
      </c>
      <c r="F8435" s="1">
        <f>IFERROR(__xludf.DUMMYFUNCTION("""COMPUTED_VALUE"""),0.0)</f>
        <v>0</v>
      </c>
    </row>
    <row r="8436">
      <c r="A8436" s="2">
        <f>IFERROR(__xludf.DUMMYFUNCTION("""COMPUTED_VALUE"""),43593.66666666667)</f>
        <v>43593.66667</v>
      </c>
      <c r="B8436" s="1">
        <f>IFERROR(__xludf.DUMMYFUNCTION("""COMPUTED_VALUE"""),2879.61)</f>
        <v>2879.61</v>
      </c>
      <c r="C8436" s="1">
        <f>IFERROR(__xludf.DUMMYFUNCTION("""COMPUTED_VALUE"""),2897.96)</f>
        <v>2897.96</v>
      </c>
      <c r="D8436" s="1">
        <f>IFERROR(__xludf.DUMMYFUNCTION("""COMPUTED_VALUE"""),2873.28)</f>
        <v>2873.28</v>
      </c>
      <c r="E8436" s="1">
        <f>IFERROR(__xludf.DUMMYFUNCTION("""COMPUTED_VALUE"""),2879.42)</f>
        <v>2879.42</v>
      </c>
      <c r="F8436" s="1">
        <f>IFERROR(__xludf.DUMMYFUNCTION("""COMPUTED_VALUE"""),0.0)</f>
        <v>0</v>
      </c>
    </row>
    <row r="8437">
      <c r="A8437" s="2">
        <f>IFERROR(__xludf.DUMMYFUNCTION("""COMPUTED_VALUE"""),43594.66666666667)</f>
        <v>43594.66667</v>
      </c>
      <c r="B8437" s="1">
        <f>IFERROR(__xludf.DUMMYFUNCTION("""COMPUTED_VALUE"""),2859.84)</f>
        <v>2859.84</v>
      </c>
      <c r="C8437" s="1">
        <f>IFERROR(__xludf.DUMMYFUNCTION("""COMPUTED_VALUE"""),2875.97)</f>
        <v>2875.97</v>
      </c>
      <c r="D8437" s="1">
        <f>IFERROR(__xludf.DUMMYFUNCTION("""COMPUTED_VALUE"""),2836.4)</f>
        <v>2836.4</v>
      </c>
      <c r="E8437" s="1">
        <f>IFERROR(__xludf.DUMMYFUNCTION("""COMPUTED_VALUE"""),2870.72)</f>
        <v>2870.72</v>
      </c>
      <c r="F8437" s="1">
        <f>IFERROR(__xludf.DUMMYFUNCTION("""COMPUTED_VALUE"""),0.0)</f>
        <v>0</v>
      </c>
    </row>
    <row r="8438">
      <c r="A8438" s="2">
        <f>IFERROR(__xludf.DUMMYFUNCTION("""COMPUTED_VALUE"""),43595.66666666667)</f>
        <v>43595.66667</v>
      </c>
      <c r="B8438" s="1">
        <f>IFERROR(__xludf.DUMMYFUNCTION("""COMPUTED_VALUE"""),2863.1)</f>
        <v>2863.1</v>
      </c>
      <c r="C8438" s="1">
        <f>IFERROR(__xludf.DUMMYFUNCTION("""COMPUTED_VALUE"""),2891.31)</f>
        <v>2891.31</v>
      </c>
      <c r="D8438" s="1">
        <f>IFERROR(__xludf.DUMMYFUNCTION("""COMPUTED_VALUE"""),2825.39)</f>
        <v>2825.39</v>
      </c>
      <c r="E8438" s="1">
        <f>IFERROR(__xludf.DUMMYFUNCTION("""COMPUTED_VALUE"""),2881.4)</f>
        <v>2881.4</v>
      </c>
      <c r="F8438" s="1">
        <f>IFERROR(__xludf.DUMMYFUNCTION("""COMPUTED_VALUE"""),0.0)</f>
        <v>0</v>
      </c>
    </row>
    <row r="8439">
      <c r="A8439" s="2">
        <f>IFERROR(__xludf.DUMMYFUNCTION("""COMPUTED_VALUE"""),43598.66666666667)</f>
        <v>43598.66667</v>
      </c>
      <c r="B8439" s="1">
        <f>IFERROR(__xludf.DUMMYFUNCTION("""COMPUTED_VALUE"""),2840.19)</f>
        <v>2840.19</v>
      </c>
      <c r="C8439" s="1">
        <f>IFERROR(__xludf.DUMMYFUNCTION("""COMPUTED_VALUE"""),2840.19)</f>
        <v>2840.19</v>
      </c>
      <c r="D8439" s="1">
        <f>IFERROR(__xludf.DUMMYFUNCTION("""COMPUTED_VALUE"""),2801.43)</f>
        <v>2801.43</v>
      </c>
      <c r="E8439" s="1">
        <f>IFERROR(__xludf.DUMMYFUNCTION("""COMPUTED_VALUE"""),2811.87)</f>
        <v>2811.87</v>
      </c>
      <c r="F8439" s="1">
        <f>IFERROR(__xludf.DUMMYFUNCTION("""COMPUTED_VALUE"""),0.0)</f>
        <v>0</v>
      </c>
    </row>
    <row r="8440">
      <c r="A8440" s="2">
        <f>IFERROR(__xludf.DUMMYFUNCTION("""COMPUTED_VALUE"""),43599.66666666667)</f>
        <v>43599.66667</v>
      </c>
      <c r="B8440" s="1">
        <f>IFERROR(__xludf.DUMMYFUNCTION("""COMPUTED_VALUE"""),2820.12)</f>
        <v>2820.12</v>
      </c>
      <c r="C8440" s="1">
        <f>IFERROR(__xludf.DUMMYFUNCTION("""COMPUTED_VALUE"""),2852.54)</f>
        <v>2852.54</v>
      </c>
      <c r="D8440" s="1">
        <f>IFERROR(__xludf.DUMMYFUNCTION("""COMPUTED_VALUE"""),2820.12)</f>
        <v>2820.12</v>
      </c>
      <c r="E8440" s="1">
        <f>IFERROR(__xludf.DUMMYFUNCTION("""COMPUTED_VALUE"""),2834.41)</f>
        <v>2834.41</v>
      </c>
      <c r="F8440" s="1">
        <f>IFERROR(__xludf.DUMMYFUNCTION("""COMPUTED_VALUE"""),0.0)</f>
        <v>0</v>
      </c>
    </row>
    <row r="8441">
      <c r="A8441" s="2">
        <f>IFERROR(__xludf.DUMMYFUNCTION("""COMPUTED_VALUE"""),43600.66666666667)</f>
        <v>43600.66667</v>
      </c>
      <c r="B8441" s="1">
        <f>IFERROR(__xludf.DUMMYFUNCTION("""COMPUTED_VALUE"""),2820.38)</f>
        <v>2820.38</v>
      </c>
      <c r="C8441" s="1">
        <f>IFERROR(__xludf.DUMMYFUNCTION("""COMPUTED_VALUE"""),2858.68)</f>
        <v>2858.68</v>
      </c>
      <c r="D8441" s="1">
        <f>IFERROR(__xludf.DUMMYFUNCTION("""COMPUTED_VALUE"""),2815.08)</f>
        <v>2815.08</v>
      </c>
      <c r="E8441" s="1">
        <f>IFERROR(__xludf.DUMMYFUNCTION("""COMPUTED_VALUE"""),2850.96)</f>
        <v>2850.96</v>
      </c>
      <c r="F8441" s="1">
        <f>IFERROR(__xludf.DUMMYFUNCTION("""COMPUTED_VALUE"""),0.0)</f>
        <v>0</v>
      </c>
    </row>
    <row r="8442">
      <c r="A8442" s="2">
        <f>IFERROR(__xludf.DUMMYFUNCTION("""COMPUTED_VALUE"""),43601.66666666667)</f>
        <v>43601.66667</v>
      </c>
      <c r="B8442" s="1">
        <f>IFERROR(__xludf.DUMMYFUNCTION("""COMPUTED_VALUE"""),2855.8)</f>
        <v>2855.8</v>
      </c>
      <c r="C8442" s="1">
        <f>IFERROR(__xludf.DUMMYFUNCTION("""COMPUTED_VALUE"""),2892.15)</f>
        <v>2892.15</v>
      </c>
      <c r="D8442" s="1">
        <f>IFERROR(__xludf.DUMMYFUNCTION("""COMPUTED_VALUE"""),2855.8)</f>
        <v>2855.8</v>
      </c>
      <c r="E8442" s="1">
        <f>IFERROR(__xludf.DUMMYFUNCTION("""COMPUTED_VALUE"""),2876.32)</f>
        <v>2876.32</v>
      </c>
      <c r="F8442" s="1">
        <f>IFERROR(__xludf.DUMMYFUNCTION("""COMPUTED_VALUE"""),0.0)</f>
        <v>0</v>
      </c>
    </row>
    <row r="8443">
      <c r="A8443" s="2">
        <f>IFERROR(__xludf.DUMMYFUNCTION("""COMPUTED_VALUE"""),43602.66666666667)</f>
        <v>43602.66667</v>
      </c>
      <c r="B8443" s="1">
        <f>IFERROR(__xludf.DUMMYFUNCTION("""COMPUTED_VALUE"""),2858.6)</f>
        <v>2858.6</v>
      </c>
      <c r="C8443" s="1">
        <f>IFERROR(__xludf.DUMMYFUNCTION("""COMPUTED_VALUE"""),2885.48)</f>
        <v>2885.48</v>
      </c>
      <c r="D8443" s="1">
        <f>IFERROR(__xludf.DUMMYFUNCTION("""COMPUTED_VALUE"""),2854.23)</f>
        <v>2854.23</v>
      </c>
      <c r="E8443" s="1">
        <f>IFERROR(__xludf.DUMMYFUNCTION("""COMPUTED_VALUE"""),2859.53)</f>
        <v>2859.53</v>
      </c>
      <c r="F8443" s="1">
        <f>IFERROR(__xludf.DUMMYFUNCTION("""COMPUTED_VALUE"""),0.0)</f>
        <v>0</v>
      </c>
    </row>
    <row r="8444">
      <c r="A8444" s="2">
        <f>IFERROR(__xludf.DUMMYFUNCTION("""COMPUTED_VALUE"""),43605.66666666667)</f>
        <v>43605.66667</v>
      </c>
      <c r="B8444" s="1">
        <f>IFERROR(__xludf.DUMMYFUNCTION("""COMPUTED_VALUE"""),2841.94)</f>
        <v>2841.94</v>
      </c>
      <c r="C8444" s="1">
        <f>IFERROR(__xludf.DUMMYFUNCTION("""COMPUTED_VALUE"""),2853.86)</f>
        <v>2853.86</v>
      </c>
      <c r="D8444" s="1">
        <f>IFERROR(__xludf.DUMMYFUNCTION("""COMPUTED_VALUE"""),2831.29)</f>
        <v>2831.29</v>
      </c>
      <c r="E8444" s="1">
        <f>IFERROR(__xludf.DUMMYFUNCTION("""COMPUTED_VALUE"""),2840.23)</f>
        <v>2840.23</v>
      </c>
      <c r="F8444" s="1">
        <f>IFERROR(__xludf.DUMMYFUNCTION("""COMPUTED_VALUE"""),0.0)</f>
        <v>0</v>
      </c>
    </row>
    <row r="8445">
      <c r="A8445" s="2">
        <f>IFERROR(__xludf.DUMMYFUNCTION("""COMPUTED_VALUE"""),43606.66666666667)</f>
        <v>43606.66667</v>
      </c>
      <c r="B8445" s="1">
        <f>IFERROR(__xludf.DUMMYFUNCTION("""COMPUTED_VALUE"""),2854.02)</f>
        <v>2854.02</v>
      </c>
      <c r="C8445" s="1">
        <f>IFERROR(__xludf.DUMMYFUNCTION("""COMPUTED_VALUE"""),2868.88)</f>
        <v>2868.88</v>
      </c>
      <c r="D8445" s="1">
        <f>IFERROR(__xludf.DUMMYFUNCTION("""COMPUTED_VALUE"""),2854.02)</f>
        <v>2854.02</v>
      </c>
      <c r="E8445" s="1">
        <f>IFERROR(__xludf.DUMMYFUNCTION("""COMPUTED_VALUE"""),2864.36)</f>
        <v>2864.36</v>
      </c>
      <c r="F8445" s="1">
        <f>IFERROR(__xludf.DUMMYFUNCTION("""COMPUTED_VALUE"""),0.0)</f>
        <v>0</v>
      </c>
    </row>
    <row r="8446">
      <c r="A8446" s="2">
        <f>IFERROR(__xludf.DUMMYFUNCTION("""COMPUTED_VALUE"""),43607.66666666667)</f>
        <v>43607.66667</v>
      </c>
      <c r="B8446" s="1">
        <f>IFERROR(__xludf.DUMMYFUNCTION("""COMPUTED_VALUE"""),2856.06)</f>
        <v>2856.06</v>
      </c>
      <c r="C8446" s="1">
        <f>IFERROR(__xludf.DUMMYFUNCTION("""COMPUTED_VALUE"""),2865.47)</f>
        <v>2865.47</v>
      </c>
      <c r="D8446" s="1">
        <f>IFERROR(__xludf.DUMMYFUNCTION("""COMPUTED_VALUE"""),2851.11)</f>
        <v>2851.11</v>
      </c>
      <c r="E8446" s="1">
        <f>IFERROR(__xludf.DUMMYFUNCTION("""COMPUTED_VALUE"""),2856.27)</f>
        <v>2856.27</v>
      </c>
      <c r="F8446" s="1">
        <f>IFERROR(__xludf.DUMMYFUNCTION("""COMPUTED_VALUE"""),0.0)</f>
        <v>0</v>
      </c>
    </row>
    <row r="8447">
      <c r="A8447" s="2">
        <f>IFERROR(__xludf.DUMMYFUNCTION("""COMPUTED_VALUE"""),43608.66666666667)</f>
        <v>43608.66667</v>
      </c>
      <c r="B8447" s="1">
        <f>IFERROR(__xludf.DUMMYFUNCTION("""COMPUTED_VALUE"""),2836.7)</f>
        <v>2836.7</v>
      </c>
      <c r="C8447" s="1">
        <f>IFERROR(__xludf.DUMMYFUNCTION("""COMPUTED_VALUE"""),2836.7)</f>
        <v>2836.7</v>
      </c>
      <c r="D8447" s="1">
        <f>IFERROR(__xludf.DUMMYFUNCTION("""COMPUTED_VALUE"""),2805.49)</f>
        <v>2805.49</v>
      </c>
      <c r="E8447" s="1">
        <f>IFERROR(__xludf.DUMMYFUNCTION("""COMPUTED_VALUE"""),2822.24)</f>
        <v>2822.24</v>
      </c>
      <c r="F8447" s="1">
        <f>IFERROR(__xludf.DUMMYFUNCTION("""COMPUTED_VALUE"""),0.0)</f>
        <v>0</v>
      </c>
    </row>
    <row r="8448">
      <c r="A8448" s="2">
        <f>IFERROR(__xludf.DUMMYFUNCTION("""COMPUTED_VALUE"""),43609.66666666667)</f>
        <v>43609.66667</v>
      </c>
      <c r="B8448" s="1">
        <f>IFERROR(__xludf.DUMMYFUNCTION("""COMPUTED_VALUE"""),2832.41)</f>
        <v>2832.41</v>
      </c>
      <c r="C8448" s="1">
        <f>IFERROR(__xludf.DUMMYFUNCTION("""COMPUTED_VALUE"""),2841.36)</f>
        <v>2841.36</v>
      </c>
      <c r="D8448" s="1">
        <f>IFERROR(__xludf.DUMMYFUNCTION("""COMPUTED_VALUE"""),2820.19)</f>
        <v>2820.19</v>
      </c>
      <c r="E8448" s="1">
        <f>IFERROR(__xludf.DUMMYFUNCTION("""COMPUTED_VALUE"""),2826.06)</f>
        <v>2826.06</v>
      </c>
      <c r="F8448" s="1">
        <f>IFERROR(__xludf.DUMMYFUNCTION("""COMPUTED_VALUE"""),0.0)</f>
        <v>0</v>
      </c>
    </row>
    <row r="8449">
      <c r="A8449" s="2">
        <f>IFERROR(__xludf.DUMMYFUNCTION("""COMPUTED_VALUE"""),43613.66666666667)</f>
        <v>43613.66667</v>
      </c>
      <c r="B8449" s="1">
        <f>IFERROR(__xludf.DUMMYFUNCTION("""COMPUTED_VALUE"""),2830.03)</f>
        <v>2830.03</v>
      </c>
      <c r="C8449" s="1">
        <f>IFERROR(__xludf.DUMMYFUNCTION("""COMPUTED_VALUE"""),2840.51)</f>
        <v>2840.51</v>
      </c>
      <c r="D8449" s="1">
        <f>IFERROR(__xludf.DUMMYFUNCTION("""COMPUTED_VALUE"""),2801.58)</f>
        <v>2801.58</v>
      </c>
      <c r="E8449" s="1">
        <f>IFERROR(__xludf.DUMMYFUNCTION("""COMPUTED_VALUE"""),2802.39)</f>
        <v>2802.39</v>
      </c>
      <c r="F8449" s="1">
        <f>IFERROR(__xludf.DUMMYFUNCTION("""COMPUTED_VALUE"""),0.0)</f>
        <v>0</v>
      </c>
    </row>
    <row r="8450">
      <c r="A8450" s="2">
        <f>IFERROR(__xludf.DUMMYFUNCTION("""COMPUTED_VALUE"""),43614.66666666667)</f>
        <v>43614.66667</v>
      </c>
      <c r="B8450" s="1">
        <f>IFERROR(__xludf.DUMMYFUNCTION("""COMPUTED_VALUE"""),2790.25)</f>
        <v>2790.25</v>
      </c>
      <c r="C8450" s="1">
        <f>IFERROR(__xludf.DUMMYFUNCTION("""COMPUTED_VALUE"""),2792.03)</f>
        <v>2792.03</v>
      </c>
      <c r="D8450" s="1">
        <f>IFERROR(__xludf.DUMMYFUNCTION("""COMPUTED_VALUE"""),2766.06)</f>
        <v>2766.06</v>
      </c>
      <c r="E8450" s="1">
        <f>IFERROR(__xludf.DUMMYFUNCTION("""COMPUTED_VALUE"""),2783.02)</f>
        <v>2783.02</v>
      </c>
      <c r="F8450" s="1">
        <f>IFERROR(__xludf.DUMMYFUNCTION("""COMPUTED_VALUE"""),0.0)</f>
        <v>0</v>
      </c>
    </row>
    <row r="8451">
      <c r="A8451" s="2">
        <f>IFERROR(__xludf.DUMMYFUNCTION("""COMPUTED_VALUE"""),43615.66666666667)</f>
        <v>43615.66667</v>
      </c>
      <c r="B8451" s="1">
        <f>IFERROR(__xludf.DUMMYFUNCTION("""COMPUTED_VALUE"""),2786.94)</f>
        <v>2786.94</v>
      </c>
      <c r="C8451" s="1">
        <f>IFERROR(__xludf.DUMMYFUNCTION("""COMPUTED_VALUE"""),2799.0)</f>
        <v>2799</v>
      </c>
      <c r="D8451" s="1">
        <f>IFERROR(__xludf.DUMMYFUNCTION("""COMPUTED_VALUE"""),2776.74)</f>
        <v>2776.74</v>
      </c>
      <c r="E8451" s="1">
        <f>IFERROR(__xludf.DUMMYFUNCTION("""COMPUTED_VALUE"""),2788.86)</f>
        <v>2788.86</v>
      </c>
      <c r="F8451" s="1">
        <f>IFERROR(__xludf.DUMMYFUNCTION("""COMPUTED_VALUE"""),0.0)</f>
        <v>0</v>
      </c>
    </row>
    <row r="8452">
      <c r="A8452" s="2">
        <f>IFERROR(__xludf.DUMMYFUNCTION("""COMPUTED_VALUE"""),43616.66666666667)</f>
        <v>43616.66667</v>
      </c>
      <c r="B8452" s="1">
        <f>IFERROR(__xludf.DUMMYFUNCTION("""COMPUTED_VALUE"""),2766.15)</f>
        <v>2766.15</v>
      </c>
      <c r="C8452" s="1">
        <f>IFERROR(__xludf.DUMMYFUNCTION("""COMPUTED_VALUE"""),2768.98)</f>
        <v>2768.98</v>
      </c>
      <c r="D8452" s="1">
        <f>IFERROR(__xludf.DUMMYFUNCTION("""COMPUTED_VALUE"""),2750.52)</f>
        <v>2750.52</v>
      </c>
      <c r="E8452" s="1">
        <f>IFERROR(__xludf.DUMMYFUNCTION("""COMPUTED_VALUE"""),2752.06)</f>
        <v>2752.06</v>
      </c>
      <c r="F8452" s="1">
        <f>IFERROR(__xludf.DUMMYFUNCTION("""COMPUTED_VALUE"""),0.0)</f>
        <v>0</v>
      </c>
    </row>
    <row r="8453">
      <c r="A8453" s="2">
        <f>IFERROR(__xludf.DUMMYFUNCTION("""COMPUTED_VALUE"""),43619.66666666667)</f>
        <v>43619.66667</v>
      </c>
      <c r="B8453" s="1">
        <f>IFERROR(__xludf.DUMMYFUNCTION("""COMPUTED_VALUE"""),2751.53)</f>
        <v>2751.53</v>
      </c>
      <c r="C8453" s="1">
        <f>IFERROR(__xludf.DUMMYFUNCTION("""COMPUTED_VALUE"""),2763.07)</f>
        <v>2763.07</v>
      </c>
      <c r="D8453" s="1">
        <f>IFERROR(__xludf.DUMMYFUNCTION("""COMPUTED_VALUE"""),2728.81)</f>
        <v>2728.81</v>
      </c>
      <c r="E8453" s="1">
        <f>IFERROR(__xludf.DUMMYFUNCTION("""COMPUTED_VALUE"""),2744.45)</f>
        <v>2744.45</v>
      </c>
      <c r="F8453" s="1">
        <f>IFERROR(__xludf.DUMMYFUNCTION("""COMPUTED_VALUE"""),0.0)</f>
        <v>0</v>
      </c>
    </row>
    <row r="8454">
      <c r="A8454" s="2">
        <f>IFERROR(__xludf.DUMMYFUNCTION("""COMPUTED_VALUE"""),43620.66666666667)</f>
        <v>43620.66667</v>
      </c>
      <c r="B8454" s="1">
        <f>IFERROR(__xludf.DUMMYFUNCTION("""COMPUTED_VALUE"""),2762.64)</f>
        <v>2762.64</v>
      </c>
      <c r="C8454" s="1">
        <f>IFERROR(__xludf.DUMMYFUNCTION("""COMPUTED_VALUE"""),2804.49)</f>
        <v>2804.49</v>
      </c>
      <c r="D8454" s="1">
        <f>IFERROR(__xludf.DUMMYFUNCTION("""COMPUTED_VALUE"""),2762.64)</f>
        <v>2762.64</v>
      </c>
      <c r="E8454" s="1">
        <f>IFERROR(__xludf.DUMMYFUNCTION("""COMPUTED_VALUE"""),2803.27)</f>
        <v>2803.27</v>
      </c>
      <c r="F8454" s="1">
        <f>IFERROR(__xludf.DUMMYFUNCTION("""COMPUTED_VALUE"""),0.0)</f>
        <v>0</v>
      </c>
    </row>
    <row r="8455">
      <c r="A8455" s="2">
        <f>IFERROR(__xludf.DUMMYFUNCTION("""COMPUTED_VALUE"""),43621.66666666667)</f>
        <v>43621.66667</v>
      </c>
      <c r="B8455" s="1">
        <f>IFERROR(__xludf.DUMMYFUNCTION("""COMPUTED_VALUE"""),2818.09)</f>
        <v>2818.09</v>
      </c>
      <c r="C8455" s="1">
        <f>IFERROR(__xludf.DUMMYFUNCTION("""COMPUTED_VALUE"""),2827.28)</f>
        <v>2827.28</v>
      </c>
      <c r="D8455" s="1">
        <f>IFERROR(__xludf.DUMMYFUNCTION("""COMPUTED_VALUE"""),2800.92)</f>
        <v>2800.92</v>
      </c>
      <c r="E8455" s="1">
        <f>IFERROR(__xludf.DUMMYFUNCTION("""COMPUTED_VALUE"""),2826.15)</f>
        <v>2826.15</v>
      </c>
      <c r="F8455" s="1">
        <f>IFERROR(__xludf.DUMMYFUNCTION("""COMPUTED_VALUE"""),0.0)</f>
        <v>0</v>
      </c>
    </row>
    <row r="8456">
      <c r="A8456" s="2">
        <f>IFERROR(__xludf.DUMMYFUNCTION("""COMPUTED_VALUE"""),43622.66666666667)</f>
        <v>43622.66667</v>
      </c>
      <c r="B8456" s="1">
        <f>IFERROR(__xludf.DUMMYFUNCTION("""COMPUTED_VALUE"""),2828.51)</f>
        <v>2828.51</v>
      </c>
      <c r="C8456" s="1">
        <f>IFERROR(__xludf.DUMMYFUNCTION("""COMPUTED_VALUE"""),2852.1)</f>
        <v>2852.1</v>
      </c>
      <c r="D8456" s="1">
        <f>IFERROR(__xludf.DUMMYFUNCTION("""COMPUTED_VALUE"""),2822.45)</f>
        <v>2822.45</v>
      </c>
      <c r="E8456" s="1">
        <f>IFERROR(__xludf.DUMMYFUNCTION("""COMPUTED_VALUE"""),2843.49)</f>
        <v>2843.49</v>
      </c>
      <c r="F8456" s="1">
        <f>IFERROR(__xludf.DUMMYFUNCTION("""COMPUTED_VALUE"""),0.0)</f>
        <v>0</v>
      </c>
    </row>
    <row r="8457">
      <c r="A8457" s="2">
        <f>IFERROR(__xludf.DUMMYFUNCTION("""COMPUTED_VALUE"""),43623.66666666667)</f>
        <v>43623.66667</v>
      </c>
      <c r="B8457" s="1">
        <f>IFERROR(__xludf.DUMMYFUNCTION("""COMPUTED_VALUE"""),2852.87)</f>
        <v>2852.87</v>
      </c>
      <c r="C8457" s="1">
        <f>IFERROR(__xludf.DUMMYFUNCTION("""COMPUTED_VALUE"""),2884.97)</f>
        <v>2884.97</v>
      </c>
      <c r="D8457" s="1">
        <f>IFERROR(__xludf.DUMMYFUNCTION("""COMPUTED_VALUE"""),2852.87)</f>
        <v>2852.87</v>
      </c>
      <c r="E8457" s="1">
        <f>IFERROR(__xludf.DUMMYFUNCTION("""COMPUTED_VALUE"""),2873.34)</f>
        <v>2873.34</v>
      </c>
      <c r="F8457" s="1">
        <f>IFERROR(__xludf.DUMMYFUNCTION("""COMPUTED_VALUE"""),0.0)</f>
        <v>0</v>
      </c>
    </row>
    <row r="8458">
      <c r="A8458" s="2">
        <f>IFERROR(__xludf.DUMMYFUNCTION("""COMPUTED_VALUE"""),43626.66666666667)</f>
        <v>43626.66667</v>
      </c>
      <c r="B8458" s="1">
        <f>IFERROR(__xludf.DUMMYFUNCTION("""COMPUTED_VALUE"""),2885.83)</f>
        <v>2885.83</v>
      </c>
      <c r="C8458" s="1">
        <f>IFERROR(__xludf.DUMMYFUNCTION("""COMPUTED_VALUE"""),2904.77)</f>
        <v>2904.77</v>
      </c>
      <c r="D8458" s="1">
        <f>IFERROR(__xludf.DUMMYFUNCTION("""COMPUTED_VALUE"""),2885.51)</f>
        <v>2885.51</v>
      </c>
      <c r="E8458" s="1">
        <f>IFERROR(__xludf.DUMMYFUNCTION("""COMPUTED_VALUE"""),2886.73)</f>
        <v>2886.73</v>
      </c>
      <c r="F8458" s="1">
        <f>IFERROR(__xludf.DUMMYFUNCTION("""COMPUTED_VALUE"""),0.0)</f>
        <v>0</v>
      </c>
    </row>
    <row r="8459">
      <c r="A8459" s="2">
        <f>IFERROR(__xludf.DUMMYFUNCTION("""COMPUTED_VALUE"""),43627.66666666667)</f>
        <v>43627.66667</v>
      </c>
      <c r="B8459" s="1">
        <f>IFERROR(__xludf.DUMMYFUNCTION("""COMPUTED_VALUE"""),2903.27)</f>
        <v>2903.27</v>
      </c>
      <c r="C8459" s="1">
        <f>IFERROR(__xludf.DUMMYFUNCTION("""COMPUTED_VALUE"""),2910.61)</f>
        <v>2910.61</v>
      </c>
      <c r="D8459" s="1">
        <f>IFERROR(__xludf.DUMMYFUNCTION("""COMPUTED_VALUE"""),2878.53)</f>
        <v>2878.53</v>
      </c>
      <c r="E8459" s="1">
        <f>IFERROR(__xludf.DUMMYFUNCTION("""COMPUTED_VALUE"""),2885.72)</f>
        <v>2885.72</v>
      </c>
      <c r="F8459" s="1">
        <f>IFERROR(__xludf.DUMMYFUNCTION("""COMPUTED_VALUE"""),0.0)</f>
        <v>0</v>
      </c>
    </row>
    <row r="8460">
      <c r="A8460" s="2">
        <f>IFERROR(__xludf.DUMMYFUNCTION("""COMPUTED_VALUE"""),43628.66666666667)</f>
        <v>43628.66667</v>
      </c>
      <c r="B8460" s="1">
        <f>IFERROR(__xludf.DUMMYFUNCTION("""COMPUTED_VALUE"""),2882.73)</f>
        <v>2882.73</v>
      </c>
      <c r="C8460" s="1">
        <f>IFERROR(__xludf.DUMMYFUNCTION("""COMPUTED_VALUE"""),2888.57)</f>
        <v>2888.57</v>
      </c>
      <c r="D8460" s="1">
        <f>IFERROR(__xludf.DUMMYFUNCTION("""COMPUTED_VALUE"""),2874.68)</f>
        <v>2874.68</v>
      </c>
      <c r="E8460" s="1">
        <f>IFERROR(__xludf.DUMMYFUNCTION("""COMPUTED_VALUE"""),2879.84)</f>
        <v>2879.84</v>
      </c>
      <c r="F8460" s="1">
        <f>IFERROR(__xludf.DUMMYFUNCTION("""COMPUTED_VALUE"""),0.0)</f>
        <v>0</v>
      </c>
    </row>
    <row r="8461">
      <c r="A8461" s="2">
        <f>IFERROR(__xludf.DUMMYFUNCTION("""COMPUTED_VALUE"""),43629.66666666667)</f>
        <v>43629.66667</v>
      </c>
      <c r="B8461" s="1">
        <f>IFERROR(__xludf.DUMMYFUNCTION("""COMPUTED_VALUE"""),2886.24)</f>
        <v>2886.24</v>
      </c>
      <c r="C8461" s="1">
        <f>IFERROR(__xludf.DUMMYFUNCTION("""COMPUTED_VALUE"""),2895.24)</f>
        <v>2895.24</v>
      </c>
      <c r="D8461" s="1">
        <f>IFERROR(__xludf.DUMMYFUNCTION("""COMPUTED_VALUE"""),2881.99)</f>
        <v>2881.99</v>
      </c>
      <c r="E8461" s="1">
        <f>IFERROR(__xludf.DUMMYFUNCTION("""COMPUTED_VALUE"""),2891.64)</f>
        <v>2891.64</v>
      </c>
      <c r="F8461" s="1">
        <f>IFERROR(__xludf.DUMMYFUNCTION("""COMPUTED_VALUE"""),0.0)</f>
        <v>0</v>
      </c>
    </row>
    <row r="8462">
      <c r="A8462" s="2">
        <f>IFERROR(__xludf.DUMMYFUNCTION("""COMPUTED_VALUE"""),43630.66666666667)</f>
        <v>43630.66667</v>
      </c>
      <c r="B8462" s="1">
        <f>IFERROR(__xludf.DUMMYFUNCTION("""COMPUTED_VALUE"""),2886.82)</f>
        <v>2886.82</v>
      </c>
      <c r="C8462" s="1">
        <f>IFERROR(__xludf.DUMMYFUNCTION("""COMPUTED_VALUE"""),2894.45)</f>
        <v>2894.45</v>
      </c>
      <c r="D8462" s="1">
        <f>IFERROR(__xludf.DUMMYFUNCTION("""COMPUTED_VALUE"""),2879.62)</f>
        <v>2879.62</v>
      </c>
      <c r="E8462" s="1">
        <f>IFERROR(__xludf.DUMMYFUNCTION("""COMPUTED_VALUE"""),2886.98)</f>
        <v>2886.98</v>
      </c>
      <c r="F8462" s="1">
        <f>IFERROR(__xludf.DUMMYFUNCTION("""COMPUTED_VALUE"""),0.0)</f>
        <v>0</v>
      </c>
    </row>
    <row r="8463">
      <c r="A8463" s="2">
        <f>IFERROR(__xludf.DUMMYFUNCTION("""COMPUTED_VALUE"""),43633.66666666667)</f>
        <v>43633.66667</v>
      </c>
      <c r="B8463" s="1">
        <f>IFERROR(__xludf.DUMMYFUNCTION("""COMPUTED_VALUE"""),2889.75)</f>
        <v>2889.75</v>
      </c>
      <c r="C8463" s="1">
        <f>IFERROR(__xludf.DUMMYFUNCTION("""COMPUTED_VALUE"""),2897.27)</f>
        <v>2897.27</v>
      </c>
      <c r="D8463" s="1">
        <f>IFERROR(__xludf.DUMMYFUNCTION("""COMPUTED_VALUE"""),2887.3)</f>
        <v>2887.3</v>
      </c>
      <c r="E8463" s="1">
        <f>IFERROR(__xludf.DUMMYFUNCTION("""COMPUTED_VALUE"""),2889.67)</f>
        <v>2889.67</v>
      </c>
      <c r="F8463" s="1">
        <f>IFERROR(__xludf.DUMMYFUNCTION("""COMPUTED_VALUE"""),0.0)</f>
        <v>0</v>
      </c>
    </row>
    <row r="8464">
      <c r="A8464" s="2">
        <f>IFERROR(__xludf.DUMMYFUNCTION("""COMPUTED_VALUE"""),43634.66666666667)</f>
        <v>43634.66667</v>
      </c>
      <c r="B8464" s="1">
        <f>IFERROR(__xludf.DUMMYFUNCTION("""COMPUTED_VALUE"""),2906.71)</f>
        <v>2906.71</v>
      </c>
      <c r="C8464" s="1">
        <f>IFERROR(__xludf.DUMMYFUNCTION("""COMPUTED_VALUE"""),2930.79)</f>
        <v>2930.79</v>
      </c>
      <c r="D8464" s="1">
        <f>IFERROR(__xludf.DUMMYFUNCTION("""COMPUTED_VALUE"""),2905.44)</f>
        <v>2905.44</v>
      </c>
      <c r="E8464" s="1">
        <f>IFERROR(__xludf.DUMMYFUNCTION("""COMPUTED_VALUE"""),2917.75)</f>
        <v>2917.75</v>
      </c>
      <c r="F8464" s="1">
        <f>IFERROR(__xludf.DUMMYFUNCTION("""COMPUTED_VALUE"""),0.0)</f>
        <v>0</v>
      </c>
    </row>
    <row r="8465">
      <c r="A8465" s="2">
        <f>IFERROR(__xludf.DUMMYFUNCTION("""COMPUTED_VALUE"""),43635.66666666667)</f>
        <v>43635.66667</v>
      </c>
      <c r="B8465" s="1">
        <f>IFERROR(__xludf.DUMMYFUNCTION("""COMPUTED_VALUE"""),2920.55)</f>
        <v>2920.55</v>
      </c>
      <c r="C8465" s="1">
        <f>IFERROR(__xludf.DUMMYFUNCTION("""COMPUTED_VALUE"""),2931.74)</f>
        <v>2931.74</v>
      </c>
      <c r="D8465" s="1">
        <f>IFERROR(__xludf.DUMMYFUNCTION("""COMPUTED_VALUE"""),2911.43)</f>
        <v>2911.43</v>
      </c>
      <c r="E8465" s="1">
        <f>IFERROR(__xludf.DUMMYFUNCTION("""COMPUTED_VALUE"""),2926.46)</f>
        <v>2926.46</v>
      </c>
      <c r="F8465" s="1">
        <f>IFERROR(__xludf.DUMMYFUNCTION("""COMPUTED_VALUE"""),0.0)</f>
        <v>0</v>
      </c>
    </row>
    <row r="8466">
      <c r="A8466" s="2">
        <f>IFERROR(__xludf.DUMMYFUNCTION("""COMPUTED_VALUE"""),43636.66666666667)</f>
        <v>43636.66667</v>
      </c>
      <c r="B8466" s="1">
        <f>IFERROR(__xludf.DUMMYFUNCTION("""COMPUTED_VALUE"""),2949.6)</f>
        <v>2949.6</v>
      </c>
      <c r="C8466" s="1">
        <f>IFERROR(__xludf.DUMMYFUNCTION("""COMPUTED_VALUE"""),2958.06)</f>
        <v>2958.06</v>
      </c>
      <c r="D8466" s="1">
        <f>IFERROR(__xludf.DUMMYFUNCTION("""COMPUTED_VALUE"""),2931.5)</f>
        <v>2931.5</v>
      </c>
      <c r="E8466" s="1">
        <f>IFERROR(__xludf.DUMMYFUNCTION("""COMPUTED_VALUE"""),2954.18)</f>
        <v>2954.18</v>
      </c>
      <c r="F8466" s="1">
        <f>IFERROR(__xludf.DUMMYFUNCTION("""COMPUTED_VALUE"""),0.0)</f>
        <v>0</v>
      </c>
    </row>
    <row r="8467">
      <c r="A8467" s="2">
        <f>IFERROR(__xludf.DUMMYFUNCTION("""COMPUTED_VALUE"""),43637.66666666667)</f>
        <v>43637.66667</v>
      </c>
      <c r="B8467" s="1">
        <f>IFERROR(__xludf.DUMMYFUNCTION("""COMPUTED_VALUE"""),2952.71)</f>
        <v>2952.71</v>
      </c>
      <c r="C8467" s="1">
        <f>IFERROR(__xludf.DUMMYFUNCTION("""COMPUTED_VALUE"""),2964.15)</f>
        <v>2964.15</v>
      </c>
      <c r="D8467" s="1">
        <f>IFERROR(__xludf.DUMMYFUNCTION("""COMPUTED_VALUE"""),2946.87)</f>
        <v>2946.87</v>
      </c>
      <c r="E8467" s="1">
        <f>IFERROR(__xludf.DUMMYFUNCTION("""COMPUTED_VALUE"""),2950.46)</f>
        <v>2950.46</v>
      </c>
      <c r="F8467" s="1">
        <f>IFERROR(__xludf.DUMMYFUNCTION("""COMPUTED_VALUE"""),0.0)</f>
        <v>0</v>
      </c>
    </row>
    <row r="8468">
      <c r="A8468" s="2">
        <f>IFERROR(__xludf.DUMMYFUNCTION("""COMPUTED_VALUE"""),43640.66666666667)</f>
        <v>43640.66667</v>
      </c>
      <c r="B8468" s="1">
        <f>IFERROR(__xludf.DUMMYFUNCTION("""COMPUTED_VALUE"""),2951.42)</f>
        <v>2951.42</v>
      </c>
      <c r="C8468" s="1">
        <f>IFERROR(__xludf.DUMMYFUNCTION("""COMPUTED_VALUE"""),2954.92)</f>
        <v>2954.92</v>
      </c>
      <c r="D8468" s="1">
        <f>IFERROR(__xludf.DUMMYFUNCTION("""COMPUTED_VALUE"""),2944.05)</f>
        <v>2944.05</v>
      </c>
      <c r="E8468" s="1">
        <f>IFERROR(__xludf.DUMMYFUNCTION("""COMPUTED_VALUE"""),2945.35)</f>
        <v>2945.35</v>
      </c>
      <c r="F8468" s="1">
        <f>IFERROR(__xludf.DUMMYFUNCTION("""COMPUTED_VALUE"""),0.0)</f>
        <v>0</v>
      </c>
    </row>
    <row r="8469">
      <c r="A8469" s="2">
        <f>IFERROR(__xludf.DUMMYFUNCTION("""COMPUTED_VALUE"""),43641.66666666667)</f>
        <v>43641.66667</v>
      </c>
      <c r="B8469" s="1">
        <f>IFERROR(__xludf.DUMMYFUNCTION("""COMPUTED_VALUE"""),2945.78)</f>
        <v>2945.78</v>
      </c>
      <c r="C8469" s="1">
        <f>IFERROR(__xludf.DUMMYFUNCTION("""COMPUTED_VALUE"""),2946.52)</f>
        <v>2946.52</v>
      </c>
      <c r="D8469" s="1">
        <f>IFERROR(__xludf.DUMMYFUNCTION("""COMPUTED_VALUE"""),2916.01)</f>
        <v>2916.01</v>
      </c>
      <c r="E8469" s="1">
        <f>IFERROR(__xludf.DUMMYFUNCTION("""COMPUTED_VALUE"""),2917.38)</f>
        <v>2917.38</v>
      </c>
      <c r="F8469" s="1">
        <f>IFERROR(__xludf.DUMMYFUNCTION("""COMPUTED_VALUE"""),0.0)</f>
        <v>0</v>
      </c>
    </row>
    <row r="8470">
      <c r="A8470" s="2">
        <f>IFERROR(__xludf.DUMMYFUNCTION("""COMPUTED_VALUE"""),43642.66666666667)</f>
        <v>43642.66667</v>
      </c>
      <c r="B8470" s="1">
        <f>IFERROR(__xludf.DUMMYFUNCTION("""COMPUTED_VALUE"""),2926.07)</f>
        <v>2926.07</v>
      </c>
      <c r="C8470" s="1">
        <f>IFERROR(__xludf.DUMMYFUNCTION("""COMPUTED_VALUE"""),2932.59)</f>
        <v>2932.59</v>
      </c>
      <c r="D8470" s="1">
        <f>IFERROR(__xludf.DUMMYFUNCTION("""COMPUTED_VALUE"""),2912.99)</f>
        <v>2912.99</v>
      </c>
      <c r="E8470" s="1">
        <f>IFERROR(__xludf.DUMMYFUNCTION("""COMPUTED_VALUE"""),2913.78)</f>
        <v>2913.78</v>
      </c>
      <c r="F8470" s="1">
        <f>IFERROR(__xludf.DUMMYFUNCTION("""COMPUTED_VALUE"""),0.0)</f>
        <v>0</v>
      </c>
    </row>
    <row r="8471">
      <c r="A8471" s="2">
        <f>IFERROR(__xludf.DUMMYFUNCTION("""COMPUTED_VALUE"""),43643.66666666667)</f>
        <v>43643.66667</v>
      </c>
      <c r="B8471" s="1">
        <f>IFERROR(__xludf.DUMMYFUNCTION("""COMPUTED_VALUE"""),2919.66)</f>
        <v>2919.66</v>
      </c>
      <c r="C8471" s="1">
        <f>IFERROR(__xludf.DUMMYFUNCTION("""COMPUTED_VALUE"""),2929.3)</f>
        <v>2929.3</v>
      </c>
      <c r="D8471" s="1">
        <f>IFERROR(__xludf.DUMMYFUNCTION("""COMPUTED_VALUE"""),2918.85)</f>
        <v>2918.85</v>
      </c>
      <c r="E8471" s="1">
        <f>IFERROR(__xludf.DUMMYFUNCTION("""COMPUTED_VALUE"""),2924.92)</f>
        <v>2924.92</v>
      </c>
      <c r="F8471" s="1">
        <f>IFERROR(__xludf.DUMMYFUNCTION("""COMPUTED_VALUE"""),0.0)</f>
        <v>0</v>
      </c>
    </row>
    <row r="8472">
      <c r="A8472" s="2">
        <f>IFERROR(__xludf.DUMMYFUNCTION("""COMPUTED_VALUE"""),43644.66666666667)</f>
        <v>43644.66667</v>
      </c>
      <c r="B8472" s="1">
        <f>IFERROR(__xludf.DUMMYFUNCTION("""COMPUTED_VALUE"""),2932.94)</f>
        <v>2932.94</v>
      </c>
      <c r="C8472" s="1">
        <f>IFERROR(__xludf.DUMMYFUNCTION("""COMPUTED_VALUE"""),2943.98)</f>
        <v>2943.98</v>
      </c>
      <c r="D8472" s="1">
        <f>IFERROR(__xludf.DUMMYFUNCTION("""COMPUTED_VALUE"""),2929.05)</f>
        <v>2929.05</v>
      </c>
      <c r="E8472" s="1">
        <f>IFERROR(__xludf.DUMMYFUNCTION("""COMPUTED_VALUE"""),2941.76)</f>
        <v>2941.76</v>
      </c>
      <c r="F8472" s="1">
        <f>IFERROR(__xludf.DUMMYFUNCTION("""COMPUTED_VALUE"""),0.0)</f>
        <v>0</v>
      </c>
    </row>
    <row r="8473">
      <c r="A8473" s="2">
        <f>IFERROR(__xludf.DUMMYFUNCTION("""COMPUTED_VALUE"""),43647.66666666667)</f>
        <v>43647.66667</v>
      </c>
      <c r="B8473" s="1">
        <f>IFERROR(__xludf.DUMMYFUNCTION("""COMPUTED_VALUE"""),2971.41)</f>
        <v>2971.41</v>
      </c>
      <c r="C8473" s="1">
        <f>IFERROR(__xludf.DUMMYFUNCTION("""COMPUTED_VALUE"""),2977.93)</f>
        <v>2977.93</v>
      </c>
      <c r="D8473" s="1">
        <f>IFERROR(__xludf.DUMMYFUNCTION("""COMPUTED_VALUE"""),2952.22)</f>
        <v>2952.22</v>
      </c>
      <c r="E8473" s="1">
        <f>IFERROR(__xludf.DUMMYFUNCTION("""COMPUTED_VALUE"""),2964.33)</f>
        <v>2964.33</v>
      </c>
      <c r="F8473" s="1">
        <f>IFERROR(__xludf.DUMMYFUNCTION("""COMPUTED_VALUE"""),0.0)</f>
        <v>0</v>
      </c>
    </row>
    <row r="8474">
      <c r="A8474" s="2">
        <f>IFERROR(__xludf.DUMMYFUNCTION("""COMPUTED_VALUE"""),43648.66666666667)</f>
        <v>43648.66667</v>
      </c>
      <c r="B8474" s="1">
        <f>IFERROR(__xludf.DUMMYFUNCTION("""COMPUTED_VALUE"""),2964.66)</f>
        <v>2964.66</v>
      </c>
      <c r="C8474" s="1">
        <f>IFERROR(__xludf.DUMMYFUNCTION("""COMPUTED_VALUE"""),2973.21)</f>
        <v>2973.21</v>
      </c>
      <c r="D8474" s="1">
        <f>IFERROR(__xludf.DUMMYFUNCTION("""COMPUTED_VALUE"""),2955.92)</f>
        <v>2955.92</v>
      </c>
      <c r="E8474" s="1">
        <f>IFERROR(__xludf.DUMMYFUNCTION("""COMPUTED_VALUE"""),2973.01)</f>
        <v>2973.01</v>
      </c>
      <c r="F8474" s="1">
        <f>IFERROR(__xludf.DUMMYFUNCTION("""COMPUTED_VALUE"""),0.0)</f>
        <v>0</v>
      </c>
    </row>
    <row r="8475">
      <c r="A8475" s="2">
        <f>IFERROR(__xludf.DUMMYFUNCTION("""COMPUTED_VALUE"""),43649.54166666667)</f>
        <v>43649.54167</v>
      </c>
      <c r="B8475" s="1">
        <f>IFERROR(__xludf.DUMMYFUNCTION("""COMPUTED_VALUE"""),2978.08)</f>
        <v>2978.08</v>
      </c>
      <c r="C8475" s="1">
        <f>IFERROR(__xludf.DUMMYFUNCTION("""COMPUTED_VALUE"""),2995.84)</f>
        <v>2995.84</v>
      </c>
      <c r="D8475" s="1">
        <f>IFERROR(__xludf.DUMMYFUNCTION("""COMPUTED_VALUE"""),2977.96)</f>
        <v>2977.96</v>
      </c>
      <c r="E8475" s="1">
        <f>IFERROR(__xludf.DUMMYFUNCTION("""COMPUTED_VALUE"""),2995.82)</f>
        <v>2995.82</v>
      </c>
      <c r="F8475" s="1">
        <f>IFERROR(__xludf.DUMMYFUNCTION("""COMPUTED_VALUE"""),0.0)</f>
        <v>0</v>
      </c>
    </row>
    <row r="8476">
      <c r="A8476" s="2">
        <f>IFERROR(__xludf.DUMMYFUNCTION("""COMPUTED_VALUE"""),43651.66666666667)</f>
        <v>43651.66667</v>
      </c>
      <c r="B8476" s="1">
        <f>IFERROR(__xludf.DUMMYFUNCTION("""COMPUTED_VALUE"""),2978.08)</f>
        <v>2978.08</v>
      </c>
      <c r="C8476" s="1">
        <f>IFERROR(__xludf.DUMMYFUNCTION("""COMPUTED_VALUE"""),2995.84)</f>
        <v>2995.84</v>
      </c>
      <c r="D8476" s="1">
        <f>IFERROR(__xludf.DUMMYFUNCTION("""COMPUTED_VALUE"""),2967.97)</f>
        <v>2967.97</v>
      </c>
      <c r="E8476" s="1">
        <f>IFERROR(__xludf.DUMMYFUNCTION("""COMPUTED_VALUE"""),2990.41)</f>
        <v>2990.41</v>
      </c>
      <c r="F8476" s="1">
        <f>IFERROR(__xludf.DUMMYFUNCTION("""COMPUTED_VALUE"""),0.0)</f>
        <v>0</v>
      </c>
    </row>
    <row r="8477">
      <c r="A8477" s="2">
        <f>IFERROR(__xludf.DUMMYFUNCTION("""COMPUTED_VALUE"""),43654.66666666667)</f>
        <v>43654.66667</v>
      </c>
      <c r="B8477" s="1">
        <f>IFERROR(__xludf.DUMMYFUNCTION("""COMPUTED_VALUE"""),2979.77)</f>
        <v>2979.77</v>
      </c>
      <c r="C8477" s="1">
        <f>IFERROR(__xludf.DUMMYFUNCTION("""COMPUTED_VALUE"""),2980.76)</f>
        <v>2980.76</v>
      </c>
      <c r="D8477" s="1">
        <f>IFERROR(__xludf.DUMMYFUNCTION("""COMPUTED_VALUE"""),2970.09)</f>
        <v>2970.09</v>
      </c>
      <c r="E8477" s="1">
        <f>IFERROR(__xludf.DUMMYFUNCTION("""COMPUTED_VALUE"""),2975.95)</f>
        <v>2975.95</v>
      </c>
      <c r="F8477" s="1">
        <f>IFERROR(__xludf.DUMMYFUNCTION("""COMPUTED_VALUE"""),0.0)</f>
        <v>0</v>
      </c>
    </row>
    <row r="8478">
      <c r="A8478" s="2">
        <f>IFERROR(__xludf.DUMMYFUNCTION("""COMPUTED_VALUE"""),43655.66666666667)</f>
        <v>43655.66667</v>
      </c>
      <c r="B8478" s="1">
        <f>IFERROR(__xludf.DUMMYFUNCTION("""COMPUTED_VALUE"""),2965.52)</f>
        <v>2965.52</v>
      </c>
      <c r="C8478" s="1">
        <f>IFERROR(__xludf.DUMMYFUNCTION("""COMPUTED_VALUE"""),2981.9)</f>
        <v>2981.9</v>
      </c>
      <c r="D8478" s="1">
        <f>IFERROR(__xludf.DUMMYFUNCTION("""COMPUTED_VALUE"""),2963.44)</f>
        <v>2963.44</v>
      </c>
      <c r="E8478" s="1">
        <f>IFERROR(__xludf.DUMMYFUNCTION("""COMPUTED_VALUE"""),2979.63)</f>
        <v>2979.63</v>
      </c>
      <c r="F8478" s="1">
        <f>IFERROR(__xludf.DUMMYFUNCTION("""COMPUTED_VALUE"""),0.0)</f>
        <v>0</v>
      </c>
    </row>
    <row r="8479">
      <c r="A8479" s="2">
        <f>IFERROR(__xludf.DUMMYFUNCTION("""COMPUTED_VALUE"""),43656.66666666667)</f>
        <v>43656.66667</v>
      </c>
      <c r="B8479" s="1">
        <f>IFERROR(__xludf.DUMMYFUNCTION("""COMPUTED_VALUE"""),2989.3)</f>
        <v>2989.3</v>
      </c>
      <c r="C8479" s="1">
        <f>IFERROR(__xludf.DUMMYFUNCTION("""COMPUTED_VALUE"""),3002.98)</f>
        <v>3002.98</v>
      </c>
      <c r="D8479" s="1">
        <f>IFERROR(__xludf.DUMMYFUNCTION("""COMPUTED_VALUE"""),2984.62)</f>
        <v>2984.62</v>
      </c>
      <c r="E8479" s="1">
        <f>IFERROR(__xludf.DUMMYFUNCTION("""COMPUTED_VALUE"""),2993.07)</f>
        <v>2993.07</v>
      </c>
      <c r="F8479" s="1">
        <f>IFERROR(__xludf.DUMMYFUNCTION("""COMPUTED_VALUE"""),0.0)</f>
        <v>0</v>
      </c>
    </row>
    <row r="8480">
      <c r="A8480" s="2">
        <f>IFERROR(__xludf.DUMMYFUNCTION("""COMPUTED_VALUE"""),43657.66666666667)</f>
        <v>43657.66667</v>
      </c>
      <c r="B8480" s="1">
        <f>IFERROR(__xludf.DUMMYFUNCTION("""COMPUTED_VALUE"""),2999.62)</f>
        <v>2999.62</v>
      </c>
      <c r="C8480" s="1">
        <f>IFERROR(__xludf.DUMMYFUNCTION("""COMPUTED_VALUE"""),3002.33)</f>
        <v>3002.33</v>
      </c>
      <c r="D8480" s="1">
        <f>IFERROR(__xludf.DUMMYFUNCTION("""COMPUTED_VALUE"""),2988.8)</f>
        <v>2988.8</v>
      </c>
      <c r="E8480" s="1">
        <f>IFERROR(__xludf.DUMMYFUNCTION("""COMPUTED_VALUE"""),2999.91)</f>
        <v>2999.91</v>
      </c>
      <c r="F8480" s="1">
        <f>IFERROR(__xludf.DUMMYFUNCTION("""COMPUTED_VALUE"""),0.0)</f>
        <v>0</v>
      </c>
    </row>
    <row r="8481">
      <c r="A8481" s="2">
        <f>IFERROR(__xludf.DUMMYFUNCTION("""COMPUTED_VALUE"""),43658.66666666667)</f>
        <v>43658.66667</v>
      </c>
      <c r="B8481" s="1">
        <f>IFERROR(__xludf.DUMMYFUNCTION("""COMPUTED_VALUE"""),3003.36)</f>
        <v>3003.36</v>
      </c>
      <c r="C8481" s="1">
        <f>IFERROR(__xludf.DUMMYFUNCTION("""COMPUTED_VALUE"""),3013.92)</f>
        <v>3013.92</v>
      </c>
      <c r="D8481" s="1">
        <f>IFERROR(__xludf.DUMMYFUNCTION("""COMPUTED_VALUE"""),3001.87)</f>
        <v>3001.87</v>
      </c>
      <c r="E8481" s="1">
        <f>IFERROR(__xludf.DUMMYFUNCTION("""COMPUTED_VALUE"""),3013.77)</f>
        <v>3013.77</v>
      </c>
      <c r="F8481" s="1">
        <f>IFERROR(__xludf.DUMMYFUNCTION("""COMPUTED_VALUE"""),0.0)</f>
        <v>0</v>
      </c>
    </row>
    <row r="8482">
      <c r="A8482" s="2">
        <f>IFERROR(__xludf.DUMMYFUNCTION("""COMPUTED_VALUE"""),43661.66666666667)</f>
        <v>43661.66667</v>
      </c>
      <c r="B8482" s="1">
        <f>IFERROR(__xludf.DUMMYFUNCTION("""COMPUTED_VALUE"""),3017.8)</f>
        <v>3017.8</v>
      </c>
      <c r="C8482" s="1">
        <f>IFERROR(__xludf.DUMMYFUNCTION("""COMPUTED_VALUE"""),3017.8)</f>
        <v>3017.8</v>
      </c>
      <c r="D8482" s="1">
        <f>IFERROR(__xludf.DUMMYFUNCTION("""COMPUTED_VALUE"""),3008.77)</f>
        <v>3008.77</v>
      </c>
      <c r="E8482" s="1">
        <f>IFERROR(__xludf.DUMMYFUNCTION("""COMPUTED_VALUE"""),3014.3)</f>
        <v>3014.3</v>
      </c>
      <c r="F8482" s="1">
        <f>IFERROR(__xludf.DUMMYFUNCTION("""COMPUTED_VALUE"""),0.0)</f>
        <v>0</v>
      </c>
    </row>
    <row r="8483">
      <c r="A8483" s="2">
        <f>IFERROR(__xludf.DUMMYFUNCTION("""COMPUTED_VALUE"""),43662.66666666667)</f>
        <v>43662.66667</v>
      </c>
      <c r="B8483" s="1">
        <f>IFERROR(__xludf.DUMMYFUNCTION("""COMPUTED_VALUE"""),3012.13)</f>
        <v>3012.13</v>
      </c>
      <c r="C8483" s="1">
        <f>IFERROR(__xludf.DUMMYFUNCTION("""COMPUTED_VALUE"""),3015.02)</f>
        <v>3015.02</v>
      </c>
      <c r="D8483" s="1">
        <f>IFERROR(__xludf.DUMMYFUNCTION("""COMPUTED_VALUE"""),3001.15)</f>
        <v>3001.15</v>
      </c>
      <c r="E8483" s="1">
        <f>IFERROR(__xludf.DUMMYFUNCTION("""COMPUTED_VALUE"""),3004.04)</f>
        <v>3004.04</v>
      </c>
      <c r="F8483" s="1">
        <f>IFERROR(__xludf.DUMMYFUNCTION("""COMPUTED_VALUE"""),0.0)</f>
        <v>0</v>
      </c>
    </row>
    <row r="8484">
      <c r="A8484" s="2">
        <f>IFERROR(__xludf.DUMMYFUNCTION("""COMPUTED_VALUE"""),43663.66666666667)</f>
        <v>43663.66667</v>
      </c>
      <c r="B8484" s="1">
        <f>IFERROR(__xludf.DUMMYFUNCTION("""COMPUTED_VALUE"""),3005.1)</f>
        <v>3005.1</v>
      </c>
      <c r="C8484" s="1">
        <f>IFERROR(__xludf.DUMMYFUNCTION("""COMPUTED_VALUE"""),3005.26)</f>
        <v>3005.26</v>
      </c>
      <c r="D8484" s="1">
        <f>IFERROR(__xludf.DUMMYFUNCTION("""COMPUTED_VALUE"""),2984.25)</f>
        <v>2984.25</v>
      </c>
      <c r="E8484" s="1">
        <f>IFERROR(__xludf.DUMMYFUNCTION("""COMPUTED_VALUE"""),2984.42)</f>
        <v>2984.42</v>
      </c>
      <c r="F8484" s="1">
        <f>IFERROR(__xludf.DUMMYFUNCTION("""COMPUTED_VALUE"""),0.0)</f>
        <v>0</v>
      </c>
    </row>
    <row r="8485">
      <c r="A8485" s="2">
        <f>IFERROR(__xludf.DUMMYFUNCTION("""COMPUTED_VALUE"""),43664.66666666667)</f>
        <v>43664.66667</v>
      </c>
      <c r="B8485" s="1">
        <f>IFERROR(__xludf.DUMMYFUNCTION("""COMPUTED_VALUE"""),2978.87)</f>
        <v>2978.87</v>
      </c>
      <c r="C8485" s="1">
        <f>IFERROR(__xludf.DUMMYFUNCTION("""COMPUTED_VALUE"""),2998.28)</f>
        <v>2998.28</v>
      </c>
      <c r="D8485" s="1">
        <f>IFERROR(__xludf.DUMMYFUNCTION("""COMPUTED_VALUE"""),2973.09)</f>
        <v>2973.09</v>
      </c>
      <c r="E8485" s="1">
        <f>IFERROR(__xludf.DUMMYFUNCTION("""COMPUTED_VALUE"""),2995.11)</f>
        <v>2995.11</v>
      </c>
      <c r="F8485" s="1">
        <f>IFERROR(__xludf.DUMMYFUNCTION("""COMPUTED_VALUE"""),0.0)</f>
        <v>0</v>
      </c>
    </row>
    <row r="8486">
      <c r="A8486" s="2">
        <f>IFERROR(__xludf.DUMMYFUNCTION("""COMPUTED_VALUE"""),43665.66666666667)</f>
        <v>43665.66667</v>
      </c>
      <c r="B8486" s="1">
        <f>IFERROR(__xludf.DUMMYFUNCTION("""COMPUTED_VALUE"""),3004.26)</f>
        <v>3004.26</v>
      </c>
      <c r="C8486" s="1">
        <f>IFERROR(__xludf.DUMMYFUNCTION("""COMPUTED_VALUE"""),3006.02)</f>
        <v>3006.02</v>
      </c>
      <c r="D8486" s="1">
        <f>IFERROR(__xludf.DUMMYFUNCTION("""COMPUTED_VALUE"""),2975.86)</f>
        <v>2975.86</v>
      </c>
      <c r="E8486" s="1">
        <f>IFERROR(__xludf.DUMMYFUNCTION("""COMPUTED_VALUE"""),2976.61)</f>
        <v>2976.61</v>
      </c>
      <c r="F8486" s="1">
        <f>IFERROR(__xludf.DUMMYFUNCTION("""COMPUTED_VALUE"""),0.0)</f>
        <v>0</v>
      </c>
    </row>
    <row r="8487">
      <c r="A8487" s="2">
        <f>IFERROR(__xludf.DUMMYFUNCTION("""COMPUTED_VALUE"""),43668.66666666667)</f>
        <v>43668.66667</v>
      </c>
      <c r="B8487" s="1">
        <f>IFERROR(__xludf.DUMMYFUNCTION("""COMPUTED_VALUE"""),2981.93)</f>
        <v>2981.93</v>
      </c>
      <c r="C8487" s="1">
        <f>IFERROR(__xludf.DUMMYFUNCTION("""COMPUTED_VALUE"""),2990.71)</f>
        <v>2990.71</v>
      </c>
      <c r="D8487" s="1">
        <f>IFERROR(__xludf.DUMMYFUNCTION("""COMPUTED_VALUE"""),2976.65)</f>
        <v>2976.65</v>
      </c>
      <c r="E8487" s="1">
        <f>IFERROR(__xludf.DUMMYFUNCTION("""COMPUTED_VALUE"""),2985.03)</f>
        <v>2985.03</v>
      </c>
      <c r="F8487" s="1">
        <f>IFERROR(__xludf.DUMMYFUNCTION("""COMPUTED_VALUE"""),0.0)</f>
        <v>0</v>
      </c>
    </row>
    <row r="8488">
      <c r="A8488" s="2">
        <f>IFERROR(__xludf.DUMMYFUNCTION("""COMPUTED_VALUE"""),43669.66666666667)</f>
        <v>43669.66667</v>
      </c>
      <c r="B8488" s="1">
        <f>IFERROR(__xludf.DUMMYFUNCTION("""COMPUTED_VALUE"""),2994.74)</f>
        <v>2994.74</v>
      </c>
      <c r="C8488" s="1">
        <f>IFERROR(__xludf.DUMMYFUNCTION("""COMPUTED_VALUE"""),3005.9)</f>
        <v>3005.9</v>
      </c>
      <c r="D8488" s="1">
        <f>IFERROR(__xludf.DUMMYFUNCTION("""COMPUTED_VALUE"""),2988.56)</f>
        <v>2988.56</v>
      </c>
      <c r="E8488" s="1">
        <f>IFERROR(__xludf.DUMMYFUNCTION("""COMPUTED_VALUE"""),3005.47)</f>
        <v>3005.47</v>
      </c>
      <c r="F8488" s="1">
        <f>IFERROR(__xludf.DUMMYFUNCTION("""COMPUTED_VALUE"""),0.0)</f>
        <v>0</v>
      </c>
    </row>
    <row r="8489">
      <c r="A8489" s="2">
        <f>IFERROR(__xludf.DUMMYFUNCTION("""COMPUTED_VALUE"""),43670.66666666667)</f>
        <v>43670.66667</v>
      </c>
      <c r="B8489" s="1">
        <f>IFERROR(__xludf.DUMMYFUNCTION("""COMPUTED_VALUE"""),2998.77)</f>
        <v>2998.77</v>
      </c>
      <c r="C8489" s="1">
        <f>IFERROR(__xludf.DUMMYFUNCTION("""COMPUTED_VALUE"""),3019.59)</f>
        <v>3019.59</v>
      </c>
      <c r="D8489" s="1">
        <f>IFERROR(__xludf.DUMMYFUNCTION("""COMPUTED_VALUE"""),2996.82)</f>
        <v>2996.82</v>
      </c>
      <c r="E8489" s="1">
        <f>IFERROR(__xludf.DUMMYFUNCTION("""COMPUTED_VALUE"""),3019.56)</f>
        <v>3019.56</v>
      </c>
      <c r="F8489" s="1">
        <f>IFERROR(__xludf.DUMMYFUNCTION("""COMPUTED_VALUE"""),0.0)</f>
        <v>0</v>
      </c>
    </row>
    <row r="8490">
      <c r="A8490" s="2">
        <f>IFERROR(__xludf.DUMMYFUNCTION("""COMPUTED_VALUE"""),43671.66666666667)</f>
        <v>43671.66667</v>
      </c>
      <c r="B8490" s="1">
        <f>IFERROR(__xludf.DUMMYFUNCTION("""COMPUTED_VALUE"""),3016.26)</f>
        <v>3016.26</v>
      </c>
      <c r="C8490" s="1">
        <f>IFERROR(__xludf.DUMMYFUNCTION("""COMPUTED_VALUE"""),3016.31)</f>
        <v>3016.31</v>
      </c>
      <c r="D8490" s="1">
        <f>IFERROR(__xludf.DUMMYFUNCTION("""COMPUTED_VALUE"""),2997.24)</f>
        <v>2997.24</v>
      </c>
      <c r="E8490" s="1">
        <f>IFERROR(__xludf.DUMMYFUNCTION("""COMPUTED_VALUE"""),3003.67)</f>
        <v>3003.67</v>
      </c>
      <c r="F8490" s="1">
        <f>IFERROR(__xludf.DUMMYFUNCTION("""COMPUTED_VALUE"""),0.0)</f>
        <v>0</v>
      </c>
    </row>
    <row r="8491">
      <c r="A8491" s="2">
        <f>IFERROR(__xludf.DUMMYFUNCTION("""COMPUTED_VALUE"""),43672.66666666667)</f>
        <v>43672.66667</v>
      </c>
      <c r="B8491" s="1">
        <f>IFERROR(__xludf.DUMMYFUNCTION("""COMPUTED_VALUE"""),3013.25)</f>
        <v>3013.25</v>
      </c>
      <c r="C8491" s="1">
        <f>IFERROR(__xludf.DUMMYFUNCTION("""COMPUTED_VALUE"""),3027.98)</f>
        <v>3027.98</v>
      </c>
      <c r="D8491" s="1">
        <f>IFERROR(__xludf.DUMMYFUNCTION("""COMPUTED_VALUE"""),3012.59)</f>
        <v>3012.59</v>
      </c>
      <c r="E8491" s="1">
        <f>IFERROR(__xludf.DUMMYFUNCTION("""COMPUTED_VALUE"""),3025.86)</f>
        <v>3025.86</v>
      </c>
      <c r="F8491" s="1">
        <f>IFERROR(__xludf.DUMMYFUNCTION("""COMPUTED_VALUE"""),0.0)</f>
        <v>0</v>
      </c>
    </row>
    <row r="8492">
      <c r="A8492" s="2">
        <f>IFERROR(__xludf.DUMMYFUNCTION("""COMPUTED_VALUE"""),43675.66666666667)</f>
        <v>43675.66667</v>
      </c>
      <c r="B8492" s="1">
        <f>IFERROR(__xludf.DUMMYFUNCTION("""COMPUTED_VALUE"""),3024.47)</f>
        <v>3024.47</v>
      </c>
      <c r="C8492" s="1">
        <f>IFERROR(__xludf.DUMMYFUNCTION("""COMPUTED_VALUE"""),3025.61)</f>
        <v>3025.61</v>
      </c>
      <c r="D8492" s="1">
        <f>IFERROR(__xludf.DUMMYFUNCTION("""COMPUTED_VALUE"""),3014.3)</f>
        <v>3014.3</v>
      </c>
      <c r="E8492" s="1">
        <f>IFERROR(__xludf.DUMMYFUNCTION("""COMPUTED_VALUE"""),3020.97)</f>
        <v>3020.97</v>
      </c>
      <c r="F8492" s="1">
        <f>IFERROR(__xludf.DUMMYFUNCTION("""COMPUTED_VALUE"""),0.0)</f>
        <v>0</v>
      </c>
    </row>
    <row r="8493">
      <c r="A8493" s="2">
        <f>IFERROR(__xludf.DUMMYFUNCTION("""COMPUTED_VALUE"""),43676.66666666667)</f>
        <v>43676.66667</v>
      </c>
      <c r="B8493" s="1">
        <f>IFERROR(__xludf.DUMMYFUNCTION("""COMPUTED_VALUE"""),3007.66)</f>
        <v>3007.66</v>
      </c>
      <c r="C8493" s="1">
        <f>IFERROR(__xludf.DUMMYFUNCTION("""COMPUTED_VALUE"""),3017.19)</f>
        <v>3017.19</v>
      </c>
      <c r="D8493" s="1">
        <f>IFERROR(__xludf.DUMMYFUNCTION("""COMPUTED_VALUE"""),3000.94)</f>
        <v>3000.94</v>
      </c>
      <c r="E8493" s="1">
        <f>IFERROR(__xludf.DUMMYFUNCTION("""COMPUTED_VALUE"""),3013.18)</f>
        <v>3013.18</v>
      </c>
      <c r="F8493" s="1">
        <f>IFERROR(__xludf.DUMMYFUNCTION("""COMPUTED_VALUE"""),0.0)</f>
        <v>0</v>
      </c>
    </row>
    <row r="8494">
      <c r="A8494" s="2">
        <f>IFERROR(__xludf.DUMMYFUNCTION("""COMPUTED_VALUE"""),43677.66666666667)</f>
        <v>43677.66667</v>
      </c>
      <c r="B8494" s="1">
        <f>IFERROR(__xludf.DUMMYFUNCTION("""COMPUTED_VALUE"""),3016.22)</f>
        <v>3016.22</v>
      </c>
      <c r="C8494" s="1">
        <f>IFERROR(__xludf.DUMMYFUNCTION("""COMPUTED_VALUE"""),3017.4)</f>
        <v>3017.4</v>
      </c>
      <c r="D8494" s="1">
        <f>IFERROR(__xludf.DUMMYFUNCTION("""COMPUTED_VALUE"""),2958.08)</f>
        <v>2958.08</v>
      </c>
      <c r="E8494" s="1">
        <f>IFERROR(__xludf.DUMMYFUNCTION("""COMPUTED_VALUE"""),2980.38)</f>
        <v>2980.38</v>
      </c>
      <c r="F8494" s="1">
        <f>IFERROR(__xludf.DUMMYFUNCTION("""COMPUTED_VALUE"""),0.0)</f>
        <v>0</v>
      </c>
    </row>
    <row r="8495">
      <c r="A8495" s="2">
        <f>IFERROR(__xludf.DUMMYFUNCTION("""COMPUTED_VALUE"""),43678.66666666667)</f>
        <v>43678.66667</v>
      </c>
      <c r="B8495" s="1">
        <f>IFERROR(__xludf.DUMMYFUNCTION("""COMPUTED_VALUE"""),2980.32)</f>
        <v>2980.32</v>
      </c>
      <c r="C8495" s="1">
        <f>IFERROR(__xludf.DUMMYFUNCTION("""COMPUTED_VALUE"""),3013.59)</f>
        <v>3013.59</v>
      </c>
      <c r="D8495" s="1">
        <f>IFERROR(__xludf.DUMMYFUNCTION("""COMPUTED_VALUE"""),2945.23)</f>
        <v>2945.23</v>
      </c>
      <c r="E8495" s="1">
        <f>IFERROR(__xludf.DUMMYFUNCTION("""COMPUTED_VALUE"""),2953.56)</f>
        <v>2953.56</v>
      </c>
      <c r="F8495" s="1">
        <f>IFERROR(__xludf.DUMMYFUNCTION("""COMPUTED_VALUE"""),0.0)</f>
        <v>0</v>
      </c>
    </row>
    <row r="8496">
      <c r="A8496" s="2">
        <f>IFERROR(__xludf.DUMMYFUNCTION("""COMPUTED_VALUE"""),43679.66666666667)</f>
        <v>43679.66667</v>
      </c>
      <c r="B8496" s="1">
        <f>IFERROR(__xludf.DUMMYFUNCTION("""COMPUTED_VALUE"""),2943.9)</f>
        <v>2943.9</v>
      </c>
      <c r="C8496" s="1">
        <f>IFERROR(__xludf.DUMMYFUNCTION("""COMPUTED_VALUE"""),2945.5)</f>
        <v>2945.5</v>
      </c>
      <c r="D8496" s="1">
        <f>IFERROR(__xludf.DUMMYFUNCTION("""COMPUTED_VALUE"""),2914.11)</f>
        <v>2914.11</v>
      </c>
      <c r="E8496" s="1">
        <f>IFERROR(__xludf.DUMMYFUNCTION("""COMPUTED_VALUE"""),2932.05)</f>
        <v>2932.05</v>
      </c>
      <c r="F8496" s="1">
        <f>IFERROR(__xludf.DUMMYFUNCTION("""COMPUTED_VALUE"""),0.0)</f>
        <v>0</v>
      </c>
    </row>
    <row r="8497">
      <c r="A8497" s="2">
        <f>IFERROR(__xludf.DUMMYFUNCTION("""COMPUTED_VALUE"""),43682.66666666667)</f>
        <v>43682.66667</v>
      </c>
      <c r="B8497" s="1">
        <f>IFERROR(__xludf.DUMMYFUNCTION("""COMPUTED_VALUE"""),2898.07)</f>
        <v>2898.07</v>
      </c>
      <c r="C8497" s="1">
        <f>IFERROR(__xludf.DUMMYFUNCTION("""COMPUTED_VALUE"""),2898.07)</f>
        <v>2898.07</v>
      </c>
      <c r="D8497" s="1">
        <f>IFERROR(__xludf.DUMMYFUNCTION("""COMPUTED_VALUE"""),2822.12)</f>
        <v>2822.12</v>
      </c>
      <c r="E8497" s="1">
        <f>IFERROR(__xludf.DUMMYFUNCTION("""COMPUTED_VALUE"""),2844.74)</f>
        <v>2844.74</v>
      </c>
      <c r="F8497" s="1">
        <f>IFERROR(__xludf.DUMMYFUNCTION("""COMPUTED_VALUE"""),0.0)</f>
        <v>0</v>
      </c>
    </row>
    <row r="8498">
      <c r="A8498" s="2">
        <f>IFERROR(__xludf.DUMMYFUNCTION("""COMPUTED_VALUE"""),43683.66666666667)</f>
        <v>43683.66667</v>
      </c>
      <c r="B8498" s="1">
        <f>IFERROR(__xludf.DUMMYFUNCTION("""COMPUTED_VALUE"""),2861.18)</f>
        <v>2861.18</v>
      </c>
      <c r="C8498" s="1">
        <f>IFERROR(__xludf.DUMMYFUNCTION("""COMPUTED_VALUE"""),2884.4)</f>
        <v>2884.4</v>
      </c>
      <c r="D8498" s="1">
        <f>IFERROR(__xludf.DUMMYFUNCTION("""COMPUTED_VALUE"""),2847.42)</f>
        <v>2847.42</v>
      </c>
      <c r="E8498" s="1">
        <f>IFERROR(__xludf.DUMMYFUNCTION("""COMPUTED_VALUE"""),2881.77)</f>
        <v>2881.77</v>
      </c>
      <c r="F8498" s="1">
        <f>IFERROR(__xludf.DUMMYFUNCTION("""COMPUTED_VALUE"""),0.0)</f>
        <v>0</v>
      </c>
    </row>
    <row r="8499">
      <c r="A8499" s="2">
        <f>IFERROR(__xludf.DUMMYFUNCTION("""COMPUTED_VALUE"""),43684.66666666667)</f>
        <v>43684.66667</v>
      </c>
      <c r="B8499" s="1">
        <f>IFERROR(__xludf.DUMMYFUNCTION("""COMPUTED_VALUE"""),2858.65)</f>
        <v>2858.65</v>
      </c>
      <c r="C8499" s="1">
        <f>IFERROR(__xludf.DUMMYFUNCTION("""COMPUTED_VALUE"""),2892.17)</f>
        <v>2892.17</v>
      </c>
      <c r="D8499" s="1">
        <f>IFERROR(__xludf.DUMMYFUNCTION("""COMPUTED_VALUE"""),2825.77)</f>
        <v>2825.77</v>
      </c>
      <c r="E8499" s="1">
        <f>IFERROR(__xludf.DUMMYFUNCTION("""COMPUTED_VALUE"""),2883.98)</f>
        <v>2883.98</v>
      </c>
      <c r="F8499" s="1">
        <f>IFERROR(__xludf.DUMMYFUNCTION("""COMPUTED_VALUE"""),0.0)</f>
        <v>0</v>
      </c>
    </row>
    <row r="8500">
      <c r="A8500" s="2">
        <f>IFERROR(__xludf.DUMMYFUNCTION("""COMPUTED_VALUE"""),43685.66666666667)</f>
        <v>43685.66667</v>
      </c>
      <c r="B8500" s="1">
        <f>IFERROR(__xludf.DUMMYFUNCTION("""COMPUTED_VALUE"""),2896.21)</f>
        <v>2896.21</v>
      </c>
      <c r="C8500" s="1">
        <f>IFERROR(__xludf.DUMMYFUNCTION("""COMPUTED_VALUE"""),2938.72)</f>
        <v>2938.72</v>
      </c>
      <c r="D8500" s="1">
        <f>IFERROR(__xludf.DUMMYFUNCTION("""COMPUTED_VALUE"""),2894.47)</f>
        <v>2894.47</v>
      </c>
      <c r="E8500" s="1">
        <f>IFERROR(__xludf.DUMMYFUNCTION("""COMPUTED_VALUE"""),2938.09)</f>
        <v>2938.09</v>
      </c>
      <c r="F8500" s="1">
        <f>IFERROR(__xludf.DUMMYFUNCTION("""COMPUTED_VALUE"""),0.0)</f>
        <v>0</v>
      </c>
    </row>
    <row r="8501">
      <c r="A8501" s="2">
        <f>IFERROR(__xludf.DUMMYFUNCTION("""COMPUTED_VALUE"""),43686.66666666667)</f>
        <v>43686.66667</v>
      </c>
      <c r="B8501" s="1">
        <f>IFERROR(__xludf.DUMMYFUNCTION("""COMPUTED_VALUE"""),2930.51)</f>
        <v>2930.51</v>
      </c>
      <c r="C8501" s="1">
        <f>IFERROR(__xludf.DUMMYFUNCTION("""COMPUTED_VALUE"""),2935.75)</f>
        <v>2935.75</v>
      </c>
      <c r="D8501" s="1">
        <f>IFERROR(__xludf.DUMMYFUNCTION("""COMPUTED_VALUE"""),2900.15)</f>
        <v>2900.15</v>
      </c>
      <c r="E8501" s="1">
        <f>IFERROR(__xludf.DUMMYFUNCTION("""COMPUTED_VALUE"""),2918.65)</f>
        <v>2918.65</v>
      </c>
      <c r="F8501" s="1">
        <f>IFERROR(__xludf.DUMMYFUNCTION("""COMPUTED_VALUE"""),0.0)</f>
        <v>0</v>
      </c>
    </row>
    <row r="8502">
      <c r="A8502" s="2">
        <f>IFERROR(__xludf.DUMMYFUNCTION("""COMPUTED_VALUE"""),43689.66666666667)</f>
        <v>43689.66667</v>
      </c>
      <c r="B8502" s="1">
        <f>IFERROR(__xludf.DUMMYFUNCTION("""COMPUTED_VALUE"""),2907.07)</f>
        <v>2907.07</v>
      </c>
      <c r="C8502" s="1">
        <f>IFERROR(__xludf.DUMMYFUNCTION("""COMPUTED_VALUE"""),2907.58)</f>
        <v>2907.58</v>
      </c>
      <c r="D8502" s="1">
        <f>IFERROR(__xludf.DUMMYFUNCTION("""COMPUTED_VALUE"""),2873.14)</f>
        <v>2873.14</v>
      </c>
      <c r="E8502" s="1">
        <f>IFERROR(__xludf.DUMMYFUNCTION("""COMPUTED_VALUE"""),2883.09)</f>
        <v>2883.09</v>
      </c>
      <c r="F8502" s="1">
        <f>IFERROR(__xludf.DUMMYFUNCTION("""COMPUTED_VALUE"""),0.0)</f>
        <v>0</v>
      </c>
    </row>
    <row r="8503">
      <c r="A8503" s="2">
        <f>IFERROR(__xludf.DUMMYFUNCTION("""COMPUTED_VALUE"""),43690.66666666667)</f>
        <v>43690.66667</v>
      </c>
      <c r="B8503" s="1">
        <f>IFERROR(__xludf.DUMMYFUNCTION("""COMPUTED_VALUE"""),2880.72)</f>
        <v>2880.72</v>
      </c>
      <c r="C8503" s="1">
        <f>IFERROR(__xludf.DUMMYFUNCTION("""COMPUTED_VALUE"""),2943.31)</f>
        <v>2943.31</v>
      </c>
      <c r="D8503" s="1">
        <f>IFERROR(__xludf.DUMMYFUNCTION("""COMPUTED_VALUE"""),2877.05)</f>
        <v>2877.05</v>
      </c>
      <c r="E8503" s="1">
        <f>IFERROR(__xludf.DUMMYFUNCTION("""COMPUTED_VALUE"""),2926.32)</f>
        <v>2926.32</v>
      </c>
      <c r="F8503" s="1">
        <f>IFERROR(__xludf.DUMMYFUNCTION("""COMPUTED_VALUE"""),0.0)</f>
        <v>0</v>
      </c>
    </row>
    <row r="8504">
      <c r="A8504" s="2">
        <f>IFERROR(__xludf.DUMMYFUNCTION("""COMPUTED_VALUE"""),43691.66666666667)</f>
        <v>43691.66667</v>
      </c>
      <c r="B8504" s="1">
        <f>IFERROR(__xludf.DUMMYFUNCTION("""COMPUTED_VALUE"""),2894.15)</f>
        <v>2894.15</v>
      </c>
      <c r="C8504" s="1">
        <f>IFERROR(__xludf.DUMMYFUNCTION("""COMPUTED_VALUE"""),2894.15)</f>
        <v>2894.15</v>
      </c>
      <c r="D8504" s="1">
        <f>IFERROR(__xludf.DUMMYFUNCTION("""COMPUTED_VALUE"""),2839.64)</f>
        <v>2839.64</v>
      </c>
      <c r="E8504" s="1">
        <f>IFERROR(__xludf.DUMMYFUNCTION("""COMPUTED_VALUE"""),2840.6)</f>
        <v>2840.6</v>
      </c>
      <c r="F8504" s="1">
        <f>IFERROR(__xludf.DUMMYFUNCTION("""COMPUTED_VALUE"""),0.0)</f>
        <v>0</v>
      </c>
    </row>
    <row r="8505">
      <c r="A8505" s="2">
        <f>IFERROR(__xludf.DUMMYFUNCTION("""COMPUTED_VALUE"""),43692.66666666667)</f>
        <v>43692.66667</v>
      </c>
      <c r="B8505" s="1">
        <f>IFERROR(__xludf.DUMMYFUNCTION("""COMPUTED_VALUE"""),2846.2)</f>
        <v>2846.2</v>
      </c>
      <c r="C8505" s="1">
        <f>IFERROR(__xludf.DUMMYFUNCTION("""COMPUTED_VALUE"""),2856.67)</f>
        <v>2856.67</v>
      </c>
      <c r="D8505" s="1">
        <f>IFERROR(__xludf.DUMMYFUNCTION("""COMPUTED_VALUE"""),2825.51)</f>
        <v>2825.51</v>
      </c>
      <c r="E8505" s="1">
        <f>IFERROR(__xludf.DUMMYFUNCTION("""COMPUTED_VALUE"""),2847.6)</f>
        <v>2847.6</v>
      </c>
      <c r="F8505" s="1">
        <f>IFERROR(__xludf.DUMMYFUNCTION("""COMPUTED_VALUE"""),0.0)</f>
        <v>0</v>
      </c>
    </row>
    <row r="8506">
      <c r="A8506" s="2">
        <f>IFERROR(__xludf.DUMMYFUNCTION("""COMPUTED_VALUE"""),43693.66666666667)</f>
        <v>43693.66667</v>
      </c>
      <c r="B8506" s="1">
        <f>IFERROR(__xludf.DUMMYFUNCTION("""COMPUTED_VALUE"""),2864.74)</f>
        <v>2864.74</v>
      </c>
      <c r="C8506" s="1">
        <f>IFERROR(__xludf.DUMMYFUNCTION("""COMPUTED_VALUE"""),2893.63)</f>
        <v>2893.63</v>
      </c>
      <c r="D8506" s="1">
        <f>IFERROR(__xludf.DUMMYFUNCTION("""COMPUTED_VALUE"""),2864.74)</f>
        <v>2864.74</v>
      </c>
      <c r="E8506" s="1">
        <f>IFERROR(__xludf.DUMMYFUNCTION("""COMPUTED_VALUE"""),2888.68)</f>
        <v>2888.68</v>
      </c>
      <c r="F8506" s="1">
        <f>IFERROR(__xludf.DUMMYFUNCTION("""COMPUTED_VALUE"""),0.0)</f>
        <v>0</v>
      </c>
    </row>
    <row r="8507">
      <c r="A8507" s="2">
        <f>IFERROR(__xludf.DUMMYFUNCTION("""COMPUTED_VALUE"""),43696.66666666667)</f>
        <v>43696.66667</v>
      </c>
      <c r="B8507" s="1">
        <f>IFERROR(__xludf.DUMMYFUNCTION("""COMPUTED_VALUE"""),2913.48)</f>
        <v>2913.48</v>
      </c>
      <c r="C8507" s="1">
        <f>IFERROR(__xludf.DUMMYFUNCTION("""COMPUTED_VALUE"""),2931.0)</f>
        <v>2931</v>
      </c>
      <c r="D8507" s="1">
        <f>IFERROR(__xludf.DUMMYFUNCTION("""COMPUTED_VALUE"""),2913.48)</f>
        <v>2913.48</v>
      </c>
      <c r="E8507" s="1">
        <f>IFERROR(__xludf.DUMMYFUNCTION("""COMPUTED_VALUE"""),2923.65)</f>
        <v>2923.65</v>
      </c>
      <c r="F8507" s="1">
        <f>IFERROR(__xludf.DUMMYFUNCTION("""COMPUTED_VALUE"""),0.0)</f>
        <v>0</v>
      </c>
    </row>
    <row r="8508">
      <c r="A8508" s="2">
        <f>IFERROR(__xludf.DUMMYFUNCTION("""COMPUTED_VALUE"""),43697.66666666667)</f>
        <v>43697.66667</v>
      </c>
      <c r="B8508" s="1">
        <f>IFERROR(__xludf.DUMMYFUNCTION("""COMPUTED_VALUE"""),2919.01)</f>
        <v>2919.01</v>
      </c>
      <c r="C8508" s="1">
        <f>IFERROR(__xludf.DUMMYFUNCTION("""COMPUTED_VALUE"""),2923.63)</f>
        <v>2923.63</v>
      </c>
      <c r="D8508" s="1">
        <f>IFERROR(__xludf.DUMMYFUNCTION("""COMPUTED_VALUE"""),2899.6)</f>
        <v>2899.6</v>
      </c>
      <c r="E8508" s="1">
        <f>IFERROR(__xludf.DUMMYFUNCTION("""COMPUTED_VALUE"""),2900.51)</f>
        <v>2900.51</v>
      </c>
      <c r="F8508" s="1">
        <f>IFERROR(__xludf.DUMMYFUNCTION("""COMPUTED_VALUE"""),0.0)</f>
        <v>0</v>
      </c>
    </row>
    <row r="8509">
      <c r="A8509" s="2">
        <f>IFERROR(__xludf.DUMMYFUNCTION("""COMPUTED_VALUE"""),43698.66666666667)</f>
        <v>43698.66667</v>
      </c>
      <c r="B8509" s="1">
        <f>IFERROR(__xludf.DUMMYFUNCTION("""COMPUTED_VALUE"""),2922.04)</f>
        <v>2922.04</v>
      </c>
      <c r="C8509" s="1">
        <f>IFERROR(__xludf.DUMMYFUNCTION("""COMPUTED_VALUE"""),2928.73)</f>
        <v>2928.73</v>
      </c>
      <c r="D8509" s="1">
        <f>IFERROR(__xludf.DUMMYFUNCTION("""COMPUTED_VALUE"""),2917.91)</f>
        <v>2917.91</v>
      </c>
      <c r="E8509" s="1">
        <f>IFERROR(__xludf.DUMMYFUNCTION("""COMPUTED_VALUE"""),2924.43)</f>
        <v>2924.43</v>
      </c>
      <c r="F8509" s="1">
        <f>IFERROR(__xludf.DUMMYFUNCTION("""COMPUTED_VALUE"""),0.0)</f>
        <v>0</v>
      </c>
    </row>
    <row r="8510">
      <c r="A8510" s="2">
        <f>IFERROR(__xludf.DUMMYFUNCTION("""COMPUTED_VALUE"""),43699.66666666667)</f>
        <v>43699.66667</v>
      </c>
      <c r="B8510" s="1">
        <f>IFERROR(__xludf.DUMMYFUNCTION("""COMPUTED_VALUE"""),2930.94)</f>
        <v>2930.94</v>
      </c>
      <c r="C8510" s="1">
        <f>IFERROR(__xludf.DUMMYFUNCTION("""COMPUTED_VALUE"""),2939.08)</f>
        <v>2939.08</v>
      </c>
      <c r="D8510" s="1">
        <f>IFERROR(__xludf.DUMMYFUNCTION("""COMPUTED_VALUE"""),2904.51)</f>
        <v>2904.51</v>
      </c>
      <c r="E8510" s="1">
        <f>IFERROR(__xludf.DUMMYFUNCTION("""COMPUTED_VALUE"""),2922.95)</f>
        <v>2922.95</v>
      </c>
      <c r="F8510" s="1">
        <f>IFERROR(__xludf.DUMMYFUNCTION("""COMPUTED_VALUE"""),0.0)</f>
        <v>0</v>
      </c>
    </row>
    <row r="8511">
      <c r="A8511" s="2">
        <f>IFERROR(__xludf.DUMMYFUNCTION("""COMPUTED_VALUE"""),43700.66666666667)</f>
        <v>43700.66667</v>
      </c>
      <c r="B8511" s="1">
        <f>IFERROR(__xludf.DUMMYFUNCTION("""COMPUTED_VALUE"""),2911.07)</f>
        <v>2911.07</v>
      </c>
      <c r="C8511" s="1">
        <f>IFERROR(__xludf.DUMMYFUNCTION("""COMPUTED_VALUE"""),2927.01)</f>
        <v>2927.01</v>
      </c>
      <c r="D8511" s="1">
        <f>IFERROR(__xludf.DUMMYFUNCTION("""COMPUTED_VALUE"""),2834.97)</f>
        <v>2834.97</v>
      </c>
      <c r="E8511" s="1">
        <f>IFERROR(__xludf.DUMMYFUNCTION("""COMPUTED_VALUE"""),2847.11)</f>
        <v>2847.11</v>
      </c>
      <c r="F8511" s="1">
        <f>IFERROR(__xludf.DUMMYFUNCTION("""COMPUTED_VALUE"""),0.0)</f>
        <v>0</v>
      </c>
    </row>
    <row r="8512">
      <c r="A8512" s="2">
        <f>IFERROR(__xludf.DUMMYFUNCTION("""COMPUTED_VALUE"""),43703.66666666667)</f>
        <v>43703.66667</v>
      </c>
      <c r="B8512" s="1">
        <f>IFERROR(__xludf.DUMMYFUNCTION("""COMPUTED_VALUE"""),2866.7)</f>
        <v>2866.7</v>
      </c>
      <c r="C8512" s="1">
        <f>IFERROR(__xludf.DUMMYFUNCTION("""COMPUTED_VALUE"""),2879.27)</f>
        <v>2879.27</v>
      </c>
      <c r="D8512" s="1">
        <f>IFERROR(__xludf.DUMMYFUNCTION("""COMPUTED_VALUE"""),2856.0)</f>
        <v>2856</v>
      </c>
      <c r="E8512" s="1">
        <f>IFERROR(__xludf.DUMMYFUNCTION("""COMPUTED_VALUE"""),2878.38)</f>
        <v>2878.38</v>
      </c>
      <c r="F8512" s="1">
        <f>IFERROR(__xludf.DUMMYFUNCTION("""COMPUTED_VALUE"""),0.0)</f>
        <v>0</v>
      </c>
    </row>
    <row r="8513">
      <c r="A8513" s="2">
        <f>IFERROR(__xludf.DUMMYFUNCTION("""COMPUTED_VALUE"""),43704.66666666667)</f>
        <v>43704.66667</v>
      </c>
      <c r="B8513" s="1">
        <f>IFERROR(__xludf.DUMMYFUNCTION("""COMPUTED_VALUE"""),2893.14)</f>
        <v>2893.14</v>
      </c>
      <c r="C8513" s="1">
        <f>IFERROR(__xludf.DUMMYFUNCTION("""COMPUTED_VALUE"""),2898.79)</f>
        <v>2898.79</v>
      </c>
      <c r="D8513" s="1">
        <f>IFERROR(__xludf.DUMMYFUNCTION("""COMPUTED_VALUE"""),2860.59)</f>
        <v>2860.59</v>
      </c>
      <c r="E8513" s="1">
        <f>IFERROR(__xludf.DUMMYFUNCTION("""COMPUTED_VALUE"""),2869.16)</f>
        <v>2869.16</v>
      </c>
      <c r="F8513" s="1">
        <f>IFERROR(__xludf.DUMMYFUNCTION("""COMPUTED_VALUE"""),0.0)</f>
        <v>0</v>
      </c>
    </row>
    <row r="8514">
      <c r="A8514" s="2">
        <f>IFERROR(__xludf.DUMMYFUNCTION("""COMPUTED_VALUE"""),43705.66666666667)</f>
        <v>43705.66667</v>
      </c>
      <c r="B8514" s="1">
        <f>IFERROR(__xludf.DUMMYFUNCTION("""COMPUTED_VALUE"""),2861.28)</f>
        <v>2861.28</v>
      </c>
      <c r="C8514" s="1">
        <f>IFERROR(__xludf.DUMMYFUNCTION("""COMPUTED_VALUE"""),2890.03)</f>
        <v>2890.03</v>
      </c>
      <c r="D8514" s="1">
        <f>IFERROR(__xludf.DUMMYFUNCTION("""COMPUTED_VALUE"""),2853.27)</f>
        <v>2853.27</v>
      </c>
      <c r="E8514" s="1">
        <f>IFERROR(__xludf.DUMMYFUNCTION("""COMPUTED_VALUE"""),2887.94)</f>
        <v>2887.94</v>
      </c>
      <c r="F8514" s="1">
        <f>IFERROR(__xludf.DUMMYFUNCTION("""COMPUTED_VALUE"""),0.0)</f>
        <v>0</v>
      </c>
    </row>
    <row r="8515">
      <c r="A8515" s="2">
        <f>IFERROR(__xludf.DUMMYFUNCTION("""COMPUTED_VALUE"""),43706.66666666667)</f>
        <v>43706.66667</v>
      </c>
      <c r="B8515" s="1">
        <f>IFERROR(__xludf.DUMMYFUNCTION("""COMPUTED_VALUE"""),2910.37)</f>
        <v>2910.37</v>
      </c>
      <c r="C8515" s="1">
        <f>IFERROR(__xludf.DUMMYFUNCTION("""COMPUTED_VALUE"""),2930.5)</f>
        <v>2930.5</v>
      </c>
      <c r="D8515" s="1">
        <f>IFERROR(__xludf.DUMMYFUNCTION("""COMPUTED_VALUE"""),2905.67)</f>
        <v>2905.67</v>
      </c>
      <c r="E8515" s="1">
        <f>IFERROR(__xludf.DUMMYFUNCTION("""COMPUTED_VALUE"""),2924.58)</f>
        <v>2924.58</v>
      </c>
      <c r="F8515" s="1">
        <f>IFERROR(__xludf.DUMMYFUNCTION("""COMPUTED_VALUE"""),0.0)</f>
        <v>0</v>
      </c>
    </row>
    <row r="8516">
      <c r="A8516" s="2">
        <f>IFERROR(__xludf.DUMMYFUNCTION("""COMPUTED_VALUE"""),43707.66666666667)</f>
        <v>43707.66667</v>
      </c>
      <c r="B8516" s="1">
        <f>IFERROR(__xludf.DUMMYFUNCTION("""COMPUTED_VALUE"""),2937.09)</f>
        <v>2937.09</v>
      </c>
      <c r="C8516" s="1">
        <f>IFERROR(__xludf.DUMMYFUNCTION("""COMPUTED_VALUE"""),2940.43)</f>
        <v>2940.43</v>
      </c>
      <c r="D8516" s="1">
        <f>IFERROR(__xludf.DUMMYFUNCTION("""COMPUTED_VALUE"""),2913.32)</f>
        <v>2913.32</v>
      </c>
      <c r="E8516" s="1">
        <f>IFERROR(__xludf.DUMMYFUNCTION("""COMPUTED_VALUE"""),2926.46)</f>
        <v>2926.46</v>
      </c>
      <c r="F8516" s="1">
        <f>IFERROR(__xludf.DUMMYFUNCTION("""COMPUTED_VALUE"""),0.0)</f>
        <v>0</v>
      </c>
    </row>
    <row r="8517">
      <c r="A8517" s="2">
        <f>IFERROR(__xludf.DUMMYFUNCTION("""COMPUTED_VALUE"""),43711.66666666667)</f>
        <v>43711.66667</v>
      </c>
      <c r="B8517" s="1">
        <f>IFERROR(__xludf.DUMMYFUNCTION("""COMPUTED_VALUE"""),2909.01)</f>
        <v>2909.01</v>
      </c>
      <c r="C8517" s="1">
        <f>IFERROR(__xludf.DUMMYFUNCTION("""COMPUTED_VALUE"""),2914.39)</f>
        <v>2914.39</v>
      </c>
      <c r="D8517" s="1">
        <f>IFERROR(__xludf.DUMMYFUNCTION("""COMPUTED_VALUE"""),2891.85)</f>
        <v>2891.85</v>
      </c>
      <c r="E8517" s="1">
        <f>IFERROR(__xludf.DUMMYFUNCTION("""COMPUTED_VALUE"""),2906.27)</f>
        <v>2906.27</v>
      </c>
      <c r="F8517" s="1">
        <f>IFERROR(__xludf.DUMMYFUNCTION("""COMPUTED_VALUE"""),0.0)</f>
        <v>0</v>
      </c>
    </row>
    <row r="8518">
      <c r="A8518" s="2">
        <f>IFERROR(__xludf.DUMMYFUNCTION("""COMPUTED_VALUE"""),43712.66666666667)</f>
        <v>43712.66667</v>
      </c>
      <c r="B8518" s="1">
        <f>IFERROR(__xludf.DUMMYFUNCTION("""COMPUTED_VALUE"""),2924.67)</f>
        <v>2924.67</v>
      </c>
      <c r="C8518" s="1">
        <f>IFERROR(__xludf.DUMMYFUNCTION("""COMPUTED_VALUE"""),2938.84)</f>
        <v>2938.84</v>
      </c>
      <c r="D8518" s="1">
        <f>IFERROR(__xludf.DUMMYFUNCTION("""COMPUTED_VALUE"""),2921.86)</f>
        <v>2921.86</v>
      </c>
      <c r="E8518" s="1">
        <f>IFERROR(__xludf.DUMMYFUNCTION("""COMPUTED_VALUE"""),2937.78)</f>
        <v>2937.78</v>
      </c>
      <c r="F8518" s="1">
        <f>IFERROR(__xludf.DUMMYFUNCTION("""COMPUTED_VALUE"""),0.0)</f>
        <v>0</v>
      </c>
    </row>
    <row r="8519">
      <c r="A8519" s="2">
        <f>IFERROR(__xludf.DUMMYFUNCTION("""COMPUTED_VALUE"""),43713.66666666667)</f>
        <v>43713.66667</v>
      </c>
      <c r="B8519" s="1">
        <f>IFERROR(__xludf.DUMMYFUNCTION("""COMPUTED_VALUE"""),2960.6)</f>
        <v>2960.6</v>
      </c>
      <c r="C8519" s="1">
        <f>IFERROR(__xludf.DUMMYFUNCTION("""COMPUTED_VALUE"""),2985.86)</f>
        <v>2985.86</v>
      </c>
      <c r="D8519" s="1">
        <f>IFERROR(__xludf.DUMMYFUNCTION("""COMPUTED_VALUE"""),2960.6)</f>
        <v>2960.6</v>
      </c>
      <c r="E8519" s="1">
        <f>IFERROR(__xludf.DUMMYFUNCTION("""COMPUTED_VALUE"""),2976.0)</f>
        <v>2976</v>
      </c>
      <c r="F8519" s="1">
        <f>IFERROR(__xludf.DUMMYFUNCTION("""COMPUTED_VALUE"""),0.0)</f>
        <v>0</v>
      </c>
    </row>
    <row r="8520">
      <c r="A8520" s="2">
        <f>IFERROR(__xludf.DUMMYFUNCTION("""COMPUTED_VALUE"""),43714.66666666667)</f>
        <v>43714.66667</v>
      </c>
      <c r="B8520" s="1">
        <f>IFERROR(__xludf.DUMMYFUNCTION("""COMPUTED_VALUE"""),2980.33)</f>
        <v>2980.33</v>
      </c>
      <c r="C8520" s="1">
        <f>IFERROR(__xludf.DUMMYFUNCTION("""COMPUTED_VALUE"""),2985.03)</f>
        <v>2985.03</v>
      </c>
      <c r="D8520" s="1">
        <f>IFERROR(__xludf.DUMMYFUNCTION("""COMPUTED_VALUE"""),2972.51)</f>
        <v>2972.51</v>
      </c>
      <c r="E8520" s="1">
        <f>IFERROR(__xludf.DUMMYFUNCTION("""COMPUTED_VALUE"""),2978.71)</f>
        <v>2978.71</v>
      </c>
      <c r="F8520" s="1">
        <f>IFERROR(__xludf.DUMMYFUNCTION("""COMPUTED_VALUE"""),0.0)</f>
        <v>0</v>
      </c>
    </row>
    <row r="8521">
      <c r="A8521" s="2">
        <f>IFERROR(__xludf.DUMMYFUNCTION("""COMPUTED_VALUE"""),43717.66666666667)</f>
        <v>43717.66667</v>
      </c>
      <c r="B8521" s="1">
        <f>IFERROR(__xludf.DUMMYFUNCTION("""COMPUTED_VALUE"""),2988.43)</f>
        <v>2988.43</v>
      </c>
      <c r="C8521" s="1">
        <f>IFERROR(__xludf.DUMMYFUNCTION("""COMPUTED_VALUE"""),2989.43)</f>
        <v>2989.43</v>
      </c>
      <c r="D8521" s="1">
        <f>IFERROR(__xludf.DUMMYFUNCTION("""COMPUTED_VALUE"""),2969.39)</f>
        <v>2969.39</v>
      </c>
      <c r="E8521" s="1">
        <f>IFERROR(__xludf.DUMMYFUNCTION("""COMPUTED_VALUE"""),2978.43)</f>
        <v>2978.43</v>
      </c>
      <c r="F8521" s="1">
        <f>IFERROR(__xludf.DUMMYFUNCTION("""COMPUTED_VALUE"""),0.0)</f>
        <v>0</v>
      </c>
    </row>
    <row r="8522">
      <c r="A8522" s="2">
        <f>IFERROR(__xludf.DUMMYFUNCTION("""COMPUTED_VALUE"""),43718.66666666667)</f>
        <v>43718.66667</v>
      </c>
      <c r="B8522" s="1">
        <f>IFERROR(__xludf.DUMMYFUNCTION("""COMPUTED_VALUE"""),2971.01)</f>
        <v>2971.01</v>
      </c>
      <c r="C8522" s="1">
        <f>IFERROR(__xludf.DUMMYFUNCTION("""COMPUTED_VALUE"""),2979.39)</f>
        <v>2979.39</v>
      </c>
      <c r="D8522" s="1">
        <f>IFERROR(__xludf.DUMMYFUNCTION("""COMPUTED_VALUE"""),2957.01)</f>
        <v>2957.01</v>
      </c>
      <c r="E8522" s="1">
        <f>IFERROR(__xludf.DUMMYFUNCTION("""COMPUTED_VALUE"""),2979.39)</f>
        <v>2979.39</v>
      </c>
      <c r="F8522" s="1">
        <f>IFERROR(__xludf.DUMMYFUNCTION("""COMPUTED_VALUE"""),0.0)</f>
        <v>0</v>
      </c>
    </row>
    <row r="8523">
      <c r="A8523" s="2">
        <f>IFERROR(__xludf.DUMMYFUNCTION("""COMPUTED_VALUE"""),43719.66666666667)</f>
        <v>43719.66667</v>
      </c>
      <c r="B8523" s="1">
        <f>IFERROR(__xludf.DUMMYFUNCTION("""COMPUTED_VALUE"""),2981.41)</f>
        <v>2981.41</v>
      </c>
      <c r="C8523" s="1">
        <f>IFERROR(__xludf.DUMMYFUNCTION("""COMPUTED_VALUE"""),3000.93)</f>
        <v>3000.93</v>
      </c>
      <c r="D8523" s="1">
        <f>IFERROR(__xludf.DUMMYFUNCTION("""COMPUTED_VALUE"""),2975.31)</f>
        <v>2975.31</v>
      </c>
      <c r="E8523" s="1">
        <f>IFERROR(__xludf.DUMMYFUNCTION("""COMPUTED_VALUE"""),3000.93)</f>
        <v>3000.93</v>
      </c>
      <c r="F8523" s="1">
        <f>IFERROR(__xludf.DUMMYFUNCTION("""COMPUTED_VALUE"""),0.0)</f>
        <v>0</v>
      </c>
    </row>
    <row r="8524">
      <c r="A8524" s="2">
        <f>IFERROR(__xludf.DUMMYFUNCTION("""COMPUTED_VALUE"""),43720.66666666667)</f>
        <v>43720.66667</v>
      </c>
      <c r="B8524" s="1">
        <f>IFERROR(__xludf.DUMMYFUNCTION("""COMPUTED_VALUE"""),3009.08)</f>
        <v>3009.08</v>
      </c>
      <c r="C8524" s="1">
        <f>IFERROR(__xludf.DUMMYFUNCTION("""COMPUTED_VALUE"""),3020.74)</f>
        <v>3020.74</v>
      </c>
      <c r="D8524" s="1">
        <f>IFERROR(__xludf.DUMMYFUNCTION("""COMPUTED_VALUE"""),3000.92)</f>
        <v>3000.92</v>
      </c>
      <c r="E8524" s="1">
        <f>IFERROR(__xludf.DUMMYFUNCTION("""COMPUTED_VALUE"""),3009.57)</f>
        <v>3009.57</v>
      </c>
      <c r="F8524" s="1">
        <f>IFERROR(__xludf.DUMMYFUNCTION("""COMPUTED_VALUE"""),0.0)</f>
        <v>0</v>
      </c>
    </row>
    <row r="8525">
      <c r="A8525" s="2">
        <f>IFERROR(__xludf.DUMMYFUNCTION("""COMPUTED_VALUE"""),43721.66666666667)</f>
        <v>43721.66667</v>
      </c>
      <c r="B8525" s="1">
        <f>IFERROR(__xludf.DUMMYFUNCTION("""COMPUTED_VALUE"""),3012.21)</f>
        <v>3012.21</v>
      </c>
      <c r="C8525" s="1">
        <f>IFERROR(__xludf.DUMMYFUNCTION("""COMPUTED_VALUE"""),3017.33)</f>
        <v>3017.33</v>
      </c>
      <c r="D8525" s="1">
        <f>IFERROR(__xludf.DUMMYFUNCTION("""COMPUTED_VALUE"""),3002.9)</f>
        <v>3002.9</v>
      </c>
      <c r="E8525" s="1">
        <f>IFERROR(__xludf.DUMMYFUNCTION("""COMPUTED_VALUE"""),3007.39)</f>
        <v>3007.39</v>
      </c>
      <c r="F8525" s="1">
        <f>IFERROR(__xludf.DUMMYFUNCTION("""COMPUTED_VALUE"""),0.0)</f>
        <v>0</v>
      </c>
    </row>
    <row r="8526">
      <c r="A8526" s="2">
        <f>IFERROR(__xludf.DUMMYFUNCTION("""COMPUTED_VALUE"""),43724.66666666667)</f>
        <v>43724.66667</v>
      </c>
      <c r="B8526" s="1">
        <f>IFERROR(__xludf.DUMMYFUNCTION("""COMPUTED_VALUE"""),2996.41)</f>
        <v>2996.41</v>
      </c>
      <c r="C8526" s="1">
        <f>IFERROR(__xludf.DUMMYFUNCTION("""COMPUTED_VALUE"""),3002.19)</f>
        <v>3002.19</v>
      </c>
      <c r="D8526" s="1">
        <f>IFERROR(__xludf.DUMMYFUNCTION("""COMPUTED_VALUE"""),2990.67)</f>
        <v>2990.67</v>
      </c>
      <c r="E8526" s="1">
        <f>IFERROR(__xludf.DUMMYFUNCTION("""COMPUTED_VALUE"""),2997.96)</f>
        <v>2997.96</v>
      </c>
      <c r="F8526" s="1">
        <f>IFERROR(__xludf.DUMMYFUNCTION("""COMPUTED_VALUE"""),0.0)</f>
        <v>0</v>
      </c>
    </row>
    <row r="8527">
      <c r="A8527" s="2">
        <f>IFERROR(__xludf.DUMMYFUNCTION("""COMPUTED_VALUE"""),43725.66666666667)</f>
        <v>43725.66667</v>
      </c>
      <c r="B8527" s="1">
        <f>IFERROR(__xludf.DUMMYFUNCTION("""COMPUTED_VALUE"""),2995.67)</f>
        <v>2995.67</v>
      </c>
      <c r="C8527" s="1">
        <f>IFERROR(__xludf.DUMMYFUNCTION("""COMPUTED_VALUE"""),3006.21)</f>
        <v>3006.21</v>
      </c>
      <c r="D8527" s="1">
        <f>IFERROR(__xludf.DUMMYFUNCTION("""COMPUTED_VALUE"""),2993.73)</f>
        <v>2993.73</v>
      </c>
      <c r="E8527" s="1">
        <f>IFERROR(__xludf.DUMMYFUNCTION("""COMPUTED_VALUE"""),3005.7)</f>
        <v>3005.7</v>
      </c>
      <c r="F8527" s="1">
        <f>IFERROR(__xludf.DUMMYFUNCTION("""COMPUTED_VALUE"""),0.0)</f>
        <v>0</v>
      </c>
    </row>
    <row r="8528">
      <c r="A8528" s="2">
        <f>IFERROR(__xludf.DUMMYFUNCTION("""COMPUTED_VALUE"""),43726.66666666667)</f>
        <v>43726.66667</v>
      </c>
      <c r="B8528" s="1">
        <f>IFERROR(__xludf.DUMMYFUNCTION("""COMPUTED_VALUE"""),3001.5)</f>
        <v>3001.5</v>
      </c>
      <c r="C8528" s="1">
        <f>IFERROR(__xludf.DUMMYFUNCTION("""COMPUTED_VALUE"""),3007.83)</f>
        <v>3007.83</v>
      </c>
      <c r="D8528" s="1">
        <f>IFERROR(__xludf.DUMMYFUNCTION("""COMPUTED_VALUE"""),2978.57)</f>
        <v>2978.57</v>
      </c>
      <c r="E8528" s="1">
        <f>IFERROR(__xludf.DUMMYFUNCTION("""COMPUTED_VALUE"""),3006.73)</f>
        <v>3006.73</v>
      </c>
      <c r="F8528" s="1">
        <f>IFERROR(__xludf.DUMMYFUNCTION("""COMPUTED_VALUE"""),0.0)</f>
        <v>0</v>
      </c>
    </row>
    <row r="8529">
      <c r="A8529" s="2">
        <f>IFERROR(__xludf.DUMMYFUNCTION("""COMPUTED_VALUE"""),43727.66666666667)</f>
        <v>43727.66667</v>
      </c>
      <c r="B8529" s="1">
        <f>IFERROR(__xludf.DUMMYFUNCTION("""COMPUTED_VALUE"""),3010.36)</f>
        <v>3010.36</v>
      </c>
      <c r="C8529" s="1">
        <f>IFERROR(__xludf.DUMMYFUNCTION("""COMPUTED_VALUE"""),3021.99)</f>
        <v>3021.99</v>
      </c>
      <c r="D8529" s="1">
        <f>IFERROR(__xludf.DUMMYFUNCTION("""COMPUTED_VALUE"""),3003.16)</f>
        <v>3003.16</v>
      </c>
      <c r="E8529" s="1">
        <f>IFERROR(__xludf.DUMMYFUNCTION("""COMPUTED_VALUE"""),3006.79)</f>
        <v>3006.79</v>
      </c>
      <c r="F8529" s="1">
        <f>IFERROR(__xludf.DUMMYFUNCTION("""COMPUTED_VALUE"""),0.0)</f>
        <v>0</v>
      </c>
    </row>
    <row r="8530">
      <c r="A8530" s="2">
        <f>IFERROR(__xludf.DUMMYFUNCTION("""COMPUTED_VALUE"""),43728.66666666667)</f>
        <v>43728.66667</v>
      </c>
      <c r="B8530" s="1">
        <f>IFERROR(__xludf.DUMMYFUNCTION("""COMPUTED_VALUE"""),3008.42)</f>
        <v>3008.42</v>
      </c>
      <c r="C8530" s="1">
        <f>IFERROR(__xludf.DUMMYFUNCTION("""COMPUTED_VALUE"""),3016.37)</f>
        <v>3016.37</v>
      </c>
      <c r="D8530" s="1">
        <f>IFERROR(__xludf.DUMMYFUNCTION("""COMPUTED_VALUE"""),2984.68)</f>
        <v>2984.68</v>
      </c>
      <c r="E8530" s="1">
        <f>IFERROR(__xludf.DUMMYFUNCTION("""COMPUTED_VALUE"""),2992.07)</f>
        <v>2992.07</v>
      </c>
      <c r="F8530" s="1">
        <f>IFERROR(__xludf.DUMMYFUNCTION("""COMPUTED_VALUE"""),0.0)</f>
        <v>0</v>
      </c>
    </row>
    <row r="8531">
      <c r="A8531" s="2">
        <f>IFERROR(__xludf.DUMMYFUNCTION("""COMPUTED_VALUE"""),43731.66666666667)</f>
        <v>43731.66667</v>
      </c>
      <c r="B8531" s="1">
        <f>IFERROR(__xludf.DUMMYFUNCTION("""COMPUTED_VALUE"""),2983.5)</f>
        <v>2983.5</v>
      </c>
      <c r="C8531" s="1">
        <f>IFERROR(__xludf.DUMMYFUNCTION("""COMPUTED_VALUE"""),2999.15)</f>
        <v>2999.15</v>
      </c>
      <c r="D8531" s="1">
        <f>IFERROR(__xludf.DUMMYFUNCTION("""COMPUTED_VALUE"""),2982.23)</f>
        <v>2982.23</v>
      </c>
      <c r="E8531" s="1">
        <f>IFERROR(__xludf.DUMMYFUNCTION("""COMPUTED_VALUE"""),2991.78)</f>
        <v>2991.78</v>
      </c>
      <c r="F8531" s="1">
        <f>IFERROR(__xludf.DUMMYFUNCTION("""COMPUTED_VALUE"""),0.0)</f>
        <v>0</v>
      </c>
    </row>
    <row r="8532">
      <c r="A8532" s="2">
        <f>IFERROR(__xludf.DUMMYFUNCTION("""COMPUTED_VALUE"""),43732.66666666667)</f>
        <v>43732.66667</v>
      </c>
      <c r="B8532" s="1">
        <f>IFERROR(__xludf.DUMMYFUNCTION("""COMPUTED_VALUE"""),3002.43)</f>
        <v>3002.43</v>
      </c>
      <c r="C8532" s="1">
        <f>IFERROR(__xludf.DUMMYFUNCTION("""COMPUTED_VALUE"""),3007.98)</f>
        <v>3007.98</v>
      </c>
      <c r="D8532" s="1">
        <f>IFERROR(__xludf.DUMMYFUNCTION("""COMPUTED_VALUE"""),2957.73)</f>
        <v>2957.73</v>
      </c>
      <c r="E8532" s="1">
        <f>IFERROR(__xludf.DUMMYFUNCTION("""COMPUTED_VALUE"""),2966.6)</f>
        <v>2966.6</v>
      </c>
      <c r="F8532" s="1">
        <f>IFERROR(__xludf.DUMMYFUNCTION("""COMPUTED_VALUE"""),0.0)</f>
        <v>0</v>
      </c>
    </row>
    <row r="8533">
      <c r="A8533" s="2">
        <f>IFERROR(__xludf.DUMMYFUNCTION("""COMPUTED_VALUE"""),43733.66666666667)</f>
        <v>43733.66667</v>
      </c>
      <c r="B8533" s="1">
        <f>IFERROR(__xludf.DUMMYFUNCTION("""COMPUTED_VALUE"""),2968.35)</f>
        <v>2968.35</v>
      </c>
      <c r="C8533" s="1">
        <f>IFERROR(__xludf.DUMMYFUNCTION("""COMPUTED_VALUE"""),2989.82)</f>
        <v>2989.82</v>
      </c>
      <c r="D8533" s="1">
        <f>IFERROR(__xludf.DUMMYFUNCTION("""COMPUTED_VALUE"""),2952.96)</f>
        <v>2952.96</v>
      </c>
      <c r="E8533" s="1">
        <f>IFERROR(__xludf.DUMMYFUNCTION("""COMPUTED_VALUE"""),2984.87)</f>
        <v>2984.87</v>
      </c>
      <c r="F8533" s="1">
        <f>IFERROR(__xludf.DUMMYFUNCTION("""COMPUTED_VALUE"""),0.0)</f>
        <v>0</v>
      </c>
    </row>
    <row r="8534">
      <c r="A8534" s="2">
        <f>IFERROR(__xludf.DUMMYFUNCTION("""COMPUTED_VALUE"""),43734.66666666667)</f>
        <v>43734.66667</v>
      </c>
      <c r="B8534" s="1">
        <f>IFERROR(__xludf.DUMMYFUNCTION("""COMPUTED_VALUE"""),2985.73)</f>
        <v>2985.73</v>
      </c>
      <c r="C8534" s="1">
        <f>IFERROR(__xludf.DUMMYFUNCTION("""COMPUTED_VALUE"""),2987.28)</f>
        <v>2987.28</v>
      </c>
      <c r="D8534" s="1">
        <f>IFERROR(__xludf.DUMMYFUNCTION("""COMPUTED_VALUE"""),2963.71)</f>
        <v>2963.71</v>
      </c>
      <c r="E8534" s="1">
        <f>IFERROR(__xludf.DUMMYFUNCTION("""COMPUTED_VALUE"""),2977.62)</f>
        <v>2977.62</v>
      </c>
      <c r="F8534" s="1">
        <f>IFERROR(__xludf.DUMMYFUNCTION("""COMPUTED_VALUE"""),0.0)</f>
        <v>0</v>
      </c>
    </row>
    <row r="8535">
      <c r="A8535" s="2">
        <f>IFERROR(__xludf.DUMMYFUNCTION("""COMPUTED_VALUE"""),43735.66666666667)</f>
        <v>43735.66667</v>
      </c>
      <c r="B8535" s="1">
        <f>IFERROR(__xludf.DUMMYFUNCTION("""COMPUTED_VALUE"""),2985.47)</f>
        <v>2985.47</v>
      </c>
      <c r="C8535" s="1">
        <f>IFERROR(__xludf.DUMMYFUNCTION("""COMPUTED_VALUE"""),2987.31)</f>
        <v>2987.31</v>
      </c>
      <c r="D8535" s="1">
        <f>IFERROR(__xludf.DUMMYFUNCTION("""COMPUTED_VALUE"""),2945.53)</f>
        <v>2945.53</v>
      </c>
      <c r="E8535" s="1">
        <f>IFERROR(__xludf.DUMMYFUNCTION("""COMPUTED_VALUE"""),2961.79)</f>
        <v>2961.79</v>
      </c>
      <c r="F8535" s="1">
        <f>IFERROR(__xludf.DUMMYFUNCTION("""COMPUTED_VALUE"""),0.0)</f>
        <v>0</v>
      </c>
    </row>
    <row r="8536">
      <c r="A8536" s="2">
        <f>IFERROR(__xludf.DUMMYFUNCTION("""COMPUTED_VALUE"""),43738.66666666667)</f>
        <v>43738.66667</v>
      </c>
      <c r="B8536" s="1">
        <f>IFERROR(__xludf.DUMMYFUNCTION("""COMPUTED_VALUE"""),2967.07)</f>
        <v>2967.07</v>
      </c>
      <c r="C8536" s="1">
        <f>IFERROR(__xludf.DUMMYFUNCTION("""COMPUTED_VALUE"""),2983.85)</f>
        <v>2983.85</v>
      </c>
      <c r="D8536" s="1">
        <f>IFERROR(__xludf.DUMMYFUNCTION("""COMPUTED_VALUE"""),2967.07)</f>
        <v>2967.07</v>
      </c>
      <c r="E8536" s="1">
        <f>IFERROR(__xludf.DUMMYFUNCTION("""COMPUTED_VALUE"""),2976.74)</f>
        <v>2976.74</v>
      </c>
      <c r="F8536" s="1">
        <f>IFERROR(__xludf.DUMMYFUNCTION("""COMPUTED_VALUE"""),0.0)</f>
        <v>0</v>
      </c>
    </row>
    <row r="8537">
      <c r="A8537" s="2">
        <f>IFERROR(__xludf.DUMMYFUNCTION("""COMPUTED_VALUE"""),43739.66666666667)</f>
        <v>43739.66667</v>
      </c>
      <c r="B8537" s="1">
        <f>IFERROR(__xludf.DUMMYFUNCTION("""COMPUTED_VALUE"""),2983.69)</f>
        <v>2983.69</v>
      </c>
      <c r="C8537" s="1">
        <f>IFERROR(__xludf.DUMMYFUNCTION("""COMPUTED_VALUE"""),2992.53)</f>
        <v>2992.53</v>
      </c>
      <c r="D8537" s="1">
        <f>IFERROR(__xludf.DUMMYFUNCTION("""COMPUTED_VALUE"""),2938.7)</f>
        <v>2938.7</v>
      </c>
      <c r="E8537" s="1">
        <f>IFERROR(__xludf.DUMMYFUNCTION("""COMPUTED_VALUE"""),2940.25)</f>
        <v>2940.25</v>
      </c>
      <c r="F8537" s="1">
        <f>IFERROR(__xludf.DUMMYFUNCTION("""COMPUTED_VALUE"""),0.0)</f>
        <v>0</v>
      </c>
    </row>
    <row r="8538">
      <c r="A8538" s="2">
        <f>IFERROR(__xludf.DUMMYFUNCTION("""COMPUTED_VALUE"""),43740.66666666667)</f>
        <v>43740.66667</v>
      </c>
      <c r="B8538" s="1">
        <f>IFERROR(__xludf.DUMMYFUNCTION("""COMPUTED_VALUE"""),2924.78)</f>
        <v>2924.78</v>
      </c>
      <c r="C8538" s="1">
        <f>IFERROR(__xludf.DUMMYFUNCTION("""COMPUTED_VALUE"""),2924.78)</f>
        <v>2924.78</v>
      </c>
      <c r="D8538" s="1">
        <f>IFERROR(__xludf.DUMMYFUNCTION("""COMPUTED_VALUE"""),2874.93)</f>
        <v>2874.93</v>
      </c>
      <c r="E8538" s="1">
        <f>IFERROR(__xludf.DUMMYFUNCTION("""COMPUTED_VALUE"""),2887.61)</f>
        <v>2887.61</v>
      </c>
      <c r="F8538" s="1">
        <f>IFERROR(__xludf.DUMMYFUNCTION("""COMPUTED_VALUE"""),0.0)</f>
        <v>0</v>
      </c>
    </row>
    <row r="8539">
      <c r="A8539" s="2">
        <f>IFERROR(__xludf.DUMMYFUNCTION("""COMPUTED_VALUE"""),43741.66666666667)</f>
        <v>43741.66667</v>
      </c>
      <c r="B8539" s="1">
        <f>IFERROR(__xludf.DUMMYFUNCTION("""COMPUTED_VALUE"""),2885.38)</f>
        <v>2885.38</v>
      </c>
      <c r="C8539" s="1">
        <f>IFERROR(__xludf.DUMMYFUNCTION("""COMPUTED_VALUE"""),2911.13)</f>
        <v>2911.13</v>
      </c>
      <c r="D8539" s="1">
        <f>IFERROR(__xludf.DUMMYFUNCTION("""COMPUTED_VALUE"""),2855.94)</f>
        <v>2855.94</v>
      </c>
      <c r="E8539" s="1">
        <f>IFERROR(__xludf.DUMMYFUNCTION("""COMPUTED_VALUE"""),2910.63)</f>
        <v>2910.63</v>
      </c>
      <c r="F8539" s="1">
        <f>IFERROR(__xludf.DUMMYFUNCTION("""COMPUTED_VALUE"""),0.0)</f>
        <v>0</v>
      </c>
    </row>
    <row r="8540">
      <c r="A8540" s="2">
        <f>IFERROR(__xludf.DUMMYFUNCTION("""COMPUTED_VALUE"""),43742.66666666667)</f>
        <v>43742.66667</v>
      </c>
      <c r="B8540" s="1">
        <f>IFERROR(__xludf.DUMMYFUNCTION("""COMPUTED_VALUE"""),2918.56)</f>
        <v>2918.56</v>
      </c>
      <c r="C8540" s="1">
        <f>IFERROR(__xludf.DUMMYFUNCTION("""COMPUTED_VALUE"""),2953.74)</f>
        <v>2953.74</v>
      </c>
      <c r="D8540" s="1">
        <f>IFERROR(__xludf.DUMMYFUNCTION("""COMPUTED_VALUE"""),2918.56)</f>
        <v>2918.56</v>
      </c>
      <c r="E8540" s="1">
        <f>IFERROR(__xludf.DUMMYFUNCTION("""COMPUTED_VALUE"""),2952.01)</f>
        <v>2952.01</v>
      </c>
      <c r="F8540" s="1">
        <f>IFERROR(__xludf.DUMMYFUNCTION("""COMPUTED_VALUE"""),0.0)</f>
        <v>0</v>
      </c>
    </row>
    <row r="8541">
      <c r="A8541" s="2">
        <f>IFERROR(__xludf.DUMMYFUNCTION("""COMPUTED_VALUE"""),43745.66666666667)</f>
        <v>43745.66667</v>
      </c>
      <c r="B8541" s="1">
        <f>IFERROR(__xludf.DUMMYFUNCTION("""COMPUTED_VALUE"""),2944.23)</f>
        <v>2944.23</v>
      </c>
      <c r="C8541" s="1">
        <f>IFERROR(__xludf.DUMMYFUNCTION("""COMPUTED_VALUE"""),2959.75)</f>
        <v>2959.75</v>
      </c>
      <c r="D8541" s="1">
        <f>IFERROR(__xludf.DUMMYFUNCTION("""COMPUTED_VALUE"""),2935.68)</f>
        <v>2935.68</v>
      </c>
      <c r="E8541" s="1">
        <f>IFERROR(__xludf.DUMMYFUNCTION("""COMPUTED_VALUE"""),2938.79)</f>
        <v>2938.79</v>
      </c>
      <c r="F8541" s="1">
        <f>IFERROR(__xludf.DUMMYFUNCTION("""COMPUTED_VALUE"""),0.0)</f>
        <v>0</v>
      </c>
    </row>
    <row r="8542">
      <c r="A8542" s="2">
        <f>IFERROR(__xludf.DUMMYFUNCTION("""COMPUTED_VALUE"""),43746.66666666667)</f>
        <v>43746.66667</v>
      </c>
      <c r="B8542" s="1">
        <f>IFERROR(__xludf.DUMMYFUNCTION("""COMPUTED_VALUE"""),2920.4)</f>
        <v>2920.4</v>
      </c>
      <c r="C8542" s="1">
        <f>IFERROR(__xludf.DUMMYFUNCTION("""COMPUTED_VALUE"""),2925.47)</f>
        <v>2925.47</v>
      </c>
      <c r="D8542" s="1">
        <f>IFERROR(__xludf.DUMMYFUNCTION("""COMPUTED_VALUE"""),2892.66)</f>
        <v>2892.66</v>
      </c>
      <c r="E8542" s="1">
        <f>IFERROR(__xludf.DUMMYFUNCTION("""COMPUTED_VALUE"""),2893.06)</f>
        <v>2893.06</v>
      </c>
      <c r="F8542" s="1">
        <f>IFERROR(__xludf.DUMMYFUNCTION("""COMPUTED_VALUE"""),0.0)</f>
        <v>0</v>
      </c>
    </row>
    <row r="8543">
      <c r="A8543" s="2">
        <f>IFERROR(__xludf.DUMMYFUNCTION("""COMPUTED_VALUE"""),43747.66666666667)</f>
        <v>43747.66667</v>
      </c>
      <c r="B8543" s="1">
        <f>IFERROR(__xludf.DUMMYFUNCTION("""COMPUTED_VALUE"""),2911.1)</f>
        <v>2911.1</v>
      </c>
      <c r="C8543" s="1">
        <f>IFERROR(__xludf.DUMMYFUNCTION("""COMPUTED_VALUE"""),2929.32)</f>
        <v>2929.32</v>
      </c>
      <c r="D8543" s="1">
        <f>IFERROR(__xludf.DUMMYFUNCTION("""COMPUTED_VALUE"""),2907.41)</f>
        <v>2907.41</v>
      </c>
      <c r="E8543" s="1">
        <f>IFERROR(__xludf.DUMMYFUNCTION("""COMPUTED_VALUE"""),2919.4)</f>
        <v>2919.4</v>
      </c>
      <c r="F8543" s="1">
        <f>IFERROR(__xludf.DUMMYFUNCTION("""COMPUTED_VALUE"""),0.0)</f>
        <v>0</v>
      </c>
    </row>
    <row r="8544">
      <c r="A8544" s="2">
        <f>IFERROR(__xludf.DUMMYFUNCTION("""COMPUTED_VALUE"""),43748.66666666667)</f>
        <v>43748.66667</v>
      </c>
      <c r="B8544" s="1">
        <f>IFERROR(__xludf.DUMMYFUNCTION("""COMPUTED_VALUE"""),2918.55)</f>
        <v>2918.55</v>
      </c>
      <c r="C8544" s="1">
        <f>IFERROR(__xludf.DUMMYFUNCTION("""COMPUTED_VALUE"""),2948.46)</f>
        <v>2948.46</v>
      </c>
      <c r="D8544" s="1">
        <f>IFERROR(__xludf.DUMMYFUNCTION("""COMPUTED_VALUE"""),2917.12)</f>
        <v>2917.12</v>
      </c>
      <c r="E8544" s="1">
        <f>IFERROR(__xludf.DUMMYFUNCTION("""COMPUTED_VALUE"""),2938.13)</f>
        <v>2938.13</v>
      </c>
      <c r="F8544" s="1">
        <f>IFERROR(__xludf.DUMMYFUNCTION("""COMPUTED_VALUE"""),0.0)</f>
        <v>0</v>
      </c>
    </row>
    <row r="8545">
      <c r="A8545" s="2">
        <f>IFERROR(__xludf.DUMMYFUNCTION("""COMPUTED_VALUE"""),43749.66666666667)</f>
        <v>43749.66667</v>
      </c>
      <c r="B8545" s="1">
        <f>IFERROR(__xludf.DUMMYFUNCTION("""COMPUTED_VALUE"""),2963.07)</f>
        <v>2963.07</v>
      </c>
      <c r="C8545" s="1">
        <f>IFERROR(__xludf.DUMMYFUNCTION("""COMPUTED_VALUE"""),2993.28)</f>
        <v>2993.28</v>
      </c>
      <c r="D8545" s="1">
        <f>IFERROR(__xludf.DUMMYFUNCTION("""COMPUTED_VALUE"""),2963.07)</f>
        <v>2963.07</v>
      </c>
      <c r="E8545" s="1">
        <f>IFERROR(__xludf.DUMMYFUNCTION("""COMPUTED_VALUE"""),2970.27)</f>
        <v>2970.27</v>
      </c>
      <c r="F8545" s="1">
        <f>IFERROR(__xludf.DUMMYFUNCTION("""COMPUTED_VALUE"""),0.0)</f>
        <v>0</v>
      </c>
    </row>
    <row r="8546">
      <c r="A8546" s="2">
        <f>IFERROR(__xludf.DUMMYFUNCTION("""COMPUTED_VALUE"""),43752.66666666667)</f>
        <v>43752.66667</v>
      </c>
      <c r="B8546" s="1">
        <f>IFERROR(__xludf.DUMMYFUNCTION("""COMPUTED_VALUE"""),2965.81)</f>
        <v>2965.81</v>
      </c>
      <c r="C8546" s="1">
        <f>IFERROR(__xludf.DUMMYFUNCTION("""COMPUTED_VALUE"""),2972.84)</f>
        <v>2972.84</v>
      </c>
      <c r="D8546" s="1">
        <f>IFERROR(__xludf.DUMMYFUNCTION("""COMPUTED_VALUE"""),2962.94)</f>
        <v>2962.94</v>
      </c>
      <c r="E8546" s="1">
        <f>IFERROR(__xludf.DUMMYFUNCTION("""COMPUTED_VALUE"""),2966.15)</f>
        <v>2966.15</v>
      </c>
      <c r="F8546" s="1">
        <f>IFERROR(__xludf.DUMMYFUNCTION("""COMPUTED_VALUE"""),0.0)</f>
        <v>0</v>
      </c>
    </row>
    <row r="8547">
      <c r="A8547" s="2">
        <f>IFERROR(__xludf.DUMMYFUNCTION("""COMPUTED_VALUE"""),43753.66666666667)</f>
        <v>43753.66667</v>
      </c>
      <c r="B8547" s="1">
        <f>IFERROR(__xludf.DUMMYFUNCTION("""COMPUTED_VALUE"""),2973.61)</f>
        <v>2973.61</v>
      </c>
      <c r="C8547" s="1">
        <f>IFERROR(__xludf.DUMMYFUNCTION("""COMPUTED_VALUE"""),3003.28)</f>
        <v>3003.28</v>
      </c>
      <c r="D8547" s="1">
        <f>IFERROR(__xludf.DUMMYFUNCTION("""COMPUTED_VALUE"""),2973.61)</f>
        <v>2973.61</v>
      </c>
      <c r="E8547" s="1">
        <f>IFERROR(__xludf.DUMMYFUNCTION("""COMPUTED_VALUE"""),2995.68)</f>
        <v>2995.68</v>
      </c>
      <c r="F8547" s="1">
        <f>IFERROR(__xludf.DUMMYFUNCTION("""COMPUTED_VALUE"""),0.0)</f>
        <v>0</v>
      </c>
    </row>
    <row r="8548">
      <c r="A8548" s="2">
        <f>IFERROR(__xludf.DUMMYFUNCTION("""COMPUTED_VALUE"""),43754.66666666667)</f>
        <v>43754.66667</v>
      </c>
      <c r="B8548" s="1">
        <f>IFERROR(__xludf.DUMMYFUNCTION("""COMPUTED_VALUE"""),2989.68)</f>
        <v>2989.68</v>
      </c>
      <c r="C8548" s="1">
        <f>IFERROR(__xludf.DUMMYFUNCTION("""COMPUTED_VALUE"""),2997.54)</f>
        <v>2997.54</v>
      </c>
      <c r="D8548" s="1">
        <f>IFERROR(__xludf.DUMMYFUNCTION("""COMPUTED_VALUE"""),2985.2)</f>
        <v>2985.2</v>
      </c>
      <c r="E8548" s="1">
        <f>IFERROR(__xludf.DUMMYFUNCTION("""COMPUTED_VALUE"""),2989.69)</f>
        <v>2989.69</v>
      </c>
      <c r="F8548" s="1">
        <f>IFERROR(__xludf.DUMMYFUNCTION("""COMPUTED_VALUE"""),0.0)</f>
        <v>0</v>
      </c>
    </row>
    <row r="8549">
      <c r="A8549" s="2">
        <f>IFERROR(__xludf.DUMMYFUNCTION("""COMPUTED_VALUE"""),43755.66666666667)</f>
        <v>43755.66667</v>
      </c>
      <c r="B8549" s="1">
        <f>IFERROR(__xludf.DUMMYFUNCTION("""COMPUTED_VALUE"""),3000.77)</f>
        <v>3000.77</v>
      </c>
      <c r="C8549" s="1">
        <f>IFERROR(__xludf.DUMMYFUNCTION("""COMPUTED_VALUE"""),3008.29)</f>
        <v>3008.29</v>
      </c>
      <c r="D8549" s="1">
        <f>IFERROR(__xludf.DUMMYFUNCTION("""COMPUTED_VALUE"""),2991.79)</f>
        <v>2991.79</v>
      </c>
      <c r="E8549" s="1">
        <f>IFERROR(__xludf.DUMMYFUNCTION("""COMPUTED_VALUE"""),2997.95)</f>
        <v>2997.95</v>
      </c>
      <c r="F8549" s="1">
        <f>IFERROR(__xludf.DUMMYFUNCTION("""COMPUTED_VALUE"""),0.0)</f>
        <v>0</v>
      </c>
    </row>
    <row r="8550">
      <c r="A8550" s="2">
        <f>IFERROR(__xludf.DUMMYFUNCTION("""COMPUTED_VALUE"""),43756.66666666667)</f>
        <v>43756.66667</v>
      </c>
      <c r="B8550" s="1">
        <f>IFERROR(__xludf.DUMMYFUNCTION("""COMPUTED_VALUE"""),2996.84)</f>
        <v>2996.84</v>
      </c>
      <c r="C8550" s="1">
        <f>IFERROR(__xludf.DUMMYFUNCTION("""COMPUTED_VALUE"""),3000.0)</f>
        <v>3000</v>
      </c>
      <c r="D8550" s="1">
        <f>IFERROR(__xludf.DUMMYFUNCTION("""COMPUTED_VALUE"""),2976.31)</f>
        <v>2976.31</v>
      </c>
      <c r="E8550" s="1">
        <f>IFERROR(__xludf.DUMMYFUNCTION("""COMPUTED_VALUE"""),2986.2)</f>
        <v>2986.2</v>
      </c>
      <c r="F8550" s="1">
        <f>IFERROR(__xludf.DUMMYFUNCTION("""COMPUTED_VALUE"""),0.0)</f>
        <v>0</v>
      </c>
    </row>
    <row r="8551">
      <c r="A8551" s="2">
        <f>IFERROR(__xludf.DUMMYFUNCTION("""COMPUTED_VALUE"""),43759.66666666667)</f>
        <v>43759.66667</v>
      </c>
      <c r="B8551" s="1">
        <f>IFERROR(__xludf.DUMMYFUNCTION("""COMPUTED_VALUE"""),2996.48)</f>
        <v>2996.48</v>
      </c>
      <c r="C8551" s="1">
        <f>IFERROR(__xludf.DUMMYFUNCTION("""COMPUTED_VALUE"""),3007.33)</f>
        <v>3007.33</v>
      </c>
      <c r="D8551" s="1">
        <f>IFERROR(__xludf.DUMMYFUNCTION("""COMPUTED_VALUE"""),2995.35)</f>
        <v>2995.35</v>
      </c>
      <c r="E8551" s="1">
        <f>IFERROR(__xludf.DUMMYFUNCTION("""COMPUTED_VALUE"""),3006.72)</f>
        <v>3006.72</v>
      </c>
      <c r="F8551" s="1">
        <f>IFERROR(__xludf.DUMMYFUNCTION("""COMPUTED_VALUE"""),0.0)</f>
        <v>0</v>
      </c>
    </row>
    <row r="8552">
      <c r="A8552" s="2">
        <f>IFERROR(__xludf.DUMMYFUNCTION("""COMPUTED_VALUE"""),43760.66666666667)</f>
        <v>43760.66667</v>
      </c>
      <c r="B8552" s="1">
        <f>IFERROR(__xludf.DUMMYFUNCTION("""COMPUTED_VALUE"""),3010.73)</f>
        <v>3010.73</v>
      </c>
      <c r="C8552" s="1">
        <f>IFERROR(__xludf.DUMMYFUNCTION("""COMPUTED_VALUE"""),3014.57)</f>
        <v>3014.57</v>
      </c>
      <c r="D8552" s="1">
        <f>IFERROR(__xludf.DUMMYFUNCTION("""COMPUTED_VALUE"""),2995.04)</f>
        <v>2995.04</v>
      </c>
      <c r="E8552" s="1">
        <f>IFERROR(__xludf.DUMMYFUNCTION("""COMPUTED_VALUE"""),2995.99)</f>
        <v>2995.99</v>
      </c>
      <c r="F8552" s="1">
        <f>IFERROR(__xludf.DUMMYFUNCTION("""COMPUTED_VALUE"""),0.0)</f>
        <v>0</v>
      </c>
    </row>
    <row r="8553">
      <c r="A8553" s="2">
        <f>IFERROR(__xludf.DUMMYFUNCTION("""COMPUTED_VALUE"""),43761.66666666667)</f>
        <v>43761.66667</v>
      </c>
      <c r="B8553" s="1">
        <f>IFERROR(__xludf.DUMMYFUNCTION("""COMPUTED_VALUE"""),2994.01)</f>
        <v>2994.01</v>
      </c>
      <c r="C8553" s="1">
        <f>IFERROR(__xludf.DUMMYFUNCTION("""COMPUTED_VALUE"""),3004.78)</f>
        <v>3004.78</v>
      </c>
      <c r="D8553" s="1">
        <f>IFERROR(__xludf.DUMMYFUNCTION("""COMPUTED_VALUE"""),2991.21)</f>
        <v>2991.21</v>
      </c>
      <c r="E8553" s="1">
        <f>IFERROR(__xludf.DUMMYFUNCTION("""COMPUTED_VALUE"""),3004.52)</f>
        <v>3004.52</v>
      </c>
      <c r="F8553" s="1">
        <f>IFERROR(__xludf.DUMMYFUNCTION("""COMPUTED_VALUE"""),0.0)</f>
        <v>0</v>
      </c>
    </row>
    <row r="8554">
      <c r="A8554" s="2">
        <f>IFERROR(__xludf.DUMMYFUNCTION("""COMPUTED_VALUE"""),43762.66666666667)</f>
        <v>43762.66667</v>
      </c>
      <c r="B8554" s="1">
        <f>IFERROR(__xludf.DUMMYFUNCTION("""COMPUTED_VALUE"""),3014.78)</f>
        <v>3014.78</v>
      </c>
      <c r="C8554" s="1">
        <f>IFERROR(__xludf.DUMMYFUNCTION("""COMPUTED_VALUE"""),3016.07)</f>
        <v>3016.07</v>
      </c>
      <c r="D8554" s="1">
        <f>IFERROR(__xludf.DUMMYFUNCTION("""COMPUTED_VALUE"""),3000.42)</f>
        <v>3000.42</v>
      </c>
      <c r="E8554" s="1">
        <f>IFERROR(__xludf.DUMMYFUNCTION("""COMPUTED_VALUE"""),3010.29)</f>
        <v>3010.29</v>
      </c>
      <c r="F8554" s="1">
        <f>IFERROR(__xludf.DUMMYFUNCTION("""COMPUTED_VALUE"""),0.0)</f>
        <v>0</v>
      </c>
    </row>
    <row r="8555">
      <c r="A8555" s="2">
        <f>IFERROR(__xludf.DUMMYFUNCTION("""COMPUTED_VALUE"""),43763.66666666667)</f>
        <v>43763.66667</v>
      </c>
      <c r="B8555" s="1">
        <f>IFERROR(__xludf.DUMMYFUNCTION("""COMPUTED_VALUE"""),3003.32)</f>
        <v>3003.32</v>
      </c>
      <c r="C8555" s="1">
        <f>IFERROR(__xludf.DUMMYFUNCTION("""COMPUTED_VALUE"""),3027.39)</f>
        <v>3027.39</v>
      </c>
      <c r="D8555" s="1">
        <f>IFERROR(__xludf.DUMMYFUNCTION("""COMPUTED_VALUE"""),3001.94)</f>
        <v>3001.94</v>
      </c>
      <c r="E8555" s="1">
        <f>IFERROR(__xludf.DUMMYFUNCTION("""COMPUTED_VALUE"""),3022.55)</f>
        <v>3022.55</v>
      </c>
      <c r="F8555" s="1">
        <f>IFERROR(__xludf.DUMMYFUNCTION("""COMPUTED_VALUE"""),0.0)</f>
        <v>0</v>
      </c>
    </row>
    <row r="8556">
      <c r="A8556" s="2">
        <f>IFERROR(__xludf.DUMMYFUNCTION("""COMPUTED_VALUE"""),43766.66666666667)</f>
        <v>43766.66667</v>
      </c>
      <c r="B8556" s="1">
        <f>IFERROR(__xludf.DUMMYFUNCTION("""COMPUTED_VALUE"""),3032.12)</f>
        <v>3032.12</v>
      </c>
      <c r="C8556" s="1">
        <f>IFERROR(__xludf.DUMMYFUNCTION("""COMPUTED_VALUE"""),3044.08)</f>
        <v>3044.08</v>
      </c>
      <c r="D8556" s="1">
        <f>IFERROR(__xludf.DUMMYFUNCTION("""COMPUTED_VALUE"""),3032.12)</f>
        <v>3032.12</v>
      </c>
      <c r="E8556" s="1">
        <f>IFERROR(__xludf.DUMMYFUNCTION("""COMPUTED_VALUE"""),3039.42)</f>
        <v>3039.42</v>
      </c>
      <c r="F8556" s="1">
        <f>IFERROR(__xludf.DUMMYFUNCTION("""COMPUTED_VALUE"""),0.0)</f>
        <v>0</v>
      </c>
    </row>
    <row r="8557">
      <c r="A8557" s="2">
        <f>IFERROR(__xludf.DUMMYFUNCTION("""COMPUTED_VALUE"""),43767.66666666667)</f>
        <v>43767.66667</v>
      </c>
      <c r="B8557" s="1">
        <f>IFERROR(__xludf.DUMMYFUNCTION("""COMPUTED_VALUE"""),3035.39)</f>
        <v>3035.39</v>
      </c>
      <c r="C8557" s="1">
        <f>IFERROR(__xludf.DUMMYFUNCTION("""COMPUTED_VALUE"""),3047.87)</f>
        <v>3047.87</v>
      </c>
      <c r="D8557" s="1">
        <f>IFERROR(__xludf.DUMMYFUNCTION("""COMPUTED_VALUE"""),3034.81)</f>
        <v>3034.81</v>
      </c>
      <c r="E8557" s="1">
        <f>IFERROR(__xludf.DUMMYFUNCTION("""COMPUTED_VALUE"""),3036.89)</f>
        <v>3036.89</v>
      </c>
      <c r="F8557" s="1">
        <f>IFERROR(__xludf.DUMMYFUNCTION("""COMPUTED_VALUE"""),0.0)</f>
        <v>0</v>
      </c>
    </row>
    <row r="8558">
      <c r="A8558" s="2">
        <f>IFERROR(__xludf.DUMMYFUNCTION("""COMPUTED_VALUE"""),43768.66666666667)</f>
        <v>43768.66667</v>
      </c>
      <c r="B8558" s="1">
        <f>IFERROR(__xludf.DUMMYFUNCTION("""COMPUTED_VALUE"""),3039.74)</f>
        <v>3039.74</v>
      </c>
      <c r="C8558" s="1">
        <f>IFERROR(__xludf.DUMMYFUNCTION("""COMPUTED_VALUE"""),3050.1)</f>
        <v>3050.1</v>
      </c>
      <c r="D8558" s="1">
        <f>IFERROR(__xludf.DUMMYFUNCTION("""COMPUTED_VALUE"""),3026.29)</f>
        <v>3026.29</v>
      </c>
      <c r="E8558" s="1">
        <f>IFERROR(__xludf.DUMMYFUNCTION("""COMPUTED_VALUE"""),3046.77)</f>
        <v>3046.77</v>
      </c>
      <c r="F8558" s="1">
        <f>IFERROR(__xludf.DUMMYFUNCTION("""COMPUTED_VALUE"""),0.0)</f>
        <v>0</v>
      </c>
    </row>
    <row r="8559">
      <c r="A8559" s="2">
        <f>IFERROR(__xludf.DUMMYFUNCTION("""COMPUTED_VALUE"""),43769.66666666667)</f>
        <v>43769.66667</v>
      </c>
      <c r="B8559" s="1">
        <f>IFERROR(__xludf.DUMMYFUNCTION("""COMPUTED_VALUE"""),3046.9)</f>
        <v>3046.9</v>
      </c>
      <c r="C8559" s="1">
        <f>IFERROR(__xludf.DUMMYFUNCTION("""COMPUTED_VALUE"""),3046.9)</f>
        <v>3046.9</v>
      </c>
      <c r="D8559" s="1">
        <f>IFERROR(__xludf.DUMMYFUNCTION("""COMPUTED_VALUE"""),3023.19)</f>
        <v>3023.19</v>
      </c>
      <c r="E8559" s="1">
        <f>IFERROR(__xludf.DUMMYFUNCTION("""COMPUTED_VALUE"""),3037.56)</f>
        <v>3037.56</v>
      </c>
      <c r="F8559" s="1">
        <f>IFERROR(__xludf.DUMMYFUNCTION("""COMPUTED_VALUE"""),0.0)</f>
        <v>0</v>
      </c>
    </row>
    <row r="8560">
      <c r="A8560" s="2">
        <f>IFERROR(__xludf.DUMMYFUNCTION("""COMPUTED_VALUE"""),43770.66666666667)</f>
        <v>43770.66667</v>
      </c>
      <c r="B8560" s="1">
        <f>IFERROR(__xludf.DUMMYFUNCTION("""COMPUTED_VALUE"""),3052.36)</f>
        <v>3052.36</v>
      </c>
      <c r="C8560" s="1">
        <f>IFERROR(__xludf.DUMMYFUNCTION("""COMPUTED_VALUE"""),3066.95)</f>
        <v>3066.95</v>
      </c>
      <c r="D8560" s="1">
        <f>IFERROR(__xludf.DUMMYFUNCTION("""COMPUTED_VALUE"""),3052.36)</f>
        <v>3052.36</v>
      </c>
      <c r="E8560" s="1">
        <f>IFERROR(__xludf.DUMMYFUNCTION("""COMPUTED_VALUE"""),3066.91)</f>
        <v>3066.91</v>
      </c>
      <c r="F8560" s="1">
        <f>IFERROR(__xludf.DUMMYFUNCTION("""COMPUTED_VALUE"""),0.0)</f>
        <v>0</v>
      </c>
    </row>
    <row r="8561">
      <c r="A8561" s="2">
        <f>IFERROR(__xludf.DUMMYFUNCTION("""COMPUTED_VALUE"""),43773.66666666667)</f>
        <v>43773.66667</v>
      </c>
      <c r="B8561" s="1">
        <f>IFERROR(__xludf.DUMMYFUNCTION("""COMPUTED_VALUE"""),3078.96)</f>
        <v>3078.96</v>
      </c>
      <c r="C8561" s="1">
        <f>IFERROR(__xludf.DUMMYFUNCTION("""COMPUTED_VALUE"""),3085.2)</f>
        <v>3085.2</v>
      </c>
      <c r="D8561" s="1">
        <f>IFERROR(__xludf.DUMMYFUNCTION("""COMPUTED_VALUE"""),3074.87)</f>
        <v>3074.87</v>
      </c>
      <c r="E8561" s="1">
        <f>IFERROR(__xludf.DUMMYFUNCTION("""COMPUTED_VALUE"""),3078.27)</f>
        <v>3078.27</v>
      </c>
      <c r="F8561" s="1">
        <f>IFERROR(__xludf.DUMMYFUNCTION("""COMPUTED_VALUE"""),0.0)</f>
        <v>0</v>
      </c>
    </row>
    <row r="8562">
      <c r="A8562" s="2">
        <f>IFERROR(__xludf.DUMMYFUNCTION("""COMPUTED_VALUE"""),43774.66666666667)</f>
        <v>43774.66667</v>
      </c>
      <c r="B8562" s="1">
        <f>IFERROR(__xludf.DUMMYFUNCTION("""COMPUTED_VALUE"""),3080.8)</f>
        <v>3080.8</v>
      </c>
      <c r="C8562" s="1">
        <f>IFERROR(__xludf.DUMMYFUNCTION("""COMPUTED_VALUE"""),3083.95)</f>
        <v>3083.95</v>
      </c>
      <c r="D8562" s="1">
        <f>IFERROR(__xludf.DUMMYFUNCTION("""COMPUTED_VALUE"""),3072.15)</f>
        <v>3072.15</v>
      </c>
      <c r="E8562" s="1">
        <f>IFERROR(__xludf.DUMMYFUNCTION("""COMPUTED_VALUE"""),3074.62)</f>
        <v>3074.62</v>
      </c>
      <c r="F8562" s="1">
        <f>IFERROR(__xludf.DUMMYFUNCTION("""COMPUTED_VALUE"""),0.0)</f>
        <v>0</v>
      </c>
    </row>
    <row r="8563">
      <c r="A8563" s="2">
        <f>IFERROR(__xludf.DUMMYFUNCTION("""COMPUTED_VALUE"""),43775.66666666667)</f>
        <v>43775.66667</v>
      </c>
      <c r="B8563" s="1">
        <f>IFERROR(__xludf.DUMMYFUNCTION("""COMPUTED_VALUE"""),3075.1)</f>
        <v>3075.1</v>
      </c>
      <c r="C8563" s="1">
        <f>IFERROR(__xludf.DUMMYFUNCTION("""COMPUTED_VALUE"""),3078.34)</f>
        <v>3078.34</v>
      </c>
      <c r="D8563" s="1">
        <f>IFERROR(__xludf.DUMMYFUNCTION("""COMPUTED_VALUE"""),3065.89)</f>
        <v>3065.89</v>
      </c>
      <c r="E8563" s="1">
        <f>IFERROR(__xludf.DUMMYFUNCTION("""COMPUTED_VALUE"""),3076.78)</f>
        <v>3076.78</v>
      </c>
      <c r="F8563" s="1">
        <f>IFERROR(__xludf.DUMMYFUNCTION("""COMPUTED_VALUE"""),0.0)</f>
        <v>0</v>
      </c>
    </row>
    <row r="8564">
      <c r="A8564" s="2">
        <f>IFERROR(__xludf.DUMMYFUNCTION("""COMPUTED_VALUE"""),43776.66666666667)</f>
        <v>43776.66667</v>
      </c>
      <c r="B8564" s="1">
        <f>IFERROR(__xludf.DUMMYFUNCTION("""COMPUTED_VALUE"""),3087.02)</f>
        <v>3087.02</v>
      </c>
      <c r="C8564" s="1">
        <f>IFERROR(__xludf.DUMMYFUNCTION("""COMPUTED_VALUE"""),3097.77)</f>
        <v>3097.77</v>
      </c>
      <c r="D8564" s="1">
        <f>IFERROR(__xludf.DUMMYFUNCTION("""COMPUTED_VALUE"""),3080.23)</f>
        <v>3080.23</v>
      </c>
      <c r="E8564" s="1">
        <f>IFERROR(__xludf.DUMMYFUNCTION("""COMPUTED_VALUE"""),3085.18)</f>
        <v>3085.18</v>
      </c>
      <c r="F8564" s="1">
        <f>IFERROR(__xludf.DUMMYFUNCTION("""COMPUTED_VALUE"""),0.0)</f>
        <v>0</v>
      </c>
    </row>
    <row r="8565">
      <c r="A8565" s="2">
        <f>IFERROR(__xludf.DUMMYFUNCTION("""COMPUTED_VALUE"""),43777.66666666667)</f>
        <v>43777.66667</v>
      </c>
      <c r="B8565" s="1">
        <f>IFERROR(__xludf.DUMMYFUNCTION("""COMPUTED_VALUE"""),3081.25)</f>
        <v>3081.25</v>
      </c>
      <c r="C8565" s="1">
        <f>IFERROR(__xludf.DUMMYFUNCTION("""COMPUTED_VALUE"""),3093.09)</f>
        <v>3093.09</v>
      </c>
      <c r="D8565" s="1">
        <f>IFERROR(__xludf.DUMMYFUNCTION("""COMPUTED_VALUE"""),3073.58)</f>
        <v>3073.58</v>
      </c>
      <c r="E8565" s="1">
        <f>IFERROR(__xludf.DUMMYFUNCTION("""COMPUTED_VALUE"""),3093.08)</f>
        <v>3093.08</v>
      </c>
      <c r="F8565" s="1">
        <f>IFERROR(__xludf.DUMMYFUNCTION("""COMPUTED_VALUE"""),0.0)</f>
        <v>0</v>
      </c>
    </row>
    <row r="8566">
      <c r="A8566" s="2">
        <f>IFERROR(__xludf.DUMMYFUNCTION("""COMPUTED_VALUE"""),43780.66666666667)</f>
        <v>43780.66667</v>
      </c>
      <c r="B8566" s="1">
        <f>IFERROR(__xludf.DUMMYFUNCTION("""COMPUTED_VALUE"""),3080.33)</f>
        <v>3080.33</v>
      </c>
      <c r="C8566" s="1">
        <f>IFERROR(__xludf.DUMMYFUNCTION("""COMPUTED_VALUE"""),3088.33)</f>
        <v>3088.33</v>
      </c>
      <c r="D8566" s="1">
        <f>IFERROR(__xludf.DUMMYFUNCTION("""COMPUTED_VALUE"""),3075.82)</f>
        <v>3075.82</v>
      </c>
      <c r="E8566" s="1">
        <f>IFERROR(__xludf.DUMMYFUNCTION("""COMPUTED_VALUE"""),3087.01)</f>
        <v>3087.01</v>
      </c>
      <c r="F8566" s="1">
        <f>IFERROR(__xludf.DUMMYFUNCTION("""COMPUTED_VALUE"""),0.0)</f>
        <v>0</v>
      </c>
    </row>
    <row r="8567">
      <c r="A8567" s="2">
        <f>IFERROR(__xludf.DUMMYFUNCTION("""COMPUTED_VALUE"""),43781.66666666667)</f>
        <v>43781.66667</v>
      </c>
      <c r="B8567" s="1">
        <f>IFERROR(__xludf.DUMMYFUNCTION("""COMPUTED_VALUE"""),3089.28)</f>
        <v>3089.28</v>
      </c>
      <c r="C8567" s="1">
        <f>IFERROR(__xludf.DUMMYFUNCTION("""COMPUTED_VALUE"""),3102.61)</f>
        <v>3102.61</v>
      </c>
      <c r="D8567" s="1">
        <f>IFERROR(__xludf.DUMMYFUNCTION("""COMPUTED_VALUE"""),3084.73)</f>
        <v>3084.73</v>
      </c>
      <c r="E8567" s="1">
        <f>IFERROR(__xludf.DUMMYFUNCTION("""COMPUTED_VALUE"""),3091.84)</f>
        <v>3091.84</v>
      </c>
      <c r="F8567" s="1">
        <f>IFERROR(__xludf.DUMMYFUNCTION("""COMPUTED_VALUE"""),0.0)</f>
        <v>0</v>
      </c>
    </row>
    <row r="8568">
      <c r="A8568" s="2">
        <f>IFERROR(__xludf.DUMMYFUNCTION("""COMPUTED_VALUE"""),43782.66666666667)</f>
        <v>43782.66667</v>
      </c>
      <c r="B8568" s="1">
        <f>IFERROR(__xludf.DUMMYFUNCTION("""COMPUTED_VALUE"""),3084.18)</f>
        <v>3084.18</v>
      </c>
      <c r="C8568" s="1">
        <f>IFERROR(__xludf.DUMMYFUNCTION("""COMPUTED_VALUE"""),3098.06)</f>
        <v>3098.06</v>
      </c>
      <c r="D8568" s="1">
        <f>IFERROR(__xludf.DUMMYFUNCTION("""COMPUTED_VALUE"""),3078.8)</f>
        <v>3078.8</v>
      </c>
      <c r="E8568" s="1">
        <f>IFERROR(__xludf.DUMMYFUNCTION("""COMPUTED_VALUE"""),3094.04)</f>
        <v>3094.04</v>
      </c>
      <c r="F8568" s="1">
        <f>IFERROR(__xludf.DUMMYFUNCTION("""COMPUTED_VALUE"""),0.0)</f>
        <v>0</v>
      </c>
    </row>
    <row r="8569">
      <c r="A8569" s="2">
        <f>IFERROR(__xludf.DUMMYFUNCTION("""COMPUTED_VALUE"""),43783.66666666667)</f>
        <v>43783.66667</v>
      </c>
      <c r="B8569" s="1">
        <f>IFERROR(__xludf.DUMMYFUNCTION("""COMPUTED_VALUE"""),3090.75)</f>
        <v>3090.75</v>
      </c>
      <c r="C8569" s="1">
        <f>IFERROR(__xludf.DUMMYFUNCTION("""COMPUTED_VALUE"""),3098.2)</f>
        <v>3098.2</v>
      </c>
      <c r="D8569" s="1">
        <f>IFERROR(__xludf.DUMMYFUNCTION("""COMPUTED_VALUE"""),3083.26)</f>
        <v>3083.26</v>
      </c>
      <c r="E8569" s="1">
        <f>IFERROR(__xludf.DUMMYFUNCTION("""COMPUTED_VALUE"""),3096.63)</f>
        <v>3096.63</v>
      </c>
      <c r="F8569" s="1">
        <f>IFERROR(__xludf.DUMMYFUNCTION("""COMPUTED_VALUE"""),0.0)</f>
        <v>0</v>
      </c>
    </row>
    <row r="8570">
      <c r="A8570" s="2">
        <f>IFERROR(__xludf.DUMMYFUNCTION("""COMPUTED_VALUE"""),43784.66666666667)</f>
        <v>43784.66667</v>
      </c>
      <c r="B8570" s="1">
        <f>IFERROR(__xludf.DUMMYFUNCTION("""COMPUTED_VALUE"""),3107.92)</f>
        <v>3107.92</v>
      </c>
      <c r="C8570" s="1">
        <f>IFERROR(__xludf.DUMMYFUNCTION("""COMPUTED_VALUE"""),3120.46)</f>
        <v>3120.46</v>
      </c>
      <c r="D8570" s="1">
        <f>IFERROR(__xludf.DUMMYFUNCTION("""COMPUTED_VALUE"""),3104.6)</f>
        <v>3104.6</v>
      </c>
      <c r="E8570" s="1">
        <f>IFERROR(__xludf.DUMMYFUNCTION("""COMPUTED_VALUE"""),3120.46)</f>
        <v>3120.46</v>
      </c>
      <c r="F8570" s="1">
        <f>IFERROR(__xludf.DUMMYFUNCTION("""COMPUTED_VALUE"""),0.0)</f>
        <v>0</v>
      </c>
    </row>
    <row r="8571">
      <c r="A8571" s="2">
        <f>IFERROR(__xludf.DUMMYFUNCTION("""COMPUTED_VALUE"""),43787.66666666667)</f>
        <v>43787.66667</v>
      </c>
      <c r="B8571" s="1">
        <f>IFERROR(__xludf.DUMMYFUNCTION("""COMPUTED_VALUE"""),3117.91)</f>
        <v>3117.91</v>
      </c>
      <c r="C8571" s="1">
        <f>IFERROR(__xludf.DUMMYFUNCTION("""COMPUTED_VALUE"""),3124.17)</f>
        <v>3124.17</v>
      </c>
      <c r="D8571" s="1">
        <f>IFERROR(__xludf.DUMMYFUNCTION("""COMPUTED_VALUE"""),3112.06)</f>
        <v>3112.06</v>
      </c>
      <c r="E8571" s="1">
        <f>IFERROR(__xludf.DUMMYFUNCTION("""COMPUTED_VALUE"""),3122.03)</f>
        <v>3122.03</v>
      </c>
      <c r="F8571" s="1">
        <f>IFERROR(__xludf.DUMMYFUNCTION("""COMPUTED_VALUE"""),0.0)</f>
        <v>0</v>
      </c>
    </row>
    <row r="8572">
      <c r="A8572" s="2">
        <f>IFERROR(__xludf.DUMMYFUNCTION("""COMPUTED_VALUE"""),43788.66666666667)</f>
        <v>43788.66667</v>
      </c>
      <c r="B8572" s="1">
        <f>IFERROR(__xludf.DUMMYFUNCTION("""COMPUTED_VALUE"""),3127.45)</f>
        <v>3127.45</v>
      </c>
      <c r="C8572" s="1">
        <f>IFERROR(__xludf.DUMMYFUNCTION("""COMPUTED_VALUE"""),3127.64)</f>
        <v>3127.64</v>
      </c>
      <c r="D8572" s="1">
        <f>IFERROR(__xludf.DUMMYFUNCTION("""COMPUTED_VALUE"""),3113.47)</f>
        <v>3113.47</v>
      </c>
      <c r="E8572" s="1">
        <f>IFERROR(__xludf.DUMMYFUNCTION("""COMPUTED_VALUE"""),3120.18)</f>
        <v>3120.18</v>
      </c>
      <c r="F8572" s="1">
        <f>IFERROR(__xludf.DUMMYFUNCTION("""COMPUTED_VALUE"""),0.0)</f>
        <v>0</v>
      </c>
    </row>
    <row r="8573">
      <c r="A8573" s="2">
        <f>IFERROR(__xludf.DUMMYFUNCTION("""COMPUTED_VALUE"""),43789.66666666667)</f>
        <v>43789.66667</v>
      </c>
      <c r="B8573" s="1">
        <f>IFERROR(__xludf.DUMMYFUNCTION("""COMPUTED_VALUE"""),3114.66)</f>
        <v>3114.66</v>
      </c>
      <c r="C8573" s="1">
        <f>IFERROR(__xludf.DUMMYFUNCTION("""COMPUTED_VALUE"""),3118.97)</f>
        <v>3118.97</v>
      </c>
      <c r="D8573" s="1">
        <f>IFERROR(__xludf.DUMMYFUNCTION("""COMPUTED_VALUE"""),3091.41)</f>
        <v>3091.41</v>
      </c>
      <c r="E8573" s="1">
        <f>IFERROR(__xludf.DUMMYFUNCTION("""COMPUTED_VALUE"""),3108.46)</f>
        <v>3108.46</v>
      </c>
      <c r="F8573" s="1">
        <f>IFERROR(__xludf.DUMMYFUNCTION("""COMPUTED_VALUE"""),0.0)</f>
        <v>0</v>
      </c>
    </row>
    <row r="8574">
      <c r="A8574" s="2">
        <f>IFERROR(__xludf.DUMMYFUNCTION("""COMPUTED_VALUE"""),43790.66666666667)</f>
        <v>43790.66667</v>
      </c>
      <c r="B8574" s="1">
        <f>IFERROR(__xludf.DUMMYFUNCTION("""COMPUTED_VALUE"""),3108.49)</f>
        <v>3108.49</v>
      </c>
      <c r="C8574" s="1">
        <f>IFERROR(__xludf.DUMMYFUNCTION("""COMPUTED_VALUE"""),3110.11)</f>
        <v>3110.11</v>
      </c>
      <c r="D8574" s="1">
        <f>IFERROR(__xludf.DUMMYFUNCTION("""COMPUTED_VALUE"""),3094.55)</f>
        <v>3094.55</v>
      </c>
      <c r="E8574" s="1">
        <f>IFERROR(__xludf.DUMMYFUNCTION("""COMPUTED_VALUE"""),3103.54)</f>
        <v>3103.54</v>
      </c>
      <c r="F8574" s="1">
        <f>IFERROR(__xludf.DUMMYFUNCTION("""COMPUTED_VALUE"""),0.0)</f>
        <v>0</v>
      </c>
    </row>
    <row r="8575">
      <c r="A8575" s="2">
        <f>IFERROR(__xludf.DUMMYFUNCTION("""COMPUTED_VALUE"""),43791.66666666667)</f>
        <v>43791.66667</v>
      </c>
      <c r="B8575" s="1">
        <f>IFERROR(__xludf.DUMMYFUNCTION("""COMPUTED_VALUE"""),3111.41)</f>
        <v>3111.41</v>
      </c>
      <c r="C8575" s="1">
        <f>IFERROR(__xludf.DUMMYFUNCTION("""COMPUTED_VALUE"""),3112.87)</f>
        <v>3112.87</v>
      </c>
      <c r="D8575" s="1">
        <f>IFERROR(__xludf.DUMMYFUNCTION("""COMPUTED_VALUE"""),3099.26)</f>
        <v>3099.26</v>
      </c>
      <c r="E8575" s="1">
        <f>IFERROR(__xludf.DUMMYFUNCTION("""COMPUTED_VALUE"""),3110.29)</f>
        <v>3110.29</v>
      </c>
      <c r="F8575" s="1">
        <f>IFERROR(__xludf.DUMMYFUNCTION("""COMPUTED_VALUE"""),0.0)</f>
        <v>0</v>
      </c>
    </row>
    <row r="8576">
      <c r="A8576" s="2">
        <f>IFERROR(__xludf.DUMMYFUNCTION("""COMPUTED_VALUE"""),43794.66666666667)</f>
        <v>43794.66667</v>
      </c>
      <c r="B8576" s="1">
        <f>IFERROR(__xludf.DUMMYFUNCTION("""COMPUTED_VALUE"""),3117.44)</f>
        <v>3117.44</v>
      </c>
      <c r="C8576" s="1">
        <f>IFERROR(__xludf.DUMMYFUNCTION("""COMPUTED_VALUE"""),3133.83)</f>
        <v>3133.83</v>
      </c>
      <c r="D8576" s="1">
        <f>IFERROR(__xludf.DUMMYFUNCTION("""COMPUTED_VALUE"""),3117.44)</f>
        <v>3117.44</v>
      </c>
      <c r="E8576" s="1">
        <f>IFERROR(__xludf.DUMMYFUNCTION("""COMPUTED_VALUE"""),3133.64)</f>
        <v>3133.64</v>
      </c>
      <c r="F8576" s="1">
        <f>IFERROR(__xludf.DUMMYFUNCTION("""COMPUTED_VALUE"""),0.0)</f>
        <v>0</v>
      </c>
    </row>
    <row r="8577">
      <c r="A8577" s="2">
        <f>IFERROR(__xludf.DUMMYFUNCTION("""COMPUTED_VALUE"""),43795.66666666667)</f>
        <v>43795.66667</v>
      </c>
      <c r="B8577" s="1">
        <f>IFERROR(__xludf.DUMMYFUNCTION("""COMPUTED_VALUE"""),3134.85)</f>
        <v>3134.85</v>
      </c>
      <c r="C8577" s="1">
        <f>IFERROR(__xludf.DUMMYFUNCTION("""COMPUTED_VALUE"""),3142.69)</f>
        <v>3142.69</v>
      </c>
      <c r="D8577" s="1">
        <f>IFERROR(__xludf.DUMMYFUNCTION("""COMPUTED_VALUE"""),3131.0)</f>
        <v>3131</v>
      </c>
      <c r="E8577" s="1">
        <f>IFERROR(__xludf.DUMMYFUNCTION("""COMPUTED_VALUE"""),3140.52)</f>
        <v>3140.52</v>
      </c>
      <c r="F8577" s="1">
        <f>IFERROR(__xludf.DUMMYFUNCTION("""COMPUTED_VALUE"""),0.0)</f>
        <v>0</v>
      </c>
    </row>
    <row r="8578">
      <c r="A8578" s="2">
        <f>IFERROR(__xludf.DUMMYFUNCTION("""COMPUTED_VALUE"""),43796.66666666667)</f>
        <v>43796.66667</v>
      </c>
      <c r="B8578" s="1">
        <f>IFERROR(__xludf.DUMMYFUNCTION("""COMPUTED_VALUE"""),3145.49)</f>
        <v>3145.49</v>
      </c>
      <c r="C8578" s="1">
        <f>IFERROR(__xludf.DUMMYFUNCTION("""COMPUTED_VALUE"""),3154.26)</f>
        <v>3154.26</v>
      </c>
      <c r="D8578" s="1">
        <f>IFERROR(__xludf.DUMMYFUNCTION("""COMPUTED_VALUE"""),3143.41)</f>
        <v>3143.41</v>
      </c>
      <c r="E8578" s="1">
        <f>IFERROR(__xludf.DUMMYFUNCTION("""COMPUTED_VALUE"""),3153.63)</f>
        <v>3153.63</v>
      </c>
      <c r="F8578" s="1">
        <f>IFERROR(__xludf.DUMMYFUNCTION("""COMPUTED_VALUE"""),0.0)</f>
        <v>0</v>
      </c>
    </row>
    <row r="8579">
      <c r="A8579" s="2">
        <f>IFERROR(__xludf.DUMMYFUNCTION("""COMPUTED_VALUE"""),43798.54166666667)</f>
        <v>43798.54167</v>
      </c>
      <c r="B8579" s="1">
        <f>IFERROR(__xludf.DUMMYFUNCTION("""COMPUTED_VALUE"""),3145.49)</f>
        <v>3145.49</v>
      </c>
      <c r="C8579" s="1">
        <f>IFERROR(__xludf.DUMMYFUNCTION("""COMPUTED_VALUE"""),3154.26)</f>
        <v>3154.26</v>
      </c>
      <c r="D8579" s="1">
        <f>IFERROR(__xludf.DUMMYFUNCTION("""COMPUTED_VALUE"""),3139.34)</f>
        <v>3139.34</v>
      </c>
      <c r="E8579" s="1">
        <f>IFERROR(__xludf.DUMMYFUNCTION("""COMPUTED_VALUE"""),3140.98)</f>
        <v>3140.98</v>
      </c>
      <c r="F8579" s="1">
        <f>IFERROR(__xludf.DUMMYFUNCTION("""COMPUTED_VALUE"""),0.0)</f>
        <v>0</v>
      </c>
    </row>
    <row r="8580">
      <c r="A8580" s="2">
        <f>IFERROR(__xludf.DUMMYFUNCTION("""COMPUTED_VALUE"""),43801.66666666667)</f>
        <v>43801.66667</v>
      </c>
      <c r="B8580" s="1">
        <f>IFERROR(__xludf.DUMMYFUNCTION("""COMPUTED_VALUE"""),3143.85)</f>
        <v>3143.85</v>
      </c>
      <c r="C8580" s="1">
        <f>IFERROR(__xludf.DUMMYFUNCTION("""COMPUTED_VALUE"""),3144.31)</f>
        <v>3144.31</v>
      </c>
      <c r="D8580" s="1">
        <f>IFERROR(__xludf.DUMMYFUNCTION("""COMPUTED_VALUE"""),3110.78)</f>
        <v>3110.78</v>
      </c>
      <c r="E8580" s="1">
        <f>IFERROR(__xludf.DUMMYFUNCTION("""COMPUTED_VALUE"""),3113.87)</f>
        <v>3113.87</v>
      </c>
      <c r="F8580" s="1">
        <f>IFERROR(__xludf.DUMMYFUNCTION("""COMPUTED_VALUE"""),0.0)</f>
        <v>0</v>
      </c>
    </row>
    <row r="8581">
      <c r="A8581" s="2">
        <f>IFERROR(__xludf.DUMMYFUNCTION("""COMPUTED_VALUE"""),43802.66666666667)</f>
        <v>43802.66667</v>
      </c>
      <c r="B8581" s="1">
        <f>IFERROR(__xludf.DUMMYFUNCTION("""COMPUTED_VALUE"""),3087.41)</f>
        <v>3087.41</v>
      </c>
      <c r="C8581" s="1">
        <f>IFERROR(__xludf.DUMMYFUNCTION("""COMPUTED_VALUE"""),3094.97)</f>
        <v>3094.97</v>
      </c>
      <c r="D8581" s="1">
        <f>IFERROR(__xludf.DUMMYFUNCTION("""COMPUTED_VALUE"""),3070.33)</f>
        <v>3070.33</v>
      </c>
      <c r="E8581" s="1">
        <f>IFERROR(__xludf.DUMMYFUNCTION("""COMPUTED_VALUE"""),3093.2)</f>
        <v>3093.2</v>
      </c>
      <c r="F8581" s="1">
        <f>IFERROR(__xludf.DUMMYFUNCTION("""COMPUTED_VALUE"""),0.0)</f>
        <v>0</v>
      </c>
    </row>
    <row r="8582">
      <c r="A8582" s="2">
        <f>IFERROR(__xludf.DUMMYFUNCTION("""COMPUTED_VALUE"""),43803.66666666667)</f>
        <v>43803.66667</v>
      </c>
      <c r="B8582" s="1">
        <f>IFERROR(__xludf.DUMMYFUNCTION("""COMPUTED_VALUE"""),3103.5)</f>
        <v>3103.5</v>
      </c>
      <c r="C8582" s="1">
        <f>IFERROR(__xludf.DUMMYFUNCTION("""COMPUTED_VALUE"""),3119.38)</f>
        <v>3119.38</v>
      </c>
      <c r="D8582" s="1">
        <f>IFERROR(__xludf.DUMMYFUNCTION("""COMPUTED_VALUE"""),3102.53)</f>
        <v>3102.53</v>
      </c>
      <c r="E8582" s="1">
        <f>IFERROR(__xludf.DUMMYFUNCTION("""COMPUTED_VALUE"""),3112.76)</f>
        <v>3112.76</v>
      </c>
      <c r="F8582" s="1">
        <f>IFERROR(__xludf.DUMMYFUNCTION("""COMPUTED_VALUE"""),0.0)</f>
        <v>0</v>
      </c>
    </row>
    <row r="8583">
      <c r="A8583" s="2">
        <f>IFERROR(__xludf.DUMMYFUNCTION("""COMPUTED_VALUE"""),43804.66666666667)</f>
        <v>43804.66667</v>
      </c>
      <c r="B8583" s="1">
        <f>IFERROR(__xludf.DUMMYFUNCTION("""COMPUTED_VALUE"""),3119.21)</f>
        <v>3119.21</v>
      </c>
      <c r="C8583" s="1">
        <f>IFERROR(__xludf.DUMMYFUNCTION("""COMPUTED_VALUE"""),3119.45)</f>
        <v>3119.45</v>
      </c>
      <c r="D8583" s="1">
        <f>IFERROR(__xludf.DUMMYFUNCTION("""COMPUTED_VALUE"""),3103.76)</f>
        <v>3103.76</v>
      </c>
      <c r="E8583" s="1">
        <f>IFERROR(__xludf.DUMMYFUNCTION("""COMPUTED_VALUE"""),3117.43)</f>
        <v>3117.43</v>
      </c>
      <c r="F8583" s="1">
        <f>IFERROR(__xludf.DUMMYFUNCTION("""COMPUTED_VALUE"""),0.0)</f>
        <v>0</v>
      </c>
    </row>
    <row r="8584">
      <c r="A8584" s="2">
        <f>IFERROR(__xludf.DUMMYFUNCTION("""COMPUTED_VALUE"""),43805.66666666667)</f>
        <v>43805.66667</v>
      </c>
      <c r="B8584" s="1">
        <f>IFERROR(__xludf.DUMMYFUNCTION("""COMPUTED_VALUE"""),3134.62)</f>
        <v>3134.62</v>
      </c>
      <c r="C8584" s="1">
        <f>IFERROR(__xludf.DUMMYFUNCTION("""COMPUTED_VALUE"""),3150.6)</f>
        <v>3150.6</v>
      </c>
      <c r="D8584" s="1">
        <f>IFERROR(__xludf.DUMMYFUNCTION("""COMPUTED_VALUE"""),3134.62)</f>
        <v>3134.62</v>
      </c>
      <c r="E8584" s="1">
        <f>IFERROR(__xludf.DUMMYFUNCTION("""COMPUTED_VALUE"""),3145.91)</f>
        <v>3145.91</v>
      </c>
      <c r="F8584" s="1">
        <f>IFERROR(__xludf.DUMMYFUNCTION("""COMPUTED_VALUE"""),0.0)</f>
        <v>0</v>
      </c>
    </row>
    <row r="8585">
      <c r="A8585" s="2">
        <f>IFERROR(__xludf.DUMMYFUNCTION("""COMPUTED_VALUE"""),43808.66666666667)</f>
        <v>43808.66667</v>
      </c>
      <c r="B8585" s="1">
        <f>IFERROR(__xludf.DUMMYFUNCTION("""COMPUTED_VALUE"""),3141.86)</f>
        <v>3141.86</v>
      </c>
      <c r="C8585" s="1">
        <f>IFERROR(__xludf.DUMMYFUNCTION("""COMPUTED_VALUE"""),3148.87)</f>
        <v>3148.87</v>
      </c>
      <c r="D8585" s="1">
        <f>IFERROR(__xludf.DUMMYFUNCTION("""COMPUTED_VALUE"""),3135.46)</f>
        <v>3135.46</v>
      </c>
      <c r="E8585" s="1">
        <f>IFERROR(__xludf.DUMMYFUNCTION("""COMPUTED_VALUE"""),3135.96)</f>
        <v>3135.96</v>
      </c>
      <c r="F8585" s="1">
        <f>IFERROR(__xludf.DUMMYFUNCTION("""COMPUTED_VALUE"""),0.0)</f>
        <v>0</v>
      </c>
    </row>
    <row r="8586">
      <c r="A8586" s="2">
        <f>IFERROR(__xludf.DUMMYFUNCTION("""COMPUTED_VALUE"""),43809.66666666667)</f>
        <v>43809.66667</v>
      </c>
      <c r="B8586" s="1">
        <f>IFERROR(__xludf.DUMMYFUNCTION("""COMPUTED_VALUE"""),3135.36)</f>
        <v>3135.36</v>
      </c>
      <c r="C8586" s="1">
        <f>IFERROR(__xludf.DUMMYFUNCTION("""COMPUTED_VALUE"""),3142.12)</f>
        <v>3142.12</v>
      </c>
      <c r="D8586" s="1">
        <f>IFERROR(__xludf.DUMMYFUNCTION("""COMPUTED_VALUE"""),3126.13)</f>
        <v>3126.13</v>
      </c>
      <c r="E8586" s="1">
        <f>IFERROR(__xludf.DUMMYFUNCTION("""COMPUTED_VALUE"""),3132.52)</f>
        <v>3132.52</v>
      </c>
      <c r="F8586" s="1">
        <f>IFERROR(__xludf.DUMMYFUNCTION("""COMPUTED_VALUE"""),0.0)</f>
        <v>0</v>
      </c>
    </row>
    <row r="8587">
      <c r="A8587" s="2">
        <f>IFERROR(__xludf.DUMMYFUNCTION("""COMPUTED_VALUE"""),43810.66666666667)</f>
        <v>43810.66667</v>
      </c>
      <c r="B8587" s="1">
        <f>IFERROR(__xludf.DUMMYFUNCTION("""COMPUTED_VALUE"""),3135.75)</f>
        <v>3135.75</v>
      </c>
      <c r="C8587" s="1">
        <f>IFERROR(__xludf.DUMMYFUNCTION("""COMPUTED_VALUE"""),3143.98)</f>
        <v>3143.98</v>
      </c>
      <c r="D8587" s="1">
        <f>IFERROR(__xludf.DUMMYFUNCTION("""COMPUTED_VALUE"""),3133.21)</f>
        <v>3133.21</v>
      </c>
      <c r="E8587" s="1">
        <f>IFERROR(__xludf.DUMMYFUNCTION("""COMPUTED_VALUE"""),3141.63)</f>
        <v>3141.63</v>
      </c>
      <c r="F8587" s="1">
        <f>IFERROR(__xludf.DUMMYFUNCTION("""COMPUTED_VALUE"""),0.0)</f>
        <v>0</v>
      </c>
    </row>
    <row r="8588">
      <c r="A8588" s="2">
        <f>IFERROR(__xludf.DUMMYFUNCTION("""COMPUTED_VALUE"""),43811.66666666667)</f>
        <v>43811.66667</v>
      </c>
      <c r="B8588" s="1">
        <f>IFERROR(__xludf.DUMMYFUNCTION("""COMPUTED_VALUE"""),3141.23)</f>
        <v>3141.23</v>
      </c>
      <c r="C8588" s="1">
        <f>IFERROR(__xludf.DUMMYFUNCTION("""COMPUTED_VALUE"""),3176.28)</f>
        <v>3176.28</v>
      </c>
      <c r="D8588" s="1">
        <f>IFERROR(__xludf.DUMMYFUNCTION("""COMPUTED_VALUE"""),3138.47)</f>
        <v>3138.47</v>
      </c>
      <c r="E8588" s="1">
        <f>IFERROR(__xludf.DUMMYFUNCTION("""COMPUTED_VALUE"""),3168.57)</f>
        <v>3168.57</v>
      </c>
      <c r="F8588" s="1">
        <f>IFERROR(__xludf.DUMMYFUNCTION("""COMPUTED_VALUE"""),0.0)</f>
        <v>0</v>
      </c>
    </row>
    <row r="8589">
      <c r="A8589" s="2">
        <f>IFERROR(__xludf.DUMMYFUNCTION("""COMPUTED_VALUE"""),43812.66666666667)</f>
        <v>43812.66667</v>
      </c>
      <c r="B8589" s="1">
        <f>IFERROR(__xludf.DUMMYFUNCTION("""COMPUTED_VALUE"""),3166.65)</f>
        <v>3166.65</v>
      </c>
      <c r="C8589" s="1">
        <f>IFERROR(__xludf.DUMMYFUNCTION("""COMPUTED_VALUE"""),3182.68)</f>
        <v>3182.68</v>
      </c>
      <c r="D8589" s="1">
        <f>IFERROR(__xludf.DUMMYFUNCTION("""COMPUTED_VALUE"""),3156.51)</f>
        <v>3156.51</v>
      </c>
      <c r="E8589" s="1">
        <f>IFERROR(__xludf.DUMMYFUNCTION("""COMPUTED_VALUE"""),3168.8)</f>
        <v>3168.8</v>
      </c>
      <c r="F8589" s="1">
        <f>IFERROR(__xludf.DUMMYFUNCTION("""COMPUTED_VALUE"""),0.0)</f>
        <v>0</v>
      </c>
    </row>
    <row r="8590">
      <c r="A8590" s="2">
        <f>IFERROR(__xludf.DUMMYFUNCTION("""COMPUTED_VALUE"""),43815.66666666667)</f>
        <v>43815.66667</v>
      </c>
      <c r="B8590" s="1">
        <f>IFERROR(__xludf.DUMMYFUNCTION("""COMPUTED_VALUE"""),3183.63)</f>
        <v>3183.63</v>
      </c>
      <c r="C8590" s="1">
        <f>IFERROR(__xludf.DUMMYFUNCTION("""COMPUTED_VALUE"""),3197.71)</f>
        <v>3197.71</v>
      </c>
      <c r="D8590" s="1">
        <f>IFERROR(__xludf.DUMMYFUNCTION("""COMPUTED_VALUE"""),3183.63)</f>
        <v>3183.63</v>
      </c>
      <c r="E8590" s="1">
        <f>IFERROR(__xludf.DUMMYFUNCTION("""COMPUTED_VALUE"""),3191.45)</f>
        <v>3191.45</v>
      </c>
      <c r="F8590" s="1">
        <f>IFERROR(__xludf.DUMMYFUNCTION("""COMPUTED_VALUE"""),0.0)</f>
        <v>0</v>
      </c>
    </row>
    <row r="8591">
      <c r="A8591" s="2">
        <f>IFERROR(__xludf.DUMMYFUNCTION("""COMPUTED_VALUE"""),43816.66666666667)</f>
        <v>43816.66667</v>
      </c>
      <c r="B8591" s="1">
        <f>IFERROR(__xludf.DUMMYFUNCTION("""COMPUTED_VALUE"""),3195.4)</f>
        <v>3195.4</v>
      </c>
      <c r="C8591" s="1">
        <f>IFERROR(__xludf.DUMMYFUNCTION("""COMPUTED_VALUE"""),3198.22)</f>
        <v>3198.22</v>
      </c>
      <c r="D8591" s="1">
        <f>IFERROR(__xludf.DUMMYFUNCTION("""COMPUTED_VALUE"""),3191.03)</f>
        <v>3191.03</v>
      </c>
      <c r="E8591" s="1">
        <f>IFERROR(__xludf.DUMMYFUNCTION("""COMPUTED_VALUE"""),3192.52)</f>
        <v>3192.52</v>
      </c>
      <c r="F8591" s="1">
        <f>IFERROR(__xludf.DUMMYFUNCTION("""COMPUTED_VALUE"""),0.0)</f>
        <v>0</v>
      </c>
    </row>
    <row r="8592">
      <c r="A8592" s="2">
        <f>IFERROR(__xludf.DUMMYFUNCTION("""COMPUTED_VALUE"""),43817.66666666667)</f>
        <v>43817.66667</v>
      </c>
      <c r="B8592" s="1">
        <f>IFERROR(__xludf.DUMMYFUNCTION("""COMPUTED_VALUE"""),3195.21)</f>
        <v>3195.21</v>
      </c>
      <c r="C8592" s="1">
        <f>IFERROR(__xludf.DUMMYFUNCTION("""COMPUTED_VALUE"""),3198.48)</f>
        <v>3198.48</v>
      </c>
      <c r="D8592" s="1">
        <f>IFERROR(__xludf.DUMMYFUNCTION("""COMPUTED_VALUE"""),3191.14)</f>
        <v>3191.14</v>
      </c>
      <c r="E8592" s="1">
        <f>IFERROR(__xludf.DUMMYFUNCTION("""COMPUTED_VALUE"""),3191.14)</f>
        <v>3191.14</v>
      </c>
      <c r="F8592" s="1">
        <f>IFERROR(__xludf.DUMMYFUNCTION("""COMPUTED_VALUE"""),0.0)</f>
        <v>0</v>
      </c>
    </row>
    <row r="8593">
      <c r="A8593" s="2">
        <f>IFERROR(__xludf.DUMMYFUNCTION("""COMPUTED_VALUE"""),43818.66666666667)</f>
        <v>43818.66667</v>
      </c>
      <c r="B8593" s="1">
        <f>IFERROR(__xludf.DUMMYFUNCTION("""COMPUTED_VALUE"""),3192.32)</f>
        <v>3192.32</v>
      </c>
      <c r="C8593" s="1">
        <f>IFERROR(__xludf.DUMMYFUNCTION("""COMPUTED_VALUE"""),3205.48)</f>
        <v>3205.48</v>
      </c>
      <c r="D8593" s="1">
        <f>IFERROR(__xludf.DUMMYFUNCTION("""COMPUTED_VALUE"""),3192.32)</f>
        <v>3192.32</v>
      </c>
      <c r="E8593" s="1">
        <f>IFERROR(__xludf.DUMMYFUNCTION("""COMPUTED_VALUE"""),3205.37)</f>
        <v>3205.37</v>
      </c>
      <c r="F8593" s="1">
        <f>IFERROR(__xludf.DUMMYFUNCTION("""COMPUTED_VALUE"""),0.0)</f>
        <v>0</v>
      </c>
    </row>
    <row r="8594">
      <c r="A8594" s="2">
        <f>IFERROR(__xludf.DUMMYFUNCTION("""COMPUTED_VALUE"""),43819.66666666667)</f>
        <v>43819.66667</v>
      </c>
      <c r="B8594" s="1">
        <f>IFERROR(__xludf.DUMMYFUNCTION("""COMPUTED_VALUE"""),3223.33)</f>
        <v>3223.33</v>
      </c>
      <c r="C8594" s="1">
        <f>IFERROR(__xludf.DUMMYFUNCTION("""COMPUTED_VALUE"""),3225.65)</f>
        <v>3225.65</v>
      </c>
      <c r="D8594" s="1">
        <f>IFERROR(__xludf.DUMMYFUNCTION("""COMPUTED_VALUE"""),3216.03)</f>
        <v>3216.03</v>
      </c>
      <c r="E8594" s="1">
        <f>IFERROR(__xludf.DUMMYFUNCTION("""COMPUTED_VALUE"""),3221.22)</f>
        <v>3221.22</v>
      </c>
      <c r="F8594" s="1">
        <f>IFERROR(__xludf.DUMMYFUNCTION("""COMPUTED_VALUE"""),0.0)</f>
        <v>0</v>
      </c>
    </row>
    <row r="8595">
      <c r="A8595" s="2">
        <f>IFERROR(__xludf.DUMMYFUNCTION("""COMPUTED_VALUE"""),43822.66666666667)</f>
        <v>43822.66667</v>
      </c>
      <c r="B8595" s="1">
        <f>IFERROR(__xludf.DUMMYFUNCTION("""COMPUTED_VALUE"""),3226.05)</f>
        <v>3226.05</v>
      </c>
      <c r="C8595" s="1">
        <f>IFERROR(__xludf.DUMMYFUNCTION("""COMPUTED_VALUE"""),3227.78)</f>
        <v>3227.78</v>
      </c>
      <c r="D8595" s="1">
        <f>IFERROR(__xludf.DUMMYFUNCTION("""COMPUTED_VALUE"""),3222.3)</f>
        <v>3222.3</v>
      </c>
      <c r="E8595" s="1">
        <f>IFERROR(__xludf.DUMMYFUNCTION("""COMPUTED_VALUE"""),3224.01)</f>
        <v>3224.01</v>
      </c>
      <c r="F8595" s="1">
        <f>IFERROR(__xludf.DUMMYFUNCTION("""COMPUTED_VALUE"""),0.0)</f>
        <v>0</v>
      </c>
    </row>
    <row r="8596">
      <c r="A8596" s="2">
        <f>IFERROR(__xludf.DUMMYFUNCTION("""COMPUTED_VALUE"""),43823.54166666667)</f>
        <v>43823.54167</v>
      </c>
      <c r="B8596" s="1">
        <f>IFERROR(__xludf.DUMMYFUNCTION("""COMPUTED_VALUE"""),3225.45)</f>
        <v>3225.45</v>
      </c>
      <c r="C8596" s="1">
        <f>IFERROR(__xludf.DUMMYFUNCTION("""COMPUTED_VALUE"""),3226.43)</f>
        <v>3226.43</v>
      </c>
      <c r="D8596" s="1">
        <f>IFERROR(__xludf.DUMMYFUNCTION("""COMPUTED_VALUE"""),3220.51)</f>
        <v>3220.51</v>
      </c>
      <c r="E8596" s="1">
        <f>IFERROR(__xludf.DUMMYFUNCTION("""COMPUTED_VALUE"""),3223.38)</f>
        <v>3223.38</v>
      </c>
      <c r="F8596" s="1">
        <f>IFERROR(__xludf.DUMMYFUNCTION("""COMPUTED_VALUE"""),0.0)</f>
        <v>0</v>
      </c>
    </row>
    <row r="8597">
      <c r="A8597" s="2">
        <f>IFERROR(__xludf.DUMMYFUNCTION("""COMPUTED_VALUE"""),43825.66666666667)</f>
        <v>43825.66667</v>
      </c>
      <c r="B8597" s="1">
        <f>IFERROR(__xludf.DUMMYFUNCTION("""COMPUTED_VALUE"""),3225.45)</f>
        <v>3225.45</v>
      </c>
      <c r="C8597" s="1">
        <f>IFERROR(__xludf.DUMMYFUNCTION("""COMPUTED_VALUE"""),3240.08)</f>
        <v>3240.08</v>
      </c>
      <c r="D8597" s="1">
        <f>IFERROR(__xludf.DUMMYFUNCTION("""COMPUTED_VALUE"""),3220.51)</f>
        <v>3220.51</v>
      </c>
      <c r="E8597" s="1">
        <f>IFERROR(__xludf.DUMMYFUNCTION("""COMPUTED_VALUE"""),3239.91)</f>
        <v>3239.91</v>
      </c>
      <c r="F8597" s="1">
        <f>IFERROR(__xludf.DUMMYFUNCTION("""COMPUTED_VALUE"""),0.0)</f>
        <v>0</v>
      </c>
    </row>
    <row r="8598">
      <c r="A8598" s="2">
        <f>IFERROR(__xludf.DUMMYFUNCTION("""COMPUTED_VALUE"""),43826.66666666667)</f>
        <v>43826.66667</v>
      </c>
      <c r="B8598" s="1">
        <f>IFERROR(__xludf.DUMMYFUNCTION("""COMPUTED_VALUE"""),3247.23)</f>
        <v>3247.23</v>
      </c>
      <c r="C8598" s="1">
        <f>IFERROR(__xludf.DUMMYFUNCTION("""COMPUTED_VALUE"""),3247.93)</f>
        <v>3247.93</v>
      </c>
      <c r="D8598" s="1">
        <f>IFERROR(__xludf.DUMMYFUNCTION("""COMPUTED_VALUE"""),3234.37)</f>
        <v>3234.37</v>
      </c>
      <c r="E8598" s="1">
        <f>IFERROR(__xludf.DUMMYFUNCTION("""COMPUTED_VALUE"""),3240.02)</f>
        <v>3240.02</v>
      </c>
      <c r="F8598" s="1">
        <f>IFERROR(__xludf.DUMMYFUNCTION("""COMPUTED_VALUE"""),0.0)</f>
        <v>0</v>
      </c>
    </row>
    <row r="8599">
      <c r="A8599" s="2">
        <f>IFERROR(__xludf.DUMMYFUNCTION("""COMPUTED_VALUE"""),43829.66666666667)</f>
        <v>43829.66667</v>
      </c>
      <c r="B8599" s="1">
        <f>IFERROR(__xludf.DUMMYFUNCTION("""COMPUTED_VALUE"""),3240.09)</f>
        <v>3240.09</v>
      </c>
      <c r="C8599" s="1">
        <f>IFERROR(__xludf.DUMMYFUNCTION("""COMPUTED_VALUE"""),3240.92)</f>
        <v>3240.92</v>
      </c>
      <c r="D8599" s="1">
        <f>IFERROR(__xludf.DUMMYFUNCTION("""COMPUTED_VALUE"""),3216.57)</f>
        <v>3216.57</v>
      </c>
      <c r="E8599" s="1">
        <f>IFERROR(__xludf.DUMMYFUNCTION("""COMPUTED_VALUE"""),3221.29)</f>
        <v>3221.29</v>
      </c>
      <c r="F8599" s="1">
        <f>IFERROR(__xludf.DUMMYFUNCTION("""COMPUTED_VALUE"""),0.0)</f>
        <v>0</v>
      </c>
    </row>
    <row r="8600">
      <c r="A8600" s="2">
        <f>IFERROR(__xludf.DUMMYFUNCTION("""COMPUTED_VALUE"""),43830.66666666667)</f>
        <v>43830.66667</v>
      </c>
      <c r="B8600" s="1">
        <f>IFERROR(__xludf.DUMMYFUNCTION("""COMPUTED_VALUE"""),3215.18)</f>
        <v>3215.18</v>
      </c>
      <c r="C8600" s="1">
        <f>IFERROR(__xludf.DUMMYFUNCTION("""COMPUTED_VALUE"""),3231.72)</f>
        <v>3231.72</v>
      </c>
      <c r="D8600" s="1">
        <f>IFERROR(__xludf.DUMMYFUNCTION("""COMPUTED_VALUE"""),3212.03)</f>
        <v>3212.03</v>
      </c>
      <c r="E8600" s="1">
        <f>IFERROR(__xludf.DUMMYFUNCTION("""COMPUTED_VALUE"""),3230.78)</f>
        <v>3230.78</v>
      </c>
      <c r="F8600" s="1">
        <f>IFERROR(__xludf.DUMMYFUNCTION("""COMPUTED_VALUE"""),0.0)</f>
        <v>0</v>
      </c>
    </row>
    <row r="8601">
      <c r="A8601" s="2">
        <f>IFERROR(__xludf.DUMMYFUNCTION("""COMPUTED_VALUE"""),43832.66666666667)</f>
        <v>43832.66667</v>
      </c>
      <c r="B8601" s="1">
        <f>IFERROR(__xludf.DUMMYFUNCTION("""COMPUTED_VALUE"""),3215.18)</f>
        <v>3215.18</v>
      </c>
      <c r="C8601" s="1">
        <f>IFERROR(__xludf.DUMMYFUNCTION("""COMPUTED_VALUE"""),3258.14)</f>
        <v>3258.14</v>
      </c>
      <c r="D8601" s="1">
        <f>IFERROR(__xludf.DUMMYFUNCTION("""COMPUTED_VALUE"""),3212.03)</f>
        <v>3212.03</v>
      </c>
      <c r="E8601" s="1">
        <f>IFERROR(__xludf.DUMMYFUNCTION("""COMPUTED_VALUE"""),3257.85)</f>
        <v>3257.85</v>
      </c>
      <c r="F8601" s="1">
        <f>IFERROR(__xludf.DUMMYFUNCTION("""COMPUTED_VALUE"""),0.0)</f>
        <v>0</v>
      </c>
    </row>
    <row r="8602">
      <c r="A8602" s="2">
        <f>IFERROR(__xludf.DUMMYFUNCTION("""COMPUTED_VALUE"""),43833.66666666667)</f>
        <v>43833.66667</v>
      </c>
      <c r="B8602" s="1">
        <f>IFERROR(__xludf.DUMMYFUNCTION("""COMPUTED_VALUE"""),3226.36)</f>
        <v>3226.36</v>
      </c>
      <c r="C8602" s="1">
        <f>IFERROR(__xludf.DUMMYFUNCTION("""COMPUTED_VALUE"""),3246.15)</f>
        <v>3246.15</v>
      </c>
      <c r="D8602" s="1">
        <f>IFERROR(__xludf.DUMMYFUNCTION("""COMPUTED_VALUE"""),3222.34)</f>
        <v>3222.34</v>
      </c>
      <c r="E8602" s="1">
        <f>IFERROR(__xludf.DUMMYFUNCTION("""COMPUTED_VALUE"""),3234.85)</f>
        <v>3234.85</v>
      </c>
      <c r="F8602" s="1">
        <f>IFERROR(__xludf.DUMMYFUNCTION("""COMPUTED_VALUE"""),0.0)</f>
        <v>0</v>
      </c>
    </row>
    <row r="8603">
      <c r="A8603" s="2">
        <f>IFERROR(__xludf.DUMMYFUNCTION("""COMPUTED_VALUE"""),43836.66666666667)</f>
        <v>43836.66667</v>
      </c>
      <c r="B8603" s="1">
        <f>IFERROR(__xludf.DUMMYFUNCTION("""COMPUTED_VALUE"""),3217.55)</f>
        <v>3217.55</v>
      </c>
      <c r="C8603" s="1">
        <f>IFERROR(__xludf.DUMMYFUNCTION("""COMPUTED_VALUE"""),3246.84)</f>
        <v>3246.84</v>
      </c>
      <c r="D8603" s="1">
        <f>IFERROR(__xludf.DUMMYFUNCTION("""COMPUTED_VALUE"""),3214.64)</f>
        <v>3214.64</v>
      </c>
      <c r="E8603" s="1">
        <f>IFERROR(__xludf.DUMMYFUNCTION("""COMPUTED_VALUE"""),3246.28)</f>
        <v>3246.28</v>
      </c>
      <c r="F8603" s="1">
        <f>IFERROR(__xludf.DUMMYFUNCTION("""COMPUTED_VALUE"""),0.0)</f>
        <v>0</v>
      </c>
    </row>
    <row r="8604">
      <c r="A8604" s="2">
        <f>IFERROR(__xludf.DUMMYFUNCTION("""COMPUTED_VALUE"""),43837.66666666667)</f>
        <v>43837.66667</v>
      </c>
      <c r="B8604" s="1">
        <f>IFERROR(__xludf.DUMMYFUNCTION("""COMPUTED_VALUE"""),3241.86)</f>
        <v>3241.86</v>
      </c>
      <c r="C8604" s="1">
        <f>IFERROR(__xludf.DUMMYFUNCTION("""COMPUTED_VALUE"""),3244.91)</f>
        <v>3244.91</v>
      </c>
      <c r="D8604" s="1">
        <f>IFERROR(__xludf.DUMMYFUNCTION("""COMPUTED_VALUE"""),3232.43)</f>
        <v>3232.43</v>
      </c>
      <c r="E8604" s="1">
        <f>IFERROR(__xludf.DUMMYFUNCTION("""COMPUTED_VALUE"""),3237.18)</f>
        <v>3237.18</v>
      </c>
      <c r="F8604" s="1">
        <f>IFERROR(__xludf.DUMMYFUNCTION("""COMPUTED_VALUE"""),0.0)</f>
        <v>0</v>
      </c>
    </row>
    <row r="8605">
      <c r="A8605" s="2">
        <f>IFERROR(__xludf.DUMMYFUNCTION("""COMPUTED_VALUE"""),43838.66666666667)</f>
        <v>43838.66667</v>
      </c>
      <c r="B8605" s="1">
        <f>IFERROR(__xludf.DUMMYFUNCTION("""COMPUTED_VALUE"""),3238.59)</f>
        <v>3238.59</v>
      </c>
      <c r="C8605" s="1">
        <f>IFERROR(__xludf.DUMMYFUNCTION("""COMPUTED_VALUE"""),3267.07)</f>
        <v>3267.07</v>
      </c>
      <c r="D8605" s="1">
        <f>IFERROR(__xludf.DUMMYFUNCTION("""COMPUTED_VALUE"""),3236.67)</f>
        <v>3236.67</v>
      </c>
      <c r="E8605" s="1">
        <f>IFERROR(__xludf.DUMMYFUNCTION("""COMPUTED_VALUE"""),3253.05)</f>
        <v>3253.05</v>
      </c>
      <c r="F8605" s="1">
        <f>IFERROR(__xludf.DUMMYFUNCTION("""COMPUTED_VALUE"""),0.0)</f>
        <v>0</v>
      </c>
    </row>
    <row r="8606">
      <c r="A8606" s="2">
        <f>IFERROR(__xludf.DUMMYFUNCTION("""COMPUTED_VALUE"""),43839.66666666667)</f>
        <v>43839.66667</v>
      </c>
      <c r="B8606" s="1">
        <f>IFERROR(__xludf.DUMMYFUNCTION("""COMPUTED_VALUE"""),3266.03)</f>
        <v>3266.03</v>
      </c>
      <c r="C8606" s="1">
        <f>IFERROR(__xludf.DUMMYFUNCTION("""COMPUTED_VALUE"""),3275.58)</f>
        <v>3275.58</v>
      </c>
      <c r="D8606" s="1">
        <f>IFERROR(__xludf.DUMMYFUNCTION("""COMPUTED_VALUE"""),3263.67)</f>
        <v>3263.67</v>
      </c>
      <c r="E8606" s="1">
        <f>IFERROR(__xludf.DUMMYFUNCTION("""COMPUTED_VALUE"""),3274.7)</f>
        <v>3274.7</v>
      </c>
      <c r="F8606" s="1">
        <f>IFERROR(__xludf.DUMMYFUNCTION("""COMPUTED_VALUE"""),0.0)</f>
        <v>0</v>
      </c>
    </row>
    <row r="8607">
      <c r="A8607" s="2">
        <f>IFERROR(__xludf.DUMMYFUNCTION("""COMPUTED_VALUE"""),43840.66666666667)</f>
        <v>43840.66667</v>
      </c>
      <c r="B8607" s="1">
        <f>IFERROR(__xludf.DUMMYFUNCTION("""COMPUTED_VALUE"""),3281.81)</f>
        <v>3281.81</v>
      </c>
      <c r="C8607" s="1">
        <f>IFERROR(__xludf.DUMMYFUNCTION("""COMPUTED_VALUE"""),3282.99)</f>
        <v>3282.99</v>
      </c>
      <c r="D8607" s="1">
        <f>IFERROR(__xludf.DUMMYFUNCTION("""COMPUTED_VALUE"""),3260.86)</f>
        <v>3260.86</v>
      </c>
      <c r="E8607" s="1">
        <f>IFERROR(__xludf.DUMMYFUNCTION("""COMPUTED_VALUE"""),3265.35)</f>
        <v>3265.35</v>
      </c>
      <c r="F8607" s="1">
        <f>IFERROR(__xludf.DUMMYFUNCTION("""COMPUTED_VALUE"""),0.0)</f>
        <v>0</v>
      </c>
    </row>
    <row r="8608">
      <c r="A8608" s="2">
        <f>IFERROR(__xludf.DUMMYFUNCTION("""COMPUTED_VALUE"""),43843.66666666667)</f>
        <v>43843.66667</v>
      </c>
      <c r="B8608" s="1">
        <f>IFERROR(__xludf.DUMMYFUNCTION("""COMPUTED_VALUE"""),3271.13)</f>
        <v>3271.13</v>
      </c>
      <c r="C8608" s="1">
        <f>IFERROR(__xludf.DUMMYFUNCTION("""COMPUTED_VALUE"""),3288.13)</f>
        <v>3288.13</v>
      </c>
      <c r="D8608" s="1">
        <f>IFERROR(__xludf.DUMMYFUNCTION("""COMPUTED_VALUE"""),3268.43)</f>
        <v>3268.43</v>
      </c>
      <c r="E8608" s="1">
        <f>IFERROR(__xludf.DUMMYFUNCTION("""COMPUTED_VALUE"""),3288.13)</f>
        <v>3288.13</v>
      </c>
      <c r="F8608" s="1">
        <f>IFERROR(__xludf.DUMMYFUNCTION("""COMPUTED_VALUE"""),0.0)</f>
        <v>0</v>
      </c>
    </row>
    <row r="8609">
      <c r="A8609" s="2">
        <f>IFERROR(__xludf.DUMMYFUNCTION("""COMPUTED_VALUE"""),43844.66666666667)</f>
        <v>43844.66667</v>
      </c>
      <c r="B8609" s="1">
        <f>IFERROR(__xludf.DUMMYFUNCTION("""COMPUTED_VALUE"""),3285.35)</f>
        <v>3285.35</v>
      </c>
      <c r="C8609" s="1">
        <f>IFERROR(__xludf.DUMMYFUNCTION("""COMPUTED_VALUE"""),3294.25)</f>
        <v>3294.25</v>
      </c>
      <c r="D8609" s="1">
        <f>IFERROR(__xludf.DUMMYFUNCTION("""COMPUTED_VALUE"""),3277.19)</f>
        <v>3277.19</v>
      </c>
      <c r="E8609" s="1">
        <f>IFERROR(__xludf.DUMMYFUNCTION("""COMPUTED_VALUE"""),3283.15)</f>
        <v>3283.15</v>
      </c>
      <c r="F8609" s="1">
        <f>IFERROR(__xludf.DUMMYFUNCTION("""COMPUTED_VALUE"""),0.0)</f>
        <v>0</v>
      </c>
    </row>
    <row r="8610">
      <c r="A8610" s="2">
        <f>IFERROR(__xludf.DUMMYFUNCTION("""COMPUTED_VALUE"""),43845.66666666667)</f>
        <v>43845.66667</v>
      </c>
      <c r="B8610" s="1">
        <f>IFERROR(__xludf.DUMMYFUNCTION("""COMPUTED_VALUE"""),3282.27)</f>
        <v>3282.27</v>
      </c>
      <c r="C8610" s="1">
        <f>IFERROR(__xludf.DUMMYFUNCTION("""COMPUTED_VALUE"""),3298.66)</f>
        <v>3298.66</v>
      </c>
      <c r="D8610" s="1">
        <f>IFERROR(__xludf.DUMMYFUNCTION("""COMPUTED_VALUE"""),3280.69)</f>
        <v>3280.69</v>
      </c>
      <c r="E8610" s="1">
        <f>IFERROR(__xludf.DUMMYFUNCTION("""COMPUTED_VALUE"""),3289.29)</f>
        <v>3289.29</v>
      </c>
      <c r="F8610" s="1">
        <f>IFERROR(__xludf.DUMMYFUNCTION("""COMPUTED_VALUE"""),0.0)</f>
        <v>0</v>
      </c>
    </row>
    <row r="8611">
      <c r="A8611" s="2">
        <f>IFERROR(__xludf.DUMMYFUNCTION("""COMPUTED_VALUE"""),43846.66666666667)</f>
        <v>43846.66667</v>
      </c>
      <c r="B8611" s="1">
        <f>IFERROR(__xludf.DUMMYFUNCTION("""COMPUTED_VALUE"""),3302.97)</f>
        <v>3302.97</v>
      </c>
      <c r="C8611" s="1">
        <f>IFERROR(__xludf.DUMMYFUNCTION("""COMPUTED_VALUE"""),3317.11)</f>
        <v>3317.11</v>
      </c>
      <c r="D8611" s="1">
        <f>IFERROR(__xludf.DUMMYFUNCTION("""COMPUTED_VALUE"""),3302.82)</f>
        <v>3302.82</v>
      </c>
      <c r="E8611" s="1">
        <f>IFERROR(__xludf.DUMMYFUNCTION("""COMPUTED_VALUE"""),3316.81)</f>
        <v>3316.81</v>
      </c>
      <c r="F8611" s="1">
        <f>IFERROR(__xludf.DUMMYFUNCTION("""COMPUTED_VALUE"""),0.0)</f>
        <v>0</v>
      </c>
    </row>
    <row r="8612">
      <c r="A8612" s="2">
        <f>IFERROR(__xludf.DUMMYFUNCTION("""COMPUTED_VALUE"""),43847.66666666667)</f>
        <v>43847.66667</v>
      </c>
      <c r="B8612" s="1">
        <f>IFERROR(__xludf.DUMMYFUNCTION("""COMPUTED_VALUE"""),3323.66)</f>
        <v>3323.66</v>
      </c>
      <c r="C8612" s="1">
        <f>IFERROR(__xludf.DUMMYFUNCTION("""COMPUTED_VALUE"""),3329.88)</f>
        <v>3329.88</v>
      </c>
      <c r="D8612" s="1">
        <f>IFERROR(__xludf.DUMMYFUNCTION("""COMPUTED_VALUE"""),3318.86)</f>
        <v>3318.86</v>
      </c>
      <c r="E8612" s="1">
        <f>IFERROR(__xludf.DUMMYFUNCTION("""COMPUTED_VALUE"""),3329.62)</f>
        <v>3329.62</v>
      </c>
      <c r="F8612" s="1">
        <f>IFERROR(__xludf.DUMMYFUNCTION("""COMPUTED_VALUE"""),0.0)</f>
        <v>0</v>
      </c>
    </row>
    <row r="8613">
      <c r="A8613" s="2">
        <f>IFERROR(__xludf.DUMMYFUNCTION("""COMPUTED_VALUE"""),43851.66666666667)</f>
        <v>43851.66667</v>
      </c>
      <c r="B8613" s="1">
        <f>IFERROR(__xludf.DUMMYFUNCTION("""COMPUTED_VALUE"""),3321.03)</f>
        <v>3321.03</v>
      </c>
      <c r="C8613" s="1">
        <f>IFERROR(__xludf.DUMMYFUNCTION("""COMPUTED_VALUE"""),3329.79)</f>
        <v>3329.79</v>
      </c>
      <c r="D8613" s="1">
        <f>IFERROR(__xludf.DUMMYFUNCTION("""COMPUTED_VALUE"""),3316.61)</f>
        <v>3316.61</v>
      </c>
      <c r="E8613" s="1">
        <f>IFERROR(__xludf.DUMMYFUNCTION("""COMPUTED_VALUE"""),3320.79)</f>
        <v>3320.79</v>
      </c>
      <c r="F8613" s="1">
        <f>IFERROR(__xludf.DUMMYFUNCTION("""COMPUTED_VALUE"""),0.0)</f>
        <v>0</v>
      </c>
    </row>
    <row r="8614">
      <c r="A8614" s="2">
        <f>IFERROR(__xludf.DUMMYFUNCTION("""COMPUTED_VALUE"""),43852.66666666667)</f>
        <v>43852.66667</v>
      </c>
      <c r="B8614" s="1">
        <f>IFERROR(__xludf.DUMMYFUNCTION("""COMPUTED_VALUE"""),3330.02)</f>
        <v>3330.02</v>
      </c>
      <c r="C8614" s="1">
        <f>IFERROR(__xludf.DUMMYFUNCTION("""COMPUTED_VALUE"""),3337.77)</f>
        <v>3337.77</v>
      </c>
      <c r="D8614" s="1">
        <f>IFERROR(__xludf.DUMMYFUNCTION("""COMPUTED_VALUE"""),3320.04)</f>
        <v>3320.04</v>
      </c>
      <c r="E8614" s="1">
        <f>IFERROR(__xludf.DUMMYFUNCTION("""COMPUTED_VALUE"""),3321.75)</f>
        <v>3321.75</v>
      </c>
      <c r="F8614" s="1">
        <f>IFERROR(__xludf.DUMMYFUNCTION("""COMPUTED_VALUE"""),0.0)</f>
        <v>0</v>
      </c>
    </row>
    <row r="8615">
      <c r="A8615" s="2">
        <f>IFERROR(__xludf.DUMMYFUNCTION("""COMPUTED_VALUE"""),43853.66666666667)</f>
        <v>43853.66667</v>
      </c>
      <c r="B8615" s="1">
        <f>IFERROR(__xludf.DUMMYFUNCTION("""COMPUTED_VALUE"""),3315.77)</f>
        <v>3315.77</v>
      </c>
      <c r="C8615" s="1">
        <f>IFERROR(__xludf.DUMMYFUNCTION("""COMPUTED_VALUE"""),3326.88)</f>
        <v>3326.88</v>
      </c>
      <c r="D8615" s="1">
        <f>IFERROR(__xludf.DUMMYFUNCTION("""COMPUTED_VALUE"""),3301.87)</f>
        <v>3301.87</v>
      </c>
      <c r="E8615" s="1">
        <f>IFERROR(__xludf.DUMMYFUNCTION("""COMPUTED_VALUE"""),3325.54)</f>
        <v>3325.54</v>
      </c>
      <c r="F8615" s="1">
        <f>IFERROR(__xludf.DUMMYFUNCTION("""COMPUTED_VALUE"""),0.0)</f>
        <v>0</v>
      </c>
    </row>
    <row r="8616">
      <c r="A8616" s="2">
        <f>IFERROR(__xludf.DUMMYFUNCTION("""COMPUTED_VALUE"""),43854.66666666667)</f>
        <v>43854.66667</v>
      </c>
      <c r="B8616" s="1">
        <f>IFERROR(__xludf.DUMMYFUNCTION("""COMPUTED_VALUE"""),3333.1)</f>
        <v>3333.1</v>
      </c>
      <c r="C8616" s="1">
        <f>IFERROR(__xludf.DUMMYFUNCTION("""COMPUTED_VALUE"""),3333.18)</f>
        <v>3333.18</v>
      </c>
      <c r="D8616" s="1">
        <f>IFERROR(__xludf.DUMMYFUNCTION("""COMPUTED_VALUE"""),3281.53)</f>
        <v>3281.53</v>
      </c>
      <c r="E8616" s="1">
        <f>IFERROR(__xludf.DUMMYFUNCTION("""COMPUTED_VALUE"""),3295.47)</f>
        <v>3295.47</v>
      </c>
      <c r="F8616" s="1">
        <f>IFERROR(__xludf.DUMMYFUNCTION("""COMPUTED_VALUE"""),0.0)</f>
        <v>0</v>
      </c>
    </row>
    <row r="8617">
      <c r="A8617" s="2">
        <f>IFERROR(__xludf.DUMMYFUNCTION("""COMPUTED_VALUE"""),43857.66666666667)</f>
        <v>43857.66667</v>
      </c>
      <c r="B8617" s="1">
        <f>IFERROR(__xludf.DUMMYFUNCTION("""COMPUTED_VALUE"""),3247.16)</f>
        <v>3247.16</v>
      </c>
      <c r="C8617" s="1">
        <f>IFERROR(__xludf.DUMMYFUNCTION("""COMPUTED_VALUE"""),3258.85)</f>
        <v>3258.85</v>
      </c>
      <c r="D8617" s="1">
        <f>IFERROR(__xludf.DUMMYFUNCTION("""COMPUTED_VALUE"""),3234.5)</f>
        <v>3234.5</v>
      </c>
      <c r="E8617" s="1">
        <f>IFERROR(__xludf.DUMMYFUNCTION("""COMPUTED_VALUE"""),3243.63)</f>
        <v>3243.63</v>
      </c>
      <c r="F8617" s="1">
        <f>IFERROR(__xludf.DUMMYFUNCTION("""COMPUTED_VALUE"""),0.0)</f>
        <v>0</v>
      </c>
    </row>
    <row r="8618">
      <c r="A8618" s="2">
        <f>IFERROR(__xludf.DUMMYFUNCTION("""COMPUTED_VALUE"""),43858.66666666667)</f>
        <v>43858.66667</v>
      </c>
      <c r="B8618" s="1">
        <f>IFERROR(__xludf.DUMMYFUNCTION("""COMPUTED_VALUE"""),3255.35)</f>
        <v>3255.35</v>
      </c>
      <c r="C8618" s="1">
        <f>IFERROR(__xludf.DUMMYFUNCTION("""COMPUTED_VALUE"""),3285.78)</f>
        <v>3285.78</v>
      </c>
      <c r="D8618" s="1">
        <f>IFERROR(__xludf.DUMMYFUNCTION("""COMPUTED_VALUE"""),3253.22)</f>
        <v>3253.22</v>
      </c>
      <c r="E8618" s="1">
        <f>IFERROR(__xludf.DUMMYFUNCTION("""COMPUTED_VALUE"""),3276.24)</f>
        <v>3276.24</v>
      </c>
      <c r="F8618" s="1">
        <f>IFERROR(__xludf.DUMMYFUNCTION("""COMPUTED_VALUE"""),0.0)</f>
        <v>0</v>
      </c>
    </row>
    <row r="8619">
      <c r="A8619" s="2">
        <f>IFERROR(__xludf.DUMMYFUNCTION("""COMPUTED_VALUE"""),43859.66666666667)</f>
        <v>43859.66667</v>
      </c>
      <c r="B8619" s="1">
        <f>IFERROR(__xludf.DUMMYFUNCTION("""COMPUTED_VALUE"""),3289.46)</f>
        <v>3289.46</v>
      </c>
      <c r="C8619" s="1">
        <f>IFERROR(__xludf.DUMMYFUNCTION("""COMPUTED_VALUE"""),3293.47)</f>
        <v>3293.47</v>
      </c>
      <c r="D8619" s="1">
        <f>IFERROR(__xludf.DUMMYFUNCTION("""COMPUTED_VALUE"""),3271.89)</f>
        <v>3271.89</v>
      </c>
      <c r="E8619" s="1">
        <f>IFERROR(__xludf.DUMMYFUNCTION("""COMPUTED_VALUE"""),3273.4)</f>
        <v>3273.4</v>
      </c>
      <c r="F8619" s="1">
        <f>IFERROR(__xludf.DUMMYFUNCTION("""COMPUTED_VALUE"""),0.0)</f>
        <v>0</v>
      </c>
    </row>
    <row r="8620">
      <c r="A8620" s="2">
        <f>IFERROR(__xludf.DUMMYFUNCTION("""COMPUTED_VALUE"""),43860.66666666667)</f>
        <v>43860.66667</v>
      </c>
      <c r="B8620" s="1">
        <f>IFERROR(__xludf.DUMMYFUNCTION("""COMPUTED_VALUE"""),3256.45)</f>
        <v>3256.45</v>
      </c>
      <c r="C8620" s="1">
        <f>IFERROR(__xludf.DUMMYFUNCTION("""COMPUTED_VALUE"""),3285.91)</f>
        <v>3285.91</v>
      </c>
      <c r="D8620" s="1">
        <f>IFERROR(__xludf.DUMMYFUNCTION("""COMPUTED_VALUE"""),3242.8)</f>
        <v>3242.8</v>
      </c>
      <c r="E8620" s="1">
        <f>IFERROR(__xludf.DUMMYFUNCTION("""COMPUTED_VALUE"""),3283.66)</f>
        <v>3283.66</v>
      </c>
      <c r="F8620" s="1">
        <f>IFERROR(__xludf.DUMMYFUNCTION("""COMPUTED_VALUE"""),0.0)</f>
        <v>0</v>
      </c>
    </row>
    <row r="8621">
      <c r="A8621" s="2">
        <f>IFERROR(__xludf.DUMMYFUNCTION("""COMPUTED_VALUE"""),43861.66666666667)</f>
        <v>43861.66667</v>
      </c>
      <c r="B8621" s="1">
        <f>IFERROR(__xludf.DUMMYFUNCTION("""COMPUTED_VALUE"""),3282.33)</f>
        <v>3282.33</v>
      </c>
      <c r="C8621" s="1">
        <f>IFERROR(__xludf.DUMMYFUNCTION("""COMPUTED_VALUE"""),3282.33)</f>
        <v>3282.33</v>
      </c>
      <c r="D8621" s="1">
        <f>IFERROR(__xludf.DUMMYFUNCTION("""COMPUTED_VALUE"""),3214.68)</f>
        <v>3214.68</v>
      </c>
      <c r="E8621" s="1">
        <f>IFERROR(__xludf.DUMMYFUNCTION("""COMPUTED_VALUE"""),3225.52)</f>
        <v>3225.52</v>
      </c>
      <c r="F8621" s="1">
        <f>IFERROR(__xludf.DUMMYFUNCTION("""COMPUTED_VALUE"""),0.0)</f>
        <v>0</v>
      </c>
    </row>
    <row r="8622">
      <c r="A8622" s="2">
        <f>IFERROR(__xludf.DUMMYFUNCTION("""COMPUTED_VALUE"""),43864.66666666667)</f>
        <v>43864.66667</v>
      </c>
      <c r="B8622" s="1">
        <f>IFERROR(__xludf.DUMMYFUNCTION("""COMPUTED_VALUE"""),3235.66)</f>
        <v>3235.66</v>
      </c>
      <c r="C8622" s="1">
        <f>IFERROR(__xludf.DUMMYFUNCTION("""COMPUTED_VALUE"""),3268.44)</f>
        <v>3268.44</v>
      </c>
      <c r="D8622" s="1">
        <f>IFERROR(__xludf.DUMMYFUNCTION("""COMPUTED_VALUE"""),3235.66)</f>
        <v>3235.66</v>
      </c>
      <c r="E8622" s="1">
        <f>IFERROR(__xludf.DUMMYFUNCTION("""COMPUTED_VALUE"""),3248.92)</f>
        <v>3248.92</v>
      </c>
      <c r="F8622" s="1">
        <f>IFERROR(__xludf.DUMMYFUNCTION("""COMPUTED_VALUE"""),0.0)</f>
        <v>0</v>
      </c>
    </row>
    <row r="8623">
      <c r="A8623" s="2">
        <f>IFERROR(__xludf.DUMMYFUNCTION("""COMPUTED_VALUE"""),43865.66666666667)</f>
        <v>43865.66667</v>
      </c>
      <c r="B8623" s="1">
        <f>IFERROR(__xludf.DUMMYFUNCTION("""COMPUTED_VALUE"""),3280.61)</f>
        <v>3280.61</v>
      </c>
      <c r="C8623" s="1">
        <f>IFERROR(__xludf.DUMMYFUNCTION("""COMPUTED_VALUE"""),3306.92)</f>
        <v>3306.92</v>
      </c>
      <c r="D8623" s="1">
        <f>IFERROR(__xludf.DUMMYFUNCTION("""COMPUTED_VALUE"""),3280.61)</f>
        <v>3280.61</v>
      </c>
      <c r="E8623" s="1">
        <f>IFERROR(__xludf.DUMMYFUNCTION("""COMPUTED_VALUE"""),3297.59)</f>
        <v>3297.59</v>
      </c>
      <c r="F8623" s="1">
        <f>IFERROR(__xludf.DUMMYFUNCTION("""COMPUTED_VALUE"""),0.0)</f>
        <v>0</v>
      </c>
    </row>
    <row r="8624">
      <c r="A8624" s="2">
        <f>IFERROR(__xludf.DUMMYFUNCTION("""COMPUTED_VALUE"""),43866.66666666667)</f>
        <v>43866.66667</v>
      </c>
      <c r="B8624" s="1">
        <f>IFERROR(__xludf.DUMMYFUNCTION("""COMPUTED_VALUE"""),3324.91)</f>
        <v>3324.91</v>
      </c>
      <c r="C8624" s="1">
        <f>IFERROR(__xludf.DUMMYFUNCTION("""COMPUTED_VALUE"""),3337.58)</f>
        <v>3337.58</v>
      </c>
      <c r="D8624" s="1">
        <f>IFERROR(__xludf.DUMMYFUNCTION("""COMPUTED_VALUE"""),3313.75)</f>
        <v>3313.75</v>
      </c>
      <c r="E8624" s="1">
        <f>IFERROR(__xludf.DUMMYFUNCTION("""COMPUTED_VALUE"""),3334.69)</f>
        <v>3334.69</v>
      </c>
      <c r="F8624" s="1">
        <f>IFERROR(__xludf.DUMMYFUNCTION("""COMPUTED_VALUE"""),0.0)</f>
        <v>0</v>
      </c>
    </row>
    <row r="8625">
      <c r="A8625" s="2">
        <f>IFERROR(__xludf.DUMMYFUNCTION("""COMPUTED_VALUE"""),43867.66666666667)</f>
        <v>43867.66667</v>
      </c>
      <c r="B8625" s="1">
        <f>IFERROR(__xludf.DUMMYFUNCTION("""COMPUTED_VALUE"""),3344.92)</f>
        <v>3344.92</v>
      </c>
      <c r="C8625" s="1">
        <f>IFERROR(__xludf.DUMMYFUNCTION("""COMPUTED_VALUE"""),3347.96)</f>
        <v>3347.96</v>
      </c>
      <c r="D8625" s="1">
        <f>IFERROR(__xludf.DUMMYFUNCTION("""COMPUTED_VALUE"""),3334.39)</f>
        <v>3334.39</v>
      </c>
      <c r="E8625" s="1">
        <f>IFERROR(__xludf.DUMMYFUNCTION("""COMPUTED_VALUE"""),3345.78)</f>
        <v>3345.78</v>
      </c>
      <c r="F8625" s="1">
        <f>IFERROR(__xludf.DUMMYFUNCTION("""COMPUTED_VALUE"""),0.0)</f>
        <v>0</v>
      </c>
    </row>
    <row r="8626">
      <c r="A8626" s="2">
        <f>IFERROR(__xludf.DUMMYFUNCTION("""COMPUTED_VALUE"""),43868.66666666667)</f>
        <v>43868.66667</v>
      </c>
      <c r="B8626" s="1">
        <f>IFERROR(__xludf.DUMMYFUNCTION("""COMPUTED_VALUE"""),3335.54)</f>
        <v>3335.54</v>
      </c>
      <c r="C8626" s="1">
        <f>IFERROR(__xludf.DUMMYFUNCTION("""COMPUTED_VALUE"""),3341.42)</f>
        <v>3341.42</v>
      </c>
      <c r="D8626" s="1">
        <f>IFERROR(__xludf.DUMMYFUNCTION("""COMPUTED_VALUE"""),3322.12)</f>
        <v>3322.12</v>
      </c>
      <c r="E8626" s="1">
        <f>IFERROR(__xludf.DUMMYFUNCTION("""COMPUTED_VALUE"""),3327.71)</f>
        <v>3327.71</v>
      </c>
      <c r="F8626" s="1">
        <f>IFERROR(__xludf.DUMMYFUNCTION("""COMPUTED_VALUE"""),0.0)</f>
        <v>0</v>
      </c>
    </row>
    <row r="8627">
      <c r="A8627" s="2">
        <f>IFERROR(__xludf.DUMMYFUNCTION("""COMPUTED_VALUE"""),43871.66666666667)</f>
        <v>43871.66667</v>
      </c>
      <c r="B8627" s="1">
        <f>IFERROR(__xludf.DUMMYFUNCTION("""COMPUTED_VALUE"""),3318.28)</f>
        <v>3318.28</v>
      </c>
      <c r="C8627" s="1">
        <f>IFERROR(__xludf.DUMMYFUNCTION("""COMPUTED_VALUE"""),3352.26)</f>
        <v>3352.26</v>
      </c>
      <c r="D8627" s="1">
        <f>IFERROR(__xludf.DUMMYFUNCTION("""COMPUTED_VALUE"""),3317.77)</f>
        <v>3317.77</v>
      </c>
      <c r="E8627" s="1">
        <f>IFERROR(__xludf.DUMMYFUNCTION("""COMPUTED_VALUE"""),3352.09)</f>
        <v>3352.09</v>
      </c>
      <c r="F8627" s="1">
        <f>IFERROR(__xludf.DUMMYFUNCTION("""COMPUTED_VALUE"""),0.0)</f>
        <v>0</v>
      </c>
    </row>
    <row r="8628">
      <c r="A8628" s="2">
        <f>IFERROR(__xludf.DUMMYFUNCTION("""COMPUTED_VALUE"""),43872.66666666667)</f>
        <v>43872.66667</v>
      </c>
      <c r="B8628" s="1">
        <f>IFERROR(__xludf.DUMMYFUNCTION("""COMPUTED_VALUE"""),3365.87)</f>
        <v>3365.87</v>
      </c>
      <c r="C8628" s="1">
        <f>IFERROR(__xludf.DUMMYFUNCTION("""COMPUTED_VALUE"""),3375.63)</f>
        <v>3375.63</v>
      </c>
      <c r="D8628" s="1">
        <f>IFERROR(__xludf.DUMMYFUNCTION("""COMPUTED_VALUE"""),3352.72)</f>
        <v>3352.72</v>
      </c>
      <c r="E8628" s="1">
        <f>IFERROR(__xludf.DUMMYFUNCTION("""COMPUTED_VALUE"""),3357.75)</f>
        <v>3357.75</v>
      </c>
      <c r="F8628" s="1">
        <f>IFERROR(__xludf.DUMMYFUNCTION("""COMPUTED_VALUE"""),0.0)</f>
        <v>0</v>
      </c>
    </row>
    <row r="8629">
      <c r="A8629" s="2">
        <f>IFERROR(__xludf.DUMMYFUNCTION("""COMPUTED_VALUE"""),43873.66666666667)</f>
        <v>43873.66667</v>
      </c>
      <c r="B8629" s="1">
        <f>IFERROR(__xludf.DUMMYFUNCTION("""COMPUTED_VALUE"""),3370.5)</f>
        <v>3370.5</v>
      </c>
      <c r="C8629" s="1">
        <f>IFERROR(__xludf.DUMMYFUNCTION("""COMPUTED_VALUE"""),3381.47)</f>
        <v>3381.47</v>
      </c>
      <c r="D8629" s="1">
        <f>IFERROR(__xludf.DUMMYFUNCTION("""COMPUTED_VALUE"""),3369.72)</f>
        <v>3369.72</v>
      </c>
      <c r="E8629" s="1">
        <f>IFERROR(__xludf.DUMMYFUNCTION("""COMPUTED_VALUE"""),3379.45)</f>
        <v>3379.45</v>
      </c>
      <c r="F8629" s="1">
        <f>IFERROR(__xludf.DUMMYFUNCTION("""COMPUTED_VALUE"""),0.0)</f>
        <v>0</v>
      </c>
    </row>
    <row r="8630">
      <c r="A8630" s="2">
        <f>IFERROR(__xludf.DUMMYFUNCTION("""COMPUTED_VALUE"""),43874.66666666667)</f>
        <v>43874.66667</v>
      </c>
      <c r="B8630" s="1">
        <f>IFERROR(__xludf.DUMMYFUNCTION("""COMPUTED_VALUE"""),3365.9)</f>
        <v>3365.9</v>
      </c>
      <c r="C8630" s="1">
        <f>IFERROR(__xludf.DUMMYFUNCTION("""COMPUTED_VALUE"""),3385.09)</f>
        <v>3385.09</v>
      </c>
      <c r="D8630" s="1">
        <f>IFERROR(__xludf.DUMMYFUNCTION("""COMPUTED_VALUE"""),3360.52)</f>
        <v>3360.52</v>
      </c>
      <c r="E8630" s="1">
        <f>IFERROR(__xludf.DUMMYFUNCTION("""COMPUTED_VALUE"""),3373.94)</f>
        <v>3373.94</v>
      </c>
      <c r="F8630" s="1">
        <f>IFERROR(__xludf.DUMMYFUNCTION("""COMPUTED_VALUE"""),0.0)</f>
        <v>0</v>
      </c>
    </row>
    <row r="8631">
      <c r="A8631" s="2">
        <f>IFERROR(__xludf.DUMMYFUNCTION("""COMPUTED_VALUE"""),43875.66666666667)</f>
        <v>43875.66667</v>
      </c>
      <c r="B8631" s="1">
        <f>IFERROR(__xludf.DUMMYFUNCTION("""COMPUTED_VALUE"""),3378.08)</f>
        <v>3378.08</v>
      </c>
      <c r="C8631" s="1">
        <f>IFERROR(__xludf.DUMMYFUNCTION("""COMPUTED_VALUE"""),3380.69)</f>
        <v>3380.69</v>
      </c>
      <c r="D8631" s="1">
        <f>IFERROR(__xludf.DUMMYFUNCTION("""COMPUTED_VALUE"""),3366.15)</f>
        <v>3366.15</v>
      </c>
      <c r="E8631" s="1">
        <f>IFERROR(__xludf.DUMMYFUNCTION("""COMPUTED_VALUE"""),3380.16)</f>
        <v>3380.16</v>
      </c>
      <c r="F8631" s="1">
        <f>IFERROR(__xludf.DUMMYFUNCTION("""COMPUTED_VALUE"""),0.0)</f>
        <v>0</v>
      </c>
    </row>
    <row r="8632">
      <c r="A8632" s="2">
        <f>IFERROR(__xludf.DUMMYFUNCTION("""COMPUTED_VALUE"""),43879.66666666667)</f>
        <v>43879.66667</v>
      </c>
      <c r="B8632" s="1">
        <f>IFERROR(__xludf.DUMMYFUNCTION("""COMPUTED_VALUE"""),3369.04)</f>
        <v>3369.04</v>
      </c>
      <c r="C8632" s="1">
        <f>IFERROR(__xludf.DUMMYFUNCTION("""COMPUTED_VALUE"""),3375.01)</f>
        <v>3375.01</v>
      </c>
      <c r="D8632" s="1">
        <f>IFERROR(__xludf.DUMMYFUNCTION("""COMPUTED_VALUE"""),3355.61)</f>
        <v>3355.61</v>
      </c>
      <c r="E8632" s="1">
        <f>IFERROR(__xludf.DUMMYFUNCTION("""COMPUTED_VALUE"""),3370.29)</f>
        <v>3370.29</v>
      </c>
      <c r="F8632" s="1">
        <f>IFERROR(__xludf.DUMMYFUNCTION("""COMPUTED_VALUE"""),0.0)</f>
        <v>0</v>
      </c>
    </row>
    <row r="8633">
      <c r="A8633" s="2">
        <f>IFERROR(__xludf.DUMMYFUNCTION("""COMPUTED_VALUE"""),43880.66666666667)</f>
        <v>43880.66667</v>
      </c>
      <c r="B8633" s="1">
        <f>IFERROR(__xludf.DUMMYFUNCTION("""COMPUTED_VALUE"""),3380.39)</f>
        <v>3380.39</v>
      </c>
      <c r="C8633" s="1">
        <f>IFERROR(__xludf.DUMMYFUNCTION("""COMPUTED_VALUE"""),3393.52)</f>
        <v>3393.52</v>
      </c>
      <c r="D8633" s="1">
        <f>IFERROR(__xludf.DUMMYFUNCTION("""COMPUTED_VALUE"""),3378.83)</f>
        <v>3378.83</v>
      </c>
      <c r="E8633" s="1">
        <f>IFERROR(__xludf.DUMMYFUNCTION("""COMPUTED_VALUE"""),3386.15)</f>
        <v>3386.15</v>
      </c>
      <c r="F8633" s="1">
        <f>IFERROR(__xludf.DUMMYFUNCTION("""COMPUTED_VALUE"""),0.0)</f>
        <v>0</v>
      </c>
    </row>
    <row r="8634">
      <c r="A8634" s="2">
        <f>IFERROR(__xludf.DUMMYFUNCTION("""COMPUTED_VALUE"""),43881.66666666667)</f>
        <v>43881.66667</v>
      </c>
      <c r="B8634" s="1">
        <f>IFERROR(__xludf.DUMMYFUNCTION("""COMPUTED_VALUE"""),3380.45)</f>
        <v>3380.45</v>
      </c>
      <c r="C8634" s="1">
        <f>IFERROR(__xludf.DUMMYFUNCTION("""COMPUTED_VALUE"""),3389.15)</f>
        <v>3389.15</v>
      </c>
      <c r="D8634" s="1">
        <f>IFERROR(__xludf.DUMMYFUNCTION("""COMPUTED_VALUE"""),3341.02)</f>
        <v>3341.02</v>
      </c>
      <c r="E8634" s="1">
        <f>IFERROR(__xludf.DUMMYFUNCTION("""COMPUTED_VALUE"""),3373.23)</f>
        <v>3373.23</v>
      </c>
      <c r="F8634" s="1">
        <f>IFERROR(__xludf.DUMMYFUNCTION("""COMPUTED_VALUE"""),0.0)</f>
        <v>0</v>
      </c>
    </row>
    <row r="8635">
      <c r="A8635" s="2">
        <f>IFERROR(__xludf.DUMMYFUNCTION("""COMPUTED_VALUE"""),43882.66666666667)</f>
        <v>43882.66667</v>
      </c>
      <c r="B8635" s="1">
        <f>IFERROR(__xludf.DUMMYFUNCTION("""COMPUTED_VALUE"""),3360.5)</f>
        <v>3360.5</v>
      </c>
      <c r="C8635" s="1">
        <f>IFERROR(__xludf.DUMMYFUNCTION("""COMPUTED_VALUE"""),3360.76)</f>
        <v>3360.76</v>
      </c>
      <c r="D8635" s="1">
        <f>IFERROR(__xludf.DUMMYFUNCTION("""COMPUTED_VALUE"""),3328.45)</f>
        <v>3328.45</v>
      </c>
      <c r="E8635" s="1">
        <f>IFERROR(__xludf.DUMMYFUNCTION("""COMPUTED_VALUE"""),3337.75)</f>
        <v>3337.75</v>
      </c>
      <c r="F8635" s="1">
        <f>IFERROR(__xludf.DUMMYFUNCTION("""COMPUTED_VALUE"""),0.0)</f>
        <v>0</v>
      </c>
    </row>
    <row r="8636">
      <c r="A8636" s="2">
        <f>IFERROR(__xludf.DUMMYFUNCTION("""COMPUTED_VALUE"""),43885.66666666667)</f>
        <v>43885.66667</v>
      </c>
      <c r="B8636" s="1">
        <f>IFERROR(__xludf.DUMMYFUNCTION("""COMPUTED_VALUE"""),3257.61)</f>
        <v>3257.61</v>
      </c>
      <c r="C8636" s="1">
        <f>IFERROR(__xludf.DUMMYFUNCTION("""COMPUTED_VALUE"""),3259.81)</f>
        <v>3259.81</v>
      </c>
      <c r="D8636" s="1">
        <f>IFERROR(__xludf.DUMMYFUNCTION("""COMPUTED_VALUE"""),3214.65)</f>
        <v>3214.65</v>
      </c>
      <c r="E8636" s="1">
        <f>IFERROR(__xludf.DUMMYFUNCTION("""COMPUTED_VALUE"""),3225.89)</f>
        <v>3225.89</v>
      </c>
      <c r="F8636" s="1">
        <f>IFERROR(__xludf.DUMMYFUNCTION("""COMPUTED_VALUE"""),0.0)</f>
        <v>0</v>
      </c>
    </row>
    <row r="8637">
      <c r="A8637" s="2">
        <f>IFERROR(__xludf.DUMMYFUNCTION("""COMPUTED_VALUE"""),43886.66666666667)</f>
        <v>43886.66667</v>
      </c>
      <c r="B8637" s="1">
        <f>IFERROR(__xludf.DUMMYFUNCTION("""COMPUTED_VALUE"""),3238.94)</f>
        <v>3238.94</v>
      </c>
      <c r="C8637" s="1">
        <f>IFERROR(__xludf.DUMMYFUNCTION("""COMPUTED_VALUE"""),3246.99)</f>
        <v>3246.99</v>
      </c>
      <c r="D8637" s="1">
        <f>IFERROR(__xludf.DUMMYFUNCTION("""COMPUTED_VALUE"""),3118.77)</f>
        <v>3118.77</v>
      </c>
      <c r="E8637" s="1">
        <f>IFERROR(__xludf.DUMMYFUNCTION("""COMPUTED_VALUE"""),3128.21)</f>
        <v>3128.21</v>
      </c>
      <c r="F8637" s="1">
        <f>IFERROR(__xludf.DUMMYFUNCTION("""COMPUTED_VALUE"""),0.0)</f>
        <v>0</v>
      </c>
    </row>
    <row r="8638">
      <c r="A8638" s="2">
        <f>IFERROR(__xludf.DUMMYFUNCTION("""COMPUTED_VALUE"""),43887.66666666667)</f>
        <v>43887.66667</v>
      </c>
      <c r="B8638" s="1">
        <f>IFERROR(__xludf.DUMMYFUNCTION("""COMPUTED_VALUE"""),3139.9)</f>
        <v>3139.9</v>
      </c>
      <c r="C8638" s="1">
        <f>IFERROR(__xludf.DUMMYFUNCTION("""COMPUTED_VALUE"""),3182.51)</f>
        <v>3182.51</v>
      </c>
      <c r="D8638" s="1">
        <f>IFERROR(__xludf.DUMMYFUNCTION("""COMPUTED_VALUE"""),3108.99)</f>
        <v>3108.99</v>
      </c>
      <c r="E8638" s="1">
        <f>IFERROR(__xludf.DUMMYFUNCTION("""COMPUTED_VALUE"""),3116.39)</f>
        <v>3116.39</v>
      </c>
      <c r="F8638" s="1">
        <f>IFERROR(__xludf.DUMMYFUNCTION("""COMPUTED_VALUE"""),0.0)</f>
        <v>0</v>
      </c>
    </row>
    <row r="8639">
      <c r="A8639" s="2">
        <f>IFERROR(__xludf.DUMMYFUNCTION("""COMPUTED_VALUE"""),43888.66666666667)</f>
        <v>43888.66667</v>
      </c>
      <c r="B8639" s="1">
        <f>IFERROR(__xludf.DUMMYFUNCTION("""COMPUTED_VALUE"""),3062.54)</f>
        <v>3062.54</v>
      </c>
      <c r="C8639" s="1">
        <f>IFERROR(__xludf.DUMMYFUNCTION("""COMPUTED_VALUE"""),3097.07)</f>
        <v>3097.07</v>
      </c>
      <c r="D8639" s="1">
        <f>IFERROR(__xludf.DUMMYFUNCTION("""COMPUTED_VALUE"""),2977.39)</f>
        <v>2977.39</v>
      </c>
      <c r="E8639" s="1">
        <f>IFERROR(__xludf.DUMMYFUNCTION("""COMPUTED_VALUE"""),2978.76)</f>
        <v>2978.76</v>
      </c>
      <c r="F8639" s="1">
        <f>IFERROR(__xludf.DUMMYFUNCTION("""COMPUTED_VALUE"""),0.0)</f>
        <v>0</v>
      </c>
    </row>
    <row r="8640">
      <c r="A8640" s="2">
        <f>IFERROR(__xludf.DUMMYFUNCTION("""COMPUTED_VALUE"""),43889.66666666667)</f>
        <v>43889.66667</v>
      </c>
      <c r="B8640" s="1">
        <f>IFERROR(__xludf.DUMMYFUNCTION("""COMPUTED_VALUE"""),2916.9)</f>
        <v>2916.9</v>
      </c>
      <c r="C8640" s="1">
        <f>IFERROR(__xludf.DUMMYFUNCTION("""COMPUTED_VALUE"""),2959.72)</f>
        <v>2959.72</v>
      </c>
      <c r="D8640" s="1">
        <f>IFERROR(__xludf.DUMMYFUNCTION("""COMPUTED_VALUE"""),2855.84)</f>
        <v>2855.84</v>
      </c>
      <c r="E8640" s="1">
        <f>IFERROR(__xludf.DUMMYFUNCTION("""COMPUTED_VALUE"""),2954.22)</f>
        <v>2954.22</v>
      </c>
      <c r="F8640" s="1">
        <f>IFERROR(__xludf.DUMMYFUNCTION("""COMPUTED_VALUE"""),0.0)</f>
        <v>0</v>
      </c>
    </row>
    <row r="8641">
      <c r="A8641" s="2">
        <f>IFERROR(__xludf.DUMMYFUNCTION("""COMPUTED_VALUE"""),43892.66666666667)</f>
        <v>43892.66667</v>
      </c>
      <c r="B8641" s="1">
        <f>IFERROR(__xludf.DUMMYFUNCTION("""COMPUTED_VALUE"""),2974.28)</f>
        <v>2974.28</v>
      </c>
      <c r="C8641" s="1">
        <f>IFERROR(__xludf.DUMMYFUNCTION("""COMPUTED_VALUE"""),3090.96)</f>
        <v>3090.96</v>
      </c>
      <c r="D8641" s="1">
        <f>IFERROR(__xludf.DUMMYFUNCTION("""COMPUTED_VALUE"""),2945.19)</f>
        <v>2945.19</v>
      </c>
      <c r="E8641" s="1">
        <f>IFERROR(__xludf.DUMMYFUNCTION("""COMPUTED_VALUE"""),3090.23)</f>
        <v>3090.23</v>
      </c>
      <c r="F8641" s="1">
        <f>IFERROR(__xludf.DUMMYFUNCTION("""COMPUTED_VALUE"""),0.0)</f>
        <v>0</v>
      </c>
    </row>
    <row r="8642">
      <c r="A8642" s="2">
        <f>IFERROR(__xludf.DUMMYFUNCTION("""COMPUTED_VALUE"""),43893.66666666667)</f>
        <v>43893.66667</v>
      </c>
      <c r="B8642" s="1">
        <f>IFERROR(__xludf.DUMMYFUNCTION("""COMPUTED_VALUE"""),3096.46)</f>
        <v>3096.46</v>
      </c>
      <c r="C8642" s="1">
        <f>IFERROR(__xludf.DUMMYFUNCTION("""COMPUTED_VALUE"""),3136.72)</f>
        <v>3136.72</v>
      </c>
      <c r="D8642" s="1">
        <f>IFERROR(__xludf.DUMMYFUNCTION("""COMPUTED_VALUE"""),2976.63)</f>
        <v>2976.63</v>
      </c>
      <c r="E8642" s="1">
        <f>IFERROR(__xludf.DUMMYFUNCTION("""COMPUTED_VALUE"""),3003.37)</f>
        <v>3003.37</v>
      </c>
      <c r="F8642" s="1">
        <f>IFERROR(__xludf.DUMMYFUNCTION("""COMPUTED_VALUE"""),0.0)</f>
        <v>0</v>
      </c>
    </row>
    <row r="8643">
      <c r="A8643" s="2">
        <f>IFERROR(__xludf.DUMMYFUNCTION("""COMPUTED_VALUE"""),43894.66666666667)</f>
        <v>43894.66667</v>
      </c>
      <c r="B8643" s="1">
        <f>IFERROR(__xludf.DUMMYFUNCTION("""COMPUTED_VALUE"""),3045.75)</f>
        <v>3045.75</v>
      </c>
      <c r="C8643" s="1">
        <f>IFERROR(__xludf.DUMMYFUNCTION("""COMPUTED_VALUE"""),3130.97)</f>
        <v>3130.97</v>
      </c>
      <c r="D8643" s="1">
        <f>IFERROR(__xludf.DUMMYFUNCTION("""COMPUTED_VALUE"""),3034.38)</f>
        <v>3034.38</v>
      </c>
      <c r="E8643" s="1">
        <f>IFERROR(__xludf.DUMMYFUNCTION("""COMPUTED_VALUE"""),3130.12)</f>
        <v>3130.12</v>
      </c>
      <c r="F8643" s="1">
        <f>IFERROR(__xludf.DUMMYFUNCTION("""COMPUTED_VALUE"""),0.0)</f>
        <v>0</v>
      </c>
    </row>
    <row r="8644">
      <c r="A8644" s="2">
        <f>IFERROR(__xludf.DUMMYFUNCTION("""COMPUTED_VALUE"""),43895.66666666667)</f>
        <v>43895.66667</v>
      </c>
      <c r="B8644" s="1">
        <f>IFERROR(__xludf.DUMMYFUNCTION("""COMPUTED_VALUE"""),3075.7)</f>
        <v>3075.7</v>
      </c>
      <c r="C8644" s="1">
        <f>IFERROR(__xludf.DUMMYFUNCTION("""COMPUTED_VALUE"""),3083.04)</f>
        <v>3083.04</v>
      </c>
      <c r="D8644" s="1">
        <f>IFERROR(__xludf.DUMMYFUNCTION("""COMPUTED_VALUE"""),2999.83)</f>
        <v>2999.83</v>
      </c>
      <c r="E8644" s="1">
        <f>IFERROR(__xludf.DUMMYFUNCTION("""COMPUTED_VALUE"""),3023.94)</f>
        <v>3023.94</v>
      </c>
      <c r="F8644" s="1">
        <f>IFERROR(__xludf.DUMMYFUNCTION("""COMPUTED_VALUE"""),0.0)</f>
        <v>0</v>
      </c>
    </row>
    <row r="8645">
      <c r="A8645" s="2">
        <f>IFERROR(__xludf.DUMMYFUNCTION("""COMPUTED_VALUE"""),43896.66666666667)</f>
        <v>43896.66667</v>
      </c>
      <c r="B8645" s="1">
        <f>IFERROR(__xludf.DUMMYFUNCTION("""COMPUTED_VALUE"""),2954.2)</f>
        <v>2954.2</v>
      </c>
      <c r="C8645" s="1">
        <f>IFERROR(__xludf.DUMMYFUNCTION("""COMPUTED_VALUE"""),2985.93)</f>
        <v>2985.93</v>
      </c>
      <c r="D8645" s="1">
        <f>IFERROR(__xludf.DUMMYFUNCTION("""COMPUTED_VALUE"""),2901.54)</f>
        <v>2901.54</v>
      </c>
      <c r="E8645" s="1">
        <f>IFERROR(__xludf.DUMMYFUNCTION("""COMPUTED_VALUE"""),2972.37)</f>
        <v>2972.37</v>
      </c>
      <c r="F8645" s="1">
        <f>IFERROR(__xludf.DUMMYFUNCTION("""COMPUTED_VALUE"""),0.0)</f>
        <v>0</v>
      </c>
    </row>
    <row r="8646">
      <c r="A8646" s="2">
        <f>IFERROR(__xludf.DUMMYFUNCTION("""COMPUTED_VALUE"""),43899.66666666667)</f>
        <v>43899.66667</v>
      </c>
      <c r="B8646" s="1">
        <f>IFERROR(__xludf.DUMMYFUNCTION("""COMPUTED_VALUE"""),2863.89)</f>
        <v>2863.89</v>
      </c>
      <c r="C8646" s="1">
        <f>IFERROR(__xludf.DUMMYFUNCTION("""COMPUTED_VALUE"""),2863.89)</f>
        <v>2863.89</v>
      </c>
      <c r="D8646" s="1">
        <f>IFERROR(__xludf.DUMMYFUNCTION("""COMPUTED_VALUE"""),2734.43)</f>
        <v>2734.43</v>
      </c>
      <c r="E8646" s="1">
        <f>IFERROR(__xludf.DUMMYFUNCTION("""COMPUTED_VALUE"""),2746.56)</f>
        <v>2746.56</v>
      </c>
      <c r="F8646" s="1">
        <f>IFERROR(__xludf.DUMMYFUNCTION("""COMPUTED_VALUE"""),0.0)</f>
        <v>0</v>
      </c>
    </row>
    <row r="8647">
      <c r="A8647" s="2">
        <f>IFERROR(__xludf.DUMMYFUNCTION("""COMPUTED_VALUE"""),43900.66666666667)</f>
        <v>43900.66667</v>
      </c>
      <c r="B8647" s="1">
        <f>IFERROR(__xludf.DUMMYFUNCTION("""COMPUTED_VALUE"""),2813.48)</f>
        <v>2813.48</v>
      </c>
      <c r="C8647" s="1">
        <f>IFERROR(__xludf.DUMMYFUNCTION("""COMPUTED_VALUE"""),2882.59)</f>
        <v>2882.59</v>
      </c>
      <c r="D8647" s="1">
        <f>IFERROR(__xludf.DUMMYFUNCTION("""COMPUTED_VALUE"""),2734.0)</f>
        <v>2734</v>
      </c>
      <c r="E8647" s="1">
        <f>IFERROR(__xludf.DUMMYFUNCTION("""COMPUTED_VALUE"""),2882.23)</f>
        <v>2882.23</v>
      </c>
      <c r="F8647" s="1">
        <f>IFERROR(__xludf.DUMMYFUNCTION("""COMPUTED_VALUE"""),0.0)</f>
        <v>0</v>
      </c>
    </row>
    <row r="8648">
      <c r="A8648" s="2">
        <f>IFERROR(__xludf.DUMMYFUNCTION("""COMPUTED_VALUE"""),43901.66666666667)</f>
        <v>43901.66667</v>
      </c>
      <c r="B8648" s="1">
        <f>IFERROR(__xludf.DUMMYFUNCTION("""COMPUTED_VALUE"""),2825.6)</f>
        <v>2825.6</v>
      </c>
      <c r="C8648" s="1">
        <f>IFERROR(__xludf.DUMMYFUNCTION("""COMPUTED_VALUE"""),2825.6)</f>
        <v>2825.6</v>
      </c>
      <c r="D8648" s="1">
        <f>IFERROR(__xludf.DUMMYFUNCTION("""COMPUTED_VALUE"""),2707.22)</f>
        <v>2707.22</v>
      </c>
      <c r="E8648" s="1">
        <f>IFERROR(__xludf.DUMMYFUNCTION("""COMPUTED_VALUE"""),2741.38)</f>
        <v>2741.38</v>
      </c>
      <c r="F8648" s="1">
        <f>IFERROR(__xludf.DUMMYFUNCTION("""COMPUTED_VALUE"""),0.0)</f>
        <v>0</v>
      </c>
    </row>
    <row r="8649">
      <c r="A8649" s="2">
        <f>IFERROR(__xludf.DUMMYFUNCTION("""COMPUTED_VALUE"""),43902.66666666667)</f>
        <v>43902.66667</v>
      </c>
      <c r="B8649" s="1">
        <f>IFERROR(__xludf.DUMMYFUNCTION("""COMPUTED_VALUE"""),2630.86)</f>
        <v>2630.86</v>
      </c>
      <c r="C8649" s="1">
        <f>IFERROR(__xludf.DUMMYFUNCTION("""COMPUTED_VALUE"""),2660.95)</f>
        <v>2660.95</v>
      </c>
      <c r="D8649" s="1">
        <f>IFERROR(__xludf.DUMMYFUNCTION("""COMPUTED_VALUE"""),2478.86)</f>
        <v>2478.86</v>
      </c>
      <c r="E8649" s="1">
        <f>IFERROR(__xludf.DUMMYFUNCTION("""COMPUTED_VALUE"""),2480.64)</f>
        <v>2480.64</v>
      </c>
      <c r="F8649" s="1">
        <f>IFERROR(__xludf.DUMMYFUNCTION("""COMPUTED_VALUE"""),0.0)</f>
        <v>0</v>
      </c>
    </row>
    <row r="8650">
      <c r="A8650" s="2">
        <f>IFERROR(__xludf.DUMMYFUNCTION("""COMPUTED_VALUE"""),43903.66666666667)</f>
        <v>43903.66667</v>
      </c>
      <c r="B8650" s="1">
        <f>IFERROR(__xludf.DUMMYFUNCTION("""COMPUTED_VALUE"""),2569.99)</f>
        <v>2569.99</v>
      </c>
      <c r="C8650" s="1">
        <f>IFERROR(__xludf.DUMMYFUNCTION("""COMPUTED_VALUE"""),2711.33)</f>
        <v>2711.33</v>
      </c>
      <c r="D8650" s="1">
        <f>IFERROR(__xludf.DUMMYFUNCTION("""COMPUTED_VALUE"""),2492.37)</f>
        <v>2492.37</v>
      </c>
      <c r="E8650" s="1">
        <f>IFERROR(__xludf.DUMMYFUNCTION("""COMPUTED_VALUE"""),2711.02)</f>
        <v>2711.02</v>
      </c>
      <c r="F8650" s="1">
        <f>IFERROR(__xludf.DUMMYFUNCTION("""COMPUTED_VALUE"""),0.0)</f>
        <v>0</v>
      </c>
    </row>
    <row r="8651">
      <c r="A8651" s="2">
        <f>IFERROR(__xludf.DUMMYFUNCTION("""COMPUTED_VALUE"""),43906.66666666667)</f>
        <v>43906.66667</v>
      </c>
      <c r="B8651" s="1">
        <f>IFERROR(__xludf.DUMMYFUNCTION("""COMPUTED_VALUE"""),2508.59)</f>
        <v>2508.59</v>
      </c>
      <c r="C8651" s="1">
        <f>IFERROR(__xludf.DUMMYFUNCTION("""COMPUTED_VALUE"""),2562.98)</f>
        <v>2562.98</v>
      </c>
      <c r="D8651" s="1">
        <f>IFERROR(__xludf.DUMMYFUNCTION("""COMPUTED_VALUE"""),2380.94)</f>
        <v>2380.94</v>
      </c>
      <c r="E8651" s="1">
        <f>IFERROR(__xludf.DUMMYFUNCTION("""COMPUTED_VALUE"""),2386.13)</f>
        <v>2386.13</v>
      </c>
      <c r="F8651" s="1">
        <f>IFERROR(__xludf.DUMMYFUNCTION("""COMPUTED_VALUE"""),0.0)</f>
        <v>0</v>
      </c>
    </row>
    <row r="8652">
      <c r="A8652" s="2">
        <f>IFERROR(__xludf.DUMMYFUNCTION("""COMPUTED_VALUE"""),43907.66666666667)</f>
        <v>43907.66667</v>
      </c>
      <c r="B8652" s="1">
        <f>IFERROR(__xludf.DUMMYFUNCTION("""COMPUTED_VALUE"""),2425.66)</f>
        <v>2425.66</v>
      </c>
      <c r="C8652" s="1">
        <f>IFERROR(__xludf.DUMMYFUNCTION("""COMPUTED_VALUE"""),2553.93)</f>
        <v>2553.93</v>
      </c>
      <c r="D8652" s="1">
        <f>IFERROR(__xludf.DUMMYFUNCTION("""COMPUTED_VALUE"""),2367.04)</f>
        <v>2367.04</v>
      </c>
      <c r="E8652" s="1">
        <f>IFERROR(__xludf.DUMMYFUNCTION("""COMPUTED_VALUE"""),2529.19)</f>
        <v>2529.19</v>
      </c>
      <c r="F8652" s="1">
        <f>IFERROR(__xludf.DUMMYFUNCTION("""COMPUTED_VALUE"""),0.0)</f>
        <v>0</v>
      </c>
    </row>
    <row r="8653">
      <c r="A8653" s="2">
        <f>IFERROR(__xludf.DUMMYFUNCTION("""COMPUTED_VALUE"""),43908.66666666667)</f>
        <v>43908.66667</v>
      </c>
      <c r="B8653" s="1">
        <f>IFERROR(__xludf.DUMMYFUNCTION("""COMPUTED_VALUE"""),2436.5)</f>
        <v>2436.5</v>
      </c>
      <c r="C8653" s="1">
        <f>IFERROR(__xludf.DUMMYFUNCTION("""COMPUTED_VALUE"""),2453.57)</f>
        <v>2453.57</v>
      </c>
      <c r="D8653" s="1">
        <f>IFERROR(__xludf.DUMMYFUNCTION("""COMPUTED_VALUE"""),2280.52)</f>
        <v>2280.52</v>
      </c>
      <c r="E8653" s="1">
        <f>IFERROR(__xludf.DUMMYFUNCTION("""COMPUTED_VALUE"""),2398.1)</f>
        <v>2398.1</v>
      </c>
      <c r="F8653" s="1">
        <f>IFERROR(__xludf.DUMMYFUNCTION("""COMPUTED_VALUE"""),0.0)</f>
        <v>0</v>
      </c>
    </row>
    <row r="8654">
      <c r="A8654" s="2">
        <f>IFERROR(__xludf.DUMMYFUNCTION("""COMPUTED_VALUE"""),43909.66666666667)</f>
        <v>43909.66667</v>
      </c>
      <c r="B8654" s="1">
        <f>IFERROR(__xludf.DUMMYFUNCTION("""COMPUTED_VALUE"""),2393.48)</f>
        <v>2393.48</v>
      </c>
      <c r="C8654" s="1">
        <f>IFERROR(__xludf.DUMMYFUNCTION("""COMPUTED_VALUE"""),2466.97)</f>
        <v>2466.97</v>
      </c>
      <c r="D8654" s="1">
        <f>IFERROR(__xludf.DUMMYFUNCTION("""COMPUTED_VALUE"""),2319.78)</f>
        <v>2319.78</v>
      </c>
      <c r="E8654" s="1">
        <f>IFERROR(__xludf.DUMMYFUNCTION("""COMPUTED_VALUE"""),2409.39)</f>
        <v>2409.39</v>
      </c>
      <c r="F8654" s="1">
        <f>IFERROR(__xludf.DUMMYFUNCTION("""COMPUTED_VALUE"""),0.0)</f>
        <v>0</v>
      </c>
    </row>
    <row r="8655">
      <c r="A8655" s="2">
        <f>IFERROR(__xludf.DUMMYFUNCTION("""COMPUTED_VALUE"""),43910.66666666667)</f>
        <v>43910.66667</v>
      </c>
      <c r="B8655" s="1">
        <f>IFERROR(__xludf.DUMMYFUNCTION("""COMPUTED_VALUE"""),2431.94)</f>
        <v>2431.94</v>
      </c>
      <c r="C8655" s="1">
        <f>IFERROR(__xludf.DUMMYFUNCTION("""COMPUTED_VALUE"""),2453.01)</f>
        <v>2453.01</v>
      </c>
      <c r="D8655" s="1">
        <f>IFERROR(__xludf.DUMMYFUNCTION("""COMPUTED_VALUE"""),2295.56)</f>
        <v>2295.56</v>
      </c>
      <c r="E8655" s="1">
        <f>IFERROR(__xludf.DUMMYFUNCTION("""COMPUTED_VALUE"""),2304.92)</f>
        <v>2304.92</v>
      </c>
      <c r="F8655" s="1">
        <f>IFERROR(__xludf.DUMMYFUNCTION("""COMPUTED_VALUE"""),0.0)</f>
        <v>0</v>
      </c>
    </row>
    <row r="8656">
      <c r="A8656" s="2">
        <f>IFERROR(__xludf.DUMMYFUNCTION("""COMPUTED_VALUE"""),43913.66666666667)</f>
        <v>43913.66667</v>
      </c>
      <c r="B8656" s="1">
        <f>IFERROR(__xludf.DUMMYFUNCTION("""COMPUTED_VALUE"""),2290.71)</f>
        <v>2290.71</v>
      </c>
      <c r="C8656" s="1">
        <f>IFERROR(__xludf.DUMMYFUNCTION("""COMPUTED_VALUE"""),2300.73)</f>
        <v>2300.73</v>
      </c>
      <c r="D8656" s="1">
        <f>IFERROR(__xludf.DUMMYFUNCTION("""COMPUTED_VALUE"""),2191.86)</f>
        <v>2191.86</v>
      </c>
      <c r="E8656" s="1">
        <f>IFERROR(__xludf.DUMMYFUNCTION("""COMPUTED_VALUE"""),2237.4)</f>
        <v>2237.4</v>
      </c>
      <c r="F8656" s="1">
        <f>IFERROR(__xludf.DUMMYFUNCTION("""COMPUTED_VALUE"""),0.0)</f>
        <v>0</v>
      </c>
    </row>
    <row r="8657">
      <c r="A8657" s="2">
        <f>IFERROR(__xludf.DUMMYFUNCTION("""COMPUTED_VALUE"""),43914.66666666667)</f>
        <v>43914.66667</v>
      </c>
      <c r="B8657" s="1">
        <f>IFERROR(__xludf.DUMMYFUNCTION("""COMPUTED_VALUE"""),2344.44)</f>
        <v>2344.44</v>
      </c>
      <c r="C8657" s="1">
        <f>IFERROR(__xludf.DUMMYFUNCTION("""COMPUTED_VALUE"""),2449.71)</f>
        <v>2449.71</v>
      </c>
      <c r="D8657" s="1">
        <f>IFERROR(__xludf.DUMMYFUNCTION("""COMPUTED_VALUE"""),2344.44)</f>
        <v>2344.44</v>
      </c>
      <c r="E8657" s="1">
        <f>IFERROR(__xludf.DUMMYFUNCTION("""COMPUTED_VALUE"""),2447.33)</f>
        <v>2447.33</v>
      </c>
      <c r="F8657" s="1">
        <f>IFERROR(__xludf.DUMMYFUNCTION("""COMPUTED_VALUE"""),0.0)</f>
        <v>0</v>
      </c>
    </row>
    <row r="8658">
      <c r="A8658" s="2">
        <f>IFERROR(__xludf.DUMMYFUNCTION("""COMPUTED_VALUE"""),43915.66666666667)</f>
        <v>43915.66667</v>
      </c>
      <c r="B8658" s="1">
        <f>IFERROR(__xludf.DUMMYFUNCTION("""COMPUTED_VALUE"""),2457.77)</f>
        <v>2457.77</v>
      </c>
      <c r="C8658" s="1">
        <f>IFERROR(__xludf.DUMMYFUNCTION("""COMPUTED_VALUE"""),2571.42)</f>
        <v>2571.42</v>
      </c>
      <c r="D8658" s="1">
        <f>IFERROR(__xludf.DUMMYFUNCTION("""COMPUTED_VALUE"""),2407.53)</f>
        <v>2407.53</v>
      </c>
      <c r="E8658" s="1">
        <f>IFERROR(__xludf.DUMMYFUNCTION("""COMPUTED_VALUE"""),2475.56)</f>
        <v>2475.56</v>
      </c>
      <c r="F8658" s="1">
        <f>IFERROR(__xludf.DUMMYFUNCTION("""COMPUTED_VALUE"""),0.0)</f>
        <v>0</v>
      </c>
    </row>
    <row r="8659">
      <c r="A8659" s="2">
        <f>IFERROR(__xludf.DUMMYFUNCTION("""COMPUTED_VALUE"""),43916.66666666667)</f>
        <v>43916.66667</v>
      </c>
      <c r="B8659" s="1">
        <f>IFERROR(__xludf.DUMMYFUNCTION("""COMPUTED_VALUE"""),2501.29)</f>
        <v>2501.29</v>
      </c>
      <c r="C8659" s="1">
        <f>IFERROR(__xludf.DUMMYFUNCTION("""COMPUTED_VALUE"""),2637.01)</f>
        <v>2637.01</v>
      </c>
      <c r="D8659" s="1">
        <f>IFERROR(__xludf.DUMMYFUNCTION("""COMPUTED_VALUE"""),2500.72)</f>
        <v>2500.72</v>
      </c>
      <c r="E8659" s="1">
        <f>IFERROR(__xludf.DUMMYFUNCTION("""COMPUTED_VALUE"""),2630.07)</f>
        <v>2630.07</v>
      </c>
      <c r="F8659" s="1">
        <f>IFERROR(__xludf.DUMMYFUNCTION("""COMPUTED_VALUE"""),0.0)</f>
        <v>0</v>
      </c>
    </row>
    <row r="8660">
      <c r="A8660" s="2">
        <f>IFERROR(__xludf.DUMMYFUNCTION("""COMPUTED_VALUE"""),43917.66666666667)</f>
        <v>43917.66667</v>
      </c>
      <c r="B8660" s="1">
        <f>IFERROR(__xludf.DUMMYFUNCTION("""COMPUTED_VALUE"""),2555.87)</f>
        <v>2555.87</v>
      </c>
      <c r="C8660" s="1">
        <f>IFERROR(__xludf.DUMMYFUNCTION("""COMPUTED_VALUE"""),2615.91)</f>
        <v>2615.91</v>
      </c>
      <c r="D8660" s="1">
        <f>IFERROR(__xludf.DUMMYFUNCTION("""COMPUTED_VALUE"""),2520.02)</f>
        <v>2520.02</v>
      </c>
      <c r="E8660" s="1">
        <f>IFERROR(__xludf.DUMMYFUNCTION("""COMPUTED_VALUE"""),2541.47)</f>
        <v>2541.47</v>
      </c>
      <c r="F8660" s="1">
        <f>IFERROR(__xludf.DUMMYFUNCTION("""COMPUTED_VALUE"""),0.0)</f>
        <v>0</v>
      </c>
    </row>
    <row r="8661">
      <c r="A8661" s="2">
        <f>IFERROR(__xludf.DUMMYFUNCTION("""COMPUTED_VALUE"""),43920.66666666667)</f>
        <v>43920.66667</v>
      </c>
      <c r="B8661" s="1">
        <f>IFERROR(__xludf.DUMMYFUNCTION("""COMPUTED_VALUE"""),2558.98)</f>
        <v>2558.98</v>
      </c>
      <c r="C8661" s="1">
        <f>IFERROR(__xludf.DUMMYFUNCTION("""COMPUTED_VALUE"""),2631.8)</f>
        <v>2631.8</v>
      </c>
      <c r="D8661" s="1">
        <f>IFERROR(__xludf.DUMMYFUNCTION("""COMPUTED_VALUE"""),2545.28)</f>
        <v>2545.28</v>
      </c>
      <c r="E8661" s="1">
        <f>IFERROR(__xludf.DUMMYFUNCTION("""COMPUTED_VALUE"""),2626.65)</f>
        <v>2626.65</v>
      </c>
      <c r="F8661" s="1">
        <f>IFERROR(__xludf.DUMMYFUNCTION("""COMPUTED_VALUE"""),0.0)</f>
        <v>0</v>
      </c>
    </row>
    <row r="8662">
      <c r="A8662" s="2">
        <f>IFERROR(__xludf.DUMMYFUNCTION("""COMPUTED_VALUE"""),43921.66666666667)</f>
        <v>43921.66667</v>
      </c>
      <c r="B8662" s="1">
        <f>IFERROR(__xludf.DUMMYFUNCTION("""COMPUTED_VALUE"""),2614.69)</f>
        <v>2614.69</v>
      </c>
      <c r="C8662" s="1">
        <f>IFERROR(__xludf.DUMMYFUNCTION("""COMPUTED_VALUE"""),2641.39)</f>
        <v>2641.39</v>
      </c>
      <c r="D8662" s="1">
        <f>IFERROR(__xludf.DUMMYFUNCTION("""COMPUTED_VALUE"""),2571.15)</f>
        <v>2571.15</v>
      </c>
      <c r="E8662" s="1">
        <f>IFERROR(__xludf.DUMMYFUNCTION("""COMPUTED_VALUE"""),2584.59)</f>
        <v>2584.59</v>
      </c>
      <c r="F8662" s="1">
        <f>IFERROR(__xludf.DUMMYFUNCTION("""COMPUTED_VALUE"""),0.0)</f>
        <v>0</v>
      </c>
    </row>
    <row r="8663">
      <c r="A8663" s="2">
        <f>IFERROR(__xludf.DUMMYFUNCTION("""COMPUTED_VALUE"""),43922.66666666667)</f>
        <v>43922.66667</v>
      </c>
      <c r="B8663" s="1">
        <f>IFERROR(__xludf.DUMMYFUNCTION("""COMPUTED_VALUE"""),2498.08)</f>
        <v>2498.08</v>
      </c>
      <c r="C8663" s="1">
        <f>IFERROR(__xludf.DUMMYFUNCTION("""COMPUTED_VALUE"""),2522.75)</f>
        <v>2522.75</v>
      </c>
      <c r="D8663" s="1">
        <f>IFERROR(__xludf.DUMMYFUNCTION("""COMPUTED_VALUE"""),2447.49)</f>
        <v>2447.49</v>
      </c>
      <c r="E8663" s="1">
        <f>IFERROR(__xludf.DUMMYFUNCTION("""COMPUTED_VALUE"""),2470.5)</f>
        <v>2470.5</v>
      </c>
      <c r="F8663" s="1">
        <f>IFERROR(__xludf.DUMMYFUNCTION("""COMPUTED_VALUE"""),0.0)</f>
        <v>0</v>
      </c>
    </row>
    <row r="8664">
      <c r="A8664" s="2">
        <f>IFERROR(__xludf.DUMMYFUNCTION("""COMPUTED_VALUE"""),43923.66666666667)</f>
        <v>43923.66667</v>
      </c>
      <c r="B8664" s="1">
        <f>IFERROR(__xludf.DUMMYFUNCTION("""COMPUTED_VALUE"""),2458.54)</f>
        <v>2458.54</v>
      </c>
      <c r="C8664" s="1">
        <f>IFERROR(__xludf.DUMMYFUNCTION("""COMPUTED_VALUE"""),2533.22)</f>
        <v>2533.22</v>
      </c>
      <c r="D8664" s="1">
        <f>IFERROR(__xludf.DUMMYFUNCTION("""COMPUTED_VALUE"""),2455.79)</f>
        <v>2455.79</v>
      </c>
      <c r="E8664" s="1">
        <f>IFERROR(__xludf.DUMMYFUNCTION("""COMPUTED_VALUE"""),2526.9)</f>
        <v>2526.9</v>
      </c>
      <c r="F8664" s="1">
        <f>IFERROR(__xludf.DUMMYFUNCTION("""COMPUTED_VALUE"""),0.0)</f>
        <v>0</v>
      </c>
    </row>
    <row r="8665">
      <c r="A8665" s="2">
        <f>IFERROR(__xludf.DUMMYFUNCTION("""COMPUTED_VALUE"""),43924.66666666667)</f>
        <v>43924.66667</v>
      </c>
      <c r="B8665" s="1">
        <f>IFERROR(__xludf.DUMMYFUNCTION("""COMPUTED_VALUE"""),2514.92)</f>
        <v>2514.92</v>
      </c>
      <c r="C8665" s="1">
        <f>IFERROR(__xludf.DUMMYFUNCTION("""COMPUTED_VALUE"""),2538.18)</f>
        <v>2538.18</v>
      </c>
      <c r="D8665" s="1">
        <f>IFERROR(__xludf.DUMMYFUNCTION("""COMPUTED_VALUE"""),2459.96)</f>
        <v>2459.96</v>
      </c>
      <c r="E8665" s="1">
        <f>IFERROR(__xludf.DUMMYFUNCTION("""COMPUTED_VALUE"""),2488.65)</f>
        <v>2488.65</v>
      </c>
      <c r="F8665" s="1">
        <f>IFERROR(__xludf.DUMMYFUNCTION("""COMPUTED_VALUE"""),0.0)</f>
        <v>0</v>
      </c>
    </row>
    <row r="8666">
      <c r="A8666" s="2">
        <f>IFERROR(__xludf.DUMMYFUNCTION("""COMPUTED_VALUE"""),43927.66666666667)</f>
        <v>43927.66667</v>
      </c>
      <c r="B8666" s="1">
        <f>IFERROR(__xludf.DUMMYFUNCTION("""COMPUTED_VALUE"""),2578.28)</f>
        <v>2578.28</v>
      </c>
      <c r="C8666" s="1">
        <f>IFERROR(__xludf.DUMMYFUNCTION("""COMPUTED_VALUE"""),2676.85)</f>
        <v>2676.85</v>
      </c>
      <c r="D8666" s="1">
        <f>IFERROR(__xludf.DUMMYFUNCTION("""COMPUTED_VALUE"""),2574.57)</f>
        <v>2574.57</v>
      </c>
      <c r="E8666" s="1">
        <f>IFERROR(__xludf.DUMMYFUNCTION("""COMPUTED_VALUE"""),2663.68)</f>
        <v>2663.68</v>
      </c>
      <c r="F8666" s="1">
        <f>IFERROR(__xludf.DUMMYFUNCTION("""COMPUTED_VALUE"""),0.0)</f>
        <v>0</v>
      </c>
    </row>
    <row r="8667">
      <c r="A8667" s="2">
        <f>IFERROR(__xludf.DUMMYFUNCTION("""COMPUTED_VALUE"""),43928.66666666667)</f>
        <v>43928.66667</v>
      </c>
      <c r="B8667" s="1">
        <f>IFERROR(__xludf.DUMMYFUNCTION("""COMPUTED_VALUE"""),2738.65)</f>
        <v>2738.65</v>
      </c>
      <c r="C8667" s="1">
        <f>IFERROR(__xludf.DUMMYFUNCTION("""COMPUTED_VALUE"""),2756.89)</f>
        <v>2756.89</v>
      </c>
      <c r="D8667" s="1">
        <f>IFERROR(__xludf.DUMMYFUNCTION("""COMPUTED_VALUE"""),2657.67)</f>
        <v>2657.67</v>
      </c>
      <c r="E8667" s="1">
        <f>IFERROR(__xludf.DUMMYFUNCTION("""COMPUTED_VALUE"""),2659.41)</f>
        <v>2659.41</v>
      </c>
      <c r="F8667" s="1">
        <f>IFERROR(__xludf.DUMMYFUNCTION("""COMPUTED_VALUE"""),0.0)</f>
        <v>0</v>
      </c>
    </row>
    <row r="8668">
      <c r="A8668" s="2">
        <f>IFERROR(__xludf.DUMMYFUNCTION("""COMPUTED_VALUE"""),43929.66666666667)</f>
        <v>43929.66667</v>
      </c>
      <c r="B8668" s="1">
        <f>IFERROR(__xludf.DUMMYFUNCTION("""COMPUTED_VALUE"""),2685.0)</f>
        <v>2685</v>
      </c>
      <c r="C8668" s="1">
        <f>IFERROR(__xludf.DUMMYFUNCTION("""COMPUTED_VALUE"""),2760.75)</f>
        <v>2760.75</v>
      </c>
      <c r="D8668" s="1">
        <f>IFERROR(__xludf.DUMMYFUNCTION("""COMPUTED_VALUE"""),2663.3)</f>
        <v>2663.3</v>
      </c>
      <c r="E8668" s="1">
        <f>IFERROR(__xludf.DUMMYFUNCTION("""COMPUTED_VALUE"""),2749.98)</f>
        <v>2749.98</v>
      </c>
      <c r="F8668" s="1">
        <f>IFERROR(__xludf.DUMMYFUNCTION("""COMPUTED_VALUE"""),0.0)</f>
        <v>0</v>
      </c>
    </row>
    <row r="8669">
      <c r="A8669" s="2">
        <f>IFERROR(__xludf.DUMMYFUNCTION("""COMPUTED_VALUE"""),43930.66666666667)</f>
        <v>43930.66667</v>
      </c>
      <c r="B8669" s="1">
        <f>IFERROR(__xludf.DUMMYFUNCTION("""COMPUTED_VALUE"""),2766.99)</f>
        <v>2766.99</v>
      </c>
      <c r="C8669" s="1">
        <f>IFERROR(__xludf.DUMMYFUNCTION("""COMPUTED_VALUE"""),2818.57)</f>
        <v>2818.57</v>
      </c>
      <c r="D8669" s="1">
        <f>IFERROR(__xludf.DUMMYFUNCTION("""COMPUTED_VALUE"""),2762.36)</f>
        <v>2762.36</v>
      </c>
      <c r="E8669" s="1">
        <f>IFERROR(__xludf.DUMMYFUNCTION("""COMPUTED_VALUE"""),2789.82)</f>
        <v>2789.82</v>
      </c>
      <c r="F8669" s="1">
        <f>IFERROR(__xludf.DUMMYFUNCTION("""COMPUTED_VALUE"""),0.0)</f>
        <v>0</v>
      </c>
    </row>
    <row r="8670">
      <c r="A8670" s="2">
        <f>IFERROR(__xludf.DUMMYFUNCTION("""COMPUTED_VALUE"""),43934.66666666667)</f>
        <v>43934.66667</v>
      </c>
      <c r="B8670" s="1">
        <f>IFERROR(__xludf.DUMMYFUNCTION("""COMPUTED_VALUE"""),2776.99)</f>
        <v>2776.99</v>
      </c>
      <c r="C8670" s="1">
        <f>IFERROR(__xludf.DUMMYFUNCTION("""COMPUTED_VALUE"""),2818.57)</f>
        <v>2818.57</v>
      </c>
      <c r="D8670" s="1">
        <f>IFERROR(__xludf.DUMMYFUNCTION("""COMPUTED_VALUE"""),2721.17)</f>
        <v>2721.17</v>
      </c>
      <c r="E8670" s="1">
        <f>IFERROR(__xludf.DUMMYFUNCTION("""COMPUTED_VALUE"""),2761.63)</f>
        <v>2761.63</v>
      </c>
      <c r="F8670" s="1">
        <f>IFERROR(__xludf.DUMMYFUNCTION("""COMPUTED_VALUE"""),0.0)</f>
        <v>0</v>
      </c>
    </row>
    <row r="8671">
      <c r="A8671" s="2">
        <f>IFERROR(__xludf.DUMMYFUNCTION("""COMPUTED_VALUE"""),43935.66666666667)</f>
        <v>43935.66667</v>
      </c>
      <c r="B8671" s="1">
        <f>IFERROR(__xludf.DUMMYFUNCTION("""COMPUTED_VALUE"""),2805.1)</f>
        <v>2805.1</v>
      </c>
      <c r="C8671" s="1">
        <f>IFERROR(__xludf.DUMMYFUNCTION("""COMPUTED_VALUE"""),2851.85)</f>
        <v>2851.85</v>
      </c>
      <c r="D8671" s="1">
        <f>IFERROR(__xludf.DUMMYFUNCTION("""COMPUTED_VALUE"""),2805.1)</f>
        <v>2805.1</v>
      </c>
      <c r="E8671" s="1">
        <f>IFERROR(__xludf.DUMMYFUNCTION("""COMPUTED_VALUE"""),2846.06)</f>
        <v>2846.06</v>
      </c>
      <c r="F8671" s="1">
        <f>IFERROR(__xludf.DUMMYFUNCTION("""COMPUTED_VALUE"""),0.0)</f>
        <v>0</v>
      </c>
    </row>
    <row r="8672">
      <c r="A8672" s="2">
        <f>IFERROR(__xludf.DUMMYFUNCTION("""COMPUTED_VALUE"""),43936.66666666667)</f>
        <v>43936.66667</v>
      </c>
      <c r="B8672" s="1">
        <f>IFERROR(__xludf.DUMMYFUNCTION("""COMPUTED_VALUE"""),2795.64)</f>
        <v>2795.64</v>
      </c>
      <c r="C8672" s="1">
        <f>IFERROR(__xludf.DUMMYFUNCTION("""COMPUTED_VALUE"""),2801.88)</f>
        <v>2801.88</v>
      </c>
      <c r="D8672" s="1">
        <f>IFERROR(__xludf.DUMMYFUNCTION("""COMPUTED_VALUE"""),2761.54)</f>
        <v>2761.54</v>
      </c>
      <c r="E8672" s="1">
        <f>IFERROR(__xludf.DUMMYFUNCTION("""COMPUTED_VALUE"""),2783.36)</f>
        <v>2783.36</v>
      </c>
      <c r="F8672" s="1">
        <f>IFERROR(__xludf.DUMMYFUNCTION("""COMPUTED_VALUE"""),0.0)</f>
        <v>0</v>
      </c>
    </row>
    <row r="8673">
      <c r="A8673" s="2">
        <f>IFERROR(__xludf.DUMMYFUNCTION("""COMPUTED_VALUE"""),43937.66666666667)</f>
        <v>43937.66667</v>
      </c>
      <c r="B8673" s="1">
        <f>IFERROR(__xludf.DUMMYFUNCTION("""COMPUTED_VALUE"""),2799.34)</f>
        <v>2799.34</v>
      </c>
      <c r="C8673" s="1">
        <f>IFERROR(__xludf.DUMMYFUNCTION("""COMPUTED_VALUE"""),2806.51)</f>
        <v>2806.51</v>
      </c>
      <c r="D8673" s="1">
        <f>IFERROR(__xludf.DUMMYFUNCTION("""COMPUTED_VALUE"""),2764.32)</f>
        <v>2764.32</v>
      </c>
      <c r="E8673" s="1">
        <f>IFERROR(__xludf.DUMMYFUNCTION("""COMPUTED_VALUE"""),2799.55)</f>
        <v>2799.55</v>
      </c>
      <c r="F8673" s="1">
        <f>IFERROR(__xludf.DUMMYFUNCTION("""COMPUTED_VALUE"""),0.0)</f>
        <v>0</v>
      </c>
    </row>
    <row r="8674">
      <c r="A8674" s="2">
        <f>IFERROR(__xludf.DUMMYFUNCTION("""COMPUTED_VALUE"""),43938.66666666667)</f>
        <v>43938.66667</v>
      </c>
      <c r="B8674" s="1">
        <f>IFERROR(__xludf.DUMMYFUNCTION("""COMPUTED_VALUE"""),2842.43)</f>
        <v>2842.43</v>
      </c>
      <c r="C8674" s="1">
        <f>IFERROR(__xludf.DUMMYFUNCTION("""COMPUTED_VALUE"""),2879.22)</f>
        <v>2879.22</v>
      </c>
      <c r="D8674" s="1">
        <f>IFERROR(__xludf.DUMMYFUNCTION("""COMPUTED_VALUE"""),2830.88)</f>
        <v>2830.88</v>
      </c>
      <c r="E8674" s="1">
        <f>IFERROR(__xludf.DUMMYFUNCTION("""COMPUTED_VALUE"""),2874.56)</f>
        <v>2874.56</v>
      </c>
      <c r="F8674" s="1">
        <f>IFERROR(__xludf.DUMMYFUNCTION("""COMPUTED_VALUE"""),0.0)</f>
        <v>0</v>
      </c>
    </row>
    <row r="8675">
      <c r="A8675" s="2">
        <f>IFERROR(__xludf.DUMMYFUNCTION("""COMPUTED_VALUE"""),43941.66666666667)</f>
        <v>43941.66667</v>
      </c>
      <c r="B8675" s="1">
        <f>IFERROR(__xludf.DUMMYFUNCTION("""COMPUTED_VALUE"""),2845.62)</f>
        <v>2845.62</v>
      </c>
      <c r="C8675" s="1">
        <f>IFERROR(__xludf.DUMMYFUNCTION("""COMPUTED_VALUE"""),2868.98)</f>
        <v>2868.98</v>
      </c>
      <c r="D8675" s="1">
        <f>IFERROR(__xludf.DUMMYFUNCTION("""COMPUTED_VALUE"""),2820.43)</f>
        <v>2820.43</v>
      </c>
      <c r="E8675" s="1">
        <f>IFERROR(__xludf.DUMMYFUNCTION("""COMPUTED_VALUE"""),2823.16)</f>
        <v>2823.16</v>
      </c>
      <c r="F8675" s="1">
        <f>IFERROR(__xludf.DUMMYFUNCTION("""COMPUTED_VALUE"""),0.0)</f>
        <v>0</v>
      </c>
    </row>
    <row r="8676">
      <c r="A8676" s="2">
        <f>IFERROR(__xludf.DUMMYFUNCTION("""COMPUTED_VALUE"""),43942.66666666667)</f>
        <v>43942.66667</v>
      </c>
      <c r="B8676" s="1">
        <f>IFERROR(__xludf.DUMMYFUNCTION("""COMPUTED_VALUE"""),2784.81)</f>
        <v>2784.81</v>
      </c>
      <c r="C8676" s="1">
        <f>IFERROR(__xludf.DUMMYFUNCTION("""COMPUTED_VALUE"""),2785.54)</f>
        <v>2785.54</v>
      </c>
      <c r="D8676" s="1">
        <f>IFERROR(__xludf.DUMMYFUNCTION("""COMPUTED_VALUE"""),2727.1)</f>
        <v>2727.1</v>
      </c>
      <c r="E8676" s="1">
        <f>IFERROR(__xludf.DUMMYFUNCTION("""COMPUTED_VALUE"""),2736.56)</f>
        <v>2736.56</v>
      </c>
      <c r="F8676" s="1">
        <f>IFERROR(__xludf.DUMMYFUNCTION("""COMPUTED_VALUE"""),0.0)</f>
        <v>0</v>
      </c>
    </row>
    <row r="8677">
      <c r="A8677" s="2">
        <f>IFERROR(__xludf.DUMMYFUNCTION("""COMPUTED_VALUE"""),43943.66666666667)</f>
        <v>43943.66667</v>
      </c>
      <c r="B8677" s="1">
        <f>IFERROR(__xludf.DUMMYFUNCTION("""COMPUTED_VALUE"""),2787.89)</f>
        <v>2787.89</v>
      </c>
      <c r="C8677" s="1">
        <f>IFERROR(__xludf.DUMMYFUNCTION("""COMPUTED_VALUE"""),2815.1)</f>
        <v>2815.1</v>
      </c>
      <c r="D8677" s="1">
        <f>IFERROR(__xludf.DUMMYFUNCTION("""COMPUTED_VALUE"""),2775.95)</f>
        <v>2775.95</v>
      </c>
      <c r="E8677" s="1">
        <f>IFERROR(__xludf.DUMMYFUNCTION("""COMPUTED_VALUE"""),2799.31)</f>
        <v>2799.31</v>
      </c>
      <c r="F8677" s="1">
        <f>IFERROR(__xludf.DUMMYFUNCTION("""COMPUTED_VALUE"""),0.0)</f>
        <v>0</v>
      </c>
    </row>
    <row r="8678">
      <c r="A8678" s="2">
        <f>IFERROR(__xludf.DUMMYFUNCTION("""COMPUTED_VALUE"""),43944.66666666667)</f>
        <v>43944.66667</v>
      </c>
      <c r="B8678" s="1">
        <f>IFERROR(__xludf.DUMMYFUNCTION("""COMPUTED_VALUE"""),2810.42)</f>
        <v>2810.42</v>
      </c>
      <c r="C8678" s="1">
        <f>IFERROR(__xludf.DUMMYFUNCTION("""COMPUTED_VALUE"""),2844.9)</f>
        <v>2844.9</v>
      </c>
      <c r="D8678" s="1">
        <f>IFERROR(__xludf.DUMMYFUNCTION("""COMPUTED_VALUE"""),2794.26)</f>
        <v>2794.26</v>
      </c>
      <c r="E8678" s="1">
        <f>IFERROR(__xludf.DUMMYFUNCTION("""COMPUTED_VALUE"""),2797.8)</f>
        <v>2797.8</v>
      </c>
      <c r="F8678" s="1">
        <f>IFERROR(__xludf.DUMMYFUNCTION("""COMPUTED_VALUE"""),0.0)</f>
        <v>0</v>
      </c>
    </row>
    <row r="8679">
      <c r="A8679" s="2">
        <f>IFERROR(__xludf.DUMMYFUNCTION("""COMPUTED_VALUE"""),43945.66666666667)</f>
        <v>43945.66667</v>
      </c>
      <c r="B8679" s="1">
        <f>IFERROR(__xludf.DUMMYFUNCTION("""COMPUTED_VALUE"""),2812.64)</f>
        <v>2812.64</v>
      </c>
      <c r="C8679" s="1">
        <f>IFERROR(__xludf.DUMMYFUNCTION("""COMPUTED_VALUE"""),2842.71)</f>
        <v>2842.71</v>
      </c>
      <c r="D8679" s="1">
        <f>IFERROR(__xludf.DUMMYFUNCTION("""COMPUTED_VALUE"""),2791.76)</f>
        <v>2791.76</v>
      </c>
      <c r="E8679" s="1">
        <f>IFERROR(__xludf.DUMMYFUNCTION("""COMPUTED_VALUE"""),2836.74)</f>
        <v>2836.74</v>
      </c>
      <c r="F8679" s="1">
        <f>IFERROR(__xludf.DUMMYFUNCTION("""COMPUTED_VALUE"""),0.0)</f>
        <v>0</v>
      </c>
    </row>
    <row r="8680">
      <c r="A8680" s="2">
        <f>IFERROR(__xludf.DUMMYFUNCTION("""COMPUTED_VALUE"""),43948.66666666667)</f>
        <v>43948.66667</v>
      </c>
      <c r="B8680" s="1">
        <f>IFERROR(__xludf.DUMMYFUNCTION("""COMPUTED_VALUE"""),2854.65)</f>
        <v>2854.65</v>
      </c>
      <c r="C8680" s="1">
        <f>IFERROR(__xludf.DUMMYFUNCTION("""COMPUTED_VALUE"""),2887.72)</f>
        <v>2887.72</v>
      </c>
      <c r="D8680" s="1">
        <f>IFERROR(__xludf.DUMMYFUNCTION("""COMPUTED_VALUE"""),2852.89)</f>
        <v>2852.89</v>
      </c>
      <c r="E8680" s="1">
        <f>IFERROR(__xludf.DUMMYFUNCTION("""COMPUTED_VALUE"""),2878.48)</f>
        <v>2878.48</v>
      </c>
      <c r="F8680" s="1">
        <f>IFERROR(__xludf.DUMMYFUNCTION("""COMPUTED_VALUE"""),0.0)</f>
        <v>0</v>
      </c>
    </row>
    <row r="8681">
      <c r="A8681" s="2">
        <f>IFERROR(__xludf.DUMMYFUNCTION("""COMPUTED_VALUE"""),43949.66666666667)</f>
        <v>43949.66667</v>
      </c>
      <c r="B8681" s="1">
        <f>IFERROR(__xludf.DUMMYFUNCTION("""COMPUTED_VALUE"""),2909.96)</f>
        <v>2909.96</v>
      </c>
      <c r="C8681" s="1">
        <f>IFERROR(__xludf.DUMMYFUNCTION("""COMPUTED_VALUE"""),2921.15)</f>
        <v>2921.15</v>
      </c>
      <c r="D8681" s="1">
        <f>IFERROR(__xludf.DUMMYFUNCTION("""COMPUTED_VALUE"""),2860.71)</f>
        <v>2860.71</v>
      </c>
      <c r="E8681" s="1">
        <f>IFERROR(__xludf.DUMMYFUNCTION("""COMPUTED_VALUE"""),2863.39)</f>
        <v>2863.39</v>
      </c>
      <c r="F8681" s="1">
        <f>IFERROR(__xludf.DUMMYFUNCTION("""COMPUTED_VALUE"""),0.0)</f>
        <v>0</v>
      </c>
    </row>
    <row r="8682">
      <c r="A8682" s="2">
        <f>IFERROR(__xludf.DUMMYFUNCTION("""COMPUTED_VALUE"""),43950.66666666667)</f>
        <v>43950.66667</v>
      </c>
      <c r="B8682" s="1">
        <f>IFERROR(__xludf.DUMMYFUNCTION("""COMPUTED_VALUE"""),2918.46)</f>
        <v>2918.46</v>
      </c>
      <c r="C8682" s="1">
        <f>IFERROR(__xludf.DUMMYFUNCTION("""COMPUTED_VALUE"""),2954.86)</f>
        <v>2954.86</v>
      </c>
      <c r="D8682" s="1">
        <f>IFERROR(__xludf.DUMMYFUNCTION("""COMPUTED_VALUE"""),2912.16)</f>
        <v>2912.16</v>
      </c>
      <c r="E8682" s="1">
        <f>IFERROR(__xludf.DUMMYFUNCTION("""COMPUTED_VALUE"""),2939.51)</f>
        <v>2939.51</v>
      </c>
      <c r="F8682" s="1">
        <f>IFERROR(__xludf.DUMMYFUNCTION("""COMPUTED_VALUE"""),0.0)</f>
        <v>0</v>
      </c>
    </row>
    <row r="8683">
      <c r="A8683" s="2">
        <f>IFERROR(__xludf.DUMMYFUNCTION("""COMPUTED_VALUE"""),43951.66666666667)</f>
        <v>43951.66667</v>
      </c>
      <c r="B8683" s="1">
        <f>IFERROR(__xludf.DUMMYFUNCTION("""COMPUTED_VALUE"""),2930.91)</f>
        <v>2930.91</v>
      </c>
      <c r="C8683" s="1">
        <f>IFERROR(__xludf.DUMMYFUNCTION("""COMPUTED_VALUE"""),2930.91)</f>
        <v>2930.91</v>
      </c>
      <c r="D8683" s="1">
        <f>IFERROR(__xludf.DUMMYFUNCTION("""COMPUTED_VALUE"""),2892.47)</f>
        <v>2892.47</v>
      </c>
      <c r="E8683" s="1">
        <f>IFERROR(__xludf.DUMMYFUNCTION("""COMPUTED_VALUE"""),2912.43)</f>
        <v>2912.43</v>
      </c>
      <c r="F8683" s="1">
        <f>IFERROR(__xludf.DUMMYFUNCTION("""COMPUTED_VALUE"""),0.0)</f>
        <v>0</v>
      </c>
    </row>
    <row r="8684">
      <c r="A8684" s="2">
        <f>IFERROR(__xludf.DUMMYFUNCTION("""COMPUTED_VALUE"""),43952.66666666667)</f>
        <v>43952.66667</v>
      </c>
      <c r="B8684" s="1">
        <f>IFERROR(__xludf.DUMMYFUNCTION("""COMPUTED_VALUE"""),2869.09)</f>
        <v>2869.09</v>
      </c>
      <c r="C8684" s="1">
        <f>IFERROR(__xludf.DUMMYFUNCTION("""COMPUTED_VALUE"""),2869.09)</f>
        <v>2869.09</v>
      </c>
      <c r="D8684" s="1">
        <f>IFERROR(__xludf.DUMMYFUNCTION("""COMPUTED_VALUE"""),2821.61)</f>
        <v>2821.61</v>
      </c>
      <c r="E8684" s="1">
        <f>IFERROR(__xludf.DUMMYFUNCTION("""COMPUTED_VALUE"""),2830.71)</f>
        <v>2830.71</v>
      </c>
      <c r="F8684" s="1">
        <f>IFERROR(__xludf.DUMMYFUNCTION("""COMPUTED_VALUE"""),0.0)</f>
        <v>0</v>
      </c>
    </row>
    <row r="8685">
      <c r="A8685" s="2">
        <f>IFERROR(__xludf.DUMMYFUNCTION("""COMPUTED_VALUE"""),43955.66666666667)</f>
        <v>43955.66667</v>
      </c>
      <c r="B8685" s="1">
        <f>IFERROR(__xludf.DUMMYFUNCTION("""COMPUTED_VALUE"""),2815.01)</f>
        <v>2815.01</v>
      </c>
      <c r="C8685" s="1">
        <f>IFERROR(__xludf.DUMMYFUNCTION("""COMPUTED_VALUE"""),2844.24)</f>
        <v>2844.24</v>
      </c>
      <c r="D8685" s="1">
        <f>IFERROR(__xludf.DUMMYFUNCTION("""COMPUTED_VALUE"""),2797.85)</f>
        <v>2797.85</v>
      </c>
      <c r="E8685" s="1">
        <f>IFERROR(__xludf.DUMMYFUNCTION("""COMPUTED_VALUE"""),2842.74)</f>
        <v>2842.74</v>
      </c>
      <c r="F8685" s="1">
        <f>IFERROR(__xludf.DUMMYFUNCTION("""COMPUTED_VALUE"""),0.0)</f>
        <v>0</v>
      </c>
    </row>
    <row r="8686">
      <c r="A8686" s="2">
        <f>IFERROR(__xludf.DUMMYFUNCTION("""COMPUTED_VALUE"""),43956.66666666667)</f>
        <v>43956.66667</v>
      </c>
      <c r="B8686" s="1">
        <f>IFERROR(__xludf.DUMMYFUNCTION("""COMPUTED_VALUE"""),2868.88)</f>
        <v>2868.88</v>
      </c>
      <c r="C8686" s="1">
        <f>IFERROR(__xludf.DUMMYFUNCTION("""COMPUTED_VALUE"""),2898.23)</f>
        <v>2898.23</v>
      </c>
      <c r="D8686" s="1">
        <f>IFERROR(__xludf.DUMMYFUNCTION("""COMPUTED_VALUE"""),2863.55)</f>
        <v>2863.55</v>
      </c>
      <c r="E8686" s="1">
        <f>IFERROR(__xludf.DUMMYFUNCTION("""COMPUTED_VALUE"""),2868.44)</f>
        <v>2868.44</v>
      </c>
      <c r="F8686" s="1">
        <f>IFERROR(__xludf.DUMMYFUNCTION("""COMPUTED_VALUE"""),0.0)</f>
        <v>0</v>
      </c>
    </row>
    <row r="8687">
      <c r="A8687" s="2">
        <f>IFERROR(__xludf.DUMMYFUNCTION("""COMPUTED_VALUE"""),43957.66666666667)</f>
        <v>43957.66667</v>
      </c>
      <c r="B8687" s="1">
        <f>IFERROR(__xludf.DUMMYFUNCTION("""COMPUTED_VALUE"""),2883.14)</f>
        <v>2883.14</v>
      </c>
      <c r="C8687" s="1">
        <f>IFERROR(__xludf.DUMMYFUNCTION("""COMPUTED_VALUE"""),2891.11)</f>
        <v>2891.11</v>
      </c>
      <c r="D8687" s="1">
        <f>IFERROR(__xludf.DUMMYFUNCTION("""COMPUTED_VALUE"""),2847.65)</f>
        <v>2847.65</v>
      </c>
      <c r="E8687" s="1">
        <f>IFERROR(__xludf.DUMMYFUNCTION("""COMPUTED_VALUE"""),2848.42)</f>
        <v>2848.42</v>
      </c>
      <c r="F8687" s="1">
        <f>IFERROR(__xludf.DUMMYFUNCTION("""COMPUTED_VALUE"""),0.0)</f>
        <v>0</v>
      </c>
    </row>
    <row r="8688">
      <c r="A8688" s="2">
        <f>IFERROR(__xludf.DUMMYFUNCTION("""COMPUTED_VALUE"""),43958.66666666667)</f>
        <v>43958.66667</v>
      </c>
      <c r="B8688" s="1">
        <f>IFERROR(__xludf.DUMMYFUNCTION("""COMPUTED_VALUE"""),2878.26)</f>
        <v>2878.26</v>
      </c>
      <c r="C8688" s="1">
        <f>IFERROR(__xludf.DUMMYFUNCTION("""COMPUTED_VALUE"""),2901.92)</f>
        <v>2901.92</v>
      </c>
      <c r="D8688" s="1">
        <f>IFERROR(__xludf.DUMMYFUNCTION("""COMPUTED_VALUE"""),2876.48)</f>
        <v>2876.48</v>
      </c>
      <c r="E8688" s="1">
        <f>IFERROR(__xludf.DUMMYFUNCTION("""COMPUTED_VALUE"""),2881.19)</f>
        <v>2881.19</v>
      </c>
      <c r="F8688" s="1">
        <f>IFERROR(__xludf.DUMMYFUNCTION("""COMPUTED_VALUE"""),0.0)</f>
        <v>0</v>
      </c>
    </row>
    <row r="8689">
      <c r="A8689" s="2">
        <f>IFERROR(__xludf.DUMMYFUNCTION("""COMPUTED_VALUE"""),43959.66666666667)</f>
        <v>43959.66667</v>
      </c>
      <c r="B8689" s="1">
        <f>IFERROR(__xludf.DUMMYFUNCTION("""COMPUTED_VALUE"""),2908.83)</f>
        <v>2908.83</v>
      </c>
      <c r="C8689" s="1">
        <f>IFERROR(__xludf.DUMMYFUNCTION("""COMPUTED_VALUE"""),2932.16)</f>
        <v>2932.16</v>
      </c>
      <c r="D8689" s="1">
        <f>IFERROR(__xludf.DUMMYFUNCTION("""COMPUTED_VALUE"""),2902.88)</f>
        <v>2902.88</v>
      </c>
      <c r="E8689" s="1">
        <f>IFERROR(__xludf.DUMMYFUNCTION("""COMPUTED_VALUE"""),2929.8)</f>
        <v>2929.8</v>
      </c>
      <c r="F8689" s="1">
        <f>IFERROR(__xludf.DUMMYFUNCTION("""COMPUTED_VALUE"""),0.0)</f>
        <v>0</v>
      </c>
    </row>
    <row r="8690">
      <c r="A8690" s="2">
        <f>IFERROR(__xludf.DUMMYFUNCTION("""COMPUTED_VALUE"""),43962.66666666667)</f>
        <v>43962.66667</v>
      </c>
      <c r="B8690" s="1">
        <f>IFERROR(__xludf.DUMMYFUNCTION("""COMPUTED_VALUE"""),2915.46)</f>
        <v>2915.46</v>
      </c>
      <c r="C8690" s="1">
        <f>IFERROR(__xludf.DUMMYFUNCTION("""COMPUTED_VALUE"""),2944.25)</f>
        <v>2944.25</v>
      </c>
      <c r="D8690" s="1">
        <f>IFERROR(__xludf.DUMMYFUNCTION("""COMPUTED_VALUE"""),2903.44)</f>
        <v>2903.44</v>
      </c>
      <c r="E8690" s="1">
        <f>IFERROR(__xludf.DUMMYFUNCTION("""COMPUTED_VALUE"""),2930.32)</f>
        <v>2930.32</v>
      </c>
      <c r="F8690" s="1">
        <f>IFERROR(__xludf.DUMMYFUNCTION("""COMPUTED_VALUE"""),0.0)</f>
        <v>0</v>
      </c>
    </row>
    <row r="8691">
      <c r="A8691" s="2">
        <f>IFERROR(__xludf.DUMMYFUNCTION("""COMPUTED_VALUE"""),43963.66666666667)</f>
        <v>43963.66667</v>
      </c>
      <c r="B8691" s="1">
        <f>IFERROR(__xludf.DUMMYFUNCTION("""COMPUTED_VALUE"""),2939.5)</f>
        <v>2939.5</v>
      </c>
      <c r="C8691" s="1">
        <f>IFERROR(__xludf.DUMMYFUNCTION("""COMPUTED_VALUE"""),2945.82)</f>
        <v>2945.82</v>
      </c>
      <c r="D8691" s="1">
        <f>IFERROR(__xludf.DUMMYFUNCTION("""COMPUTED_VALUE"""),2869.59)</f>
        <v>2869.59</v>
      </c>
      <c r="E8691" s="1">
        <f>IFERROR(__xludf.DUMMYFUNCTION("""COMPUTED_VALUE"""),2870.12)</f>
        <v>2870.12</v>
      </c>
      <c r="F8691" s="1">
        <f>IFERROR(__xludf.DUMMYFUNCTION("""COMPUTED_VALUE"""),0.0)</f>
        <v>0</v>
      </c>
    </row>
    <row r="8692">
      <c r="A8692" s="2">
        <f>IFERROR(__xludf.DUMMYFUNCTION("""COMPUTED_VALUE"""),43964.66666666667)</f>
        <v>43964.66667</v>
      </c>
      <c r="B8692" s="1">
        <f>IFERROR(__xludf.DUMMYFUNCTION("""COMPUTED_VALUE"""),2865.86)</f>
        <v>2865.86</v>
      </c>
      <c r="C8692" s="1">
        <f>IFERROR(__xludf.DUMMYFUNCTION("""COMPUTED_VALUE"""),2874.14)</f>
        <v>2874.14</v>
      </c>
      <c r="D8692" s="1">
        <f>IFERROR(__xludf.DUMMYFUNCTION("""COMPUTED_VALUE"""),2793.15)</f>
        <v>2793.15</v>
      </c>
      <c r="E8692" s="1">
        <f>IFERROR(__xludf.DUMMYFUNCTION("""COMPUTED_VALUE"""),2820.0)</f>
        <v>2820</v>
      </c>
      <c r="F8692" s="1">
        <f>IFERROR(__xludf.DUMMYFUNCTION("""COMPUTED_VALUE"""),0.0)</f>
        <v>0</v>
      </c>
    </row>
    <row r="8693">
      <c r="A8693" s="2">
        <f>IFERROR(__xludf.DUMMYFUNCTION("""COMPUTED_VALUE"""),43965.66666666667)</f>
        <v>43965.66667</v>
      </c>
      <c r="B8693" s="1">
        <f>IFERROR(__xludf.DUMMYFUNCTION("""COMPUTED_VALUE"""),2794.54)</f>
        <v>2794.54</v>
      </c>
      <c r="C8693" s="1">
        <f>IFERROR(__xludf.DUMMYFUNCTION("""COMPUTED_VALUE"""),2852.8)</f>
        <v>2852.8</v>
      </c>
      <c r="D8693" s="1">
        <f>IFERROR(__xludf.DUMMYFUNCTION("""COMPUTED_VALUE"""),2766.64)</f>
        <v>2766.64</v>
      </c>
      <c r="E8693" s="1">
        <f>IFERROR(__xludf.DUMMYFUNCTION("""COMPUTED_VALUE"""),2852.5)</f>
        <v>2852.5</v>
      </c>
      <c r="F8693" s="1">
        <f>IFERROR(__xludf.DUMMYFUNCTION("""COMPUTED_VALUE"""),0.0)</f>
        <v>0</v>
      </c>
    </row>
    <row r="8694">
      <c r="A8694" s="2">
        <f>IFERROR(__xludf.DUMMYFUNCTION("""COMPUTED_VALUE"""),43966.66666666667)</f>
        <v>43966.66667</v>
      </c>
      <c r="B8694" s="1">
        <f>IFERROR(__xludf.DUMMYFUNCTION("""COMPUTED_VALUE"""),2829.95)</f>
        <v>2829.95</v>
      </c>
      <c r="C8694" s="1">
        <f>IFERROR(__xludf.DUMMYFUNCTION("""COMPUTED_VALUE"""),2865.01)</f>
        <v>2865.01</v>
      </c>
      <c r="D8694" s="1">
        <f>IFERROR(__xludf.DUMMYFUNCTION("""COMPUTED_VALUE"""),2816.78)</f>
        <v>2816.78</v>
      </c>
      <c r="E8694" s="1">
        <f>IFERROR(__xludf.DUMMYFUNCTION("""COMPUTED_VALUE"""),2863.7)</f>
        <v>2863.7</v>
      </c>
      <c r="F8694" s="1">
        <f>IFERROR(__xludf.DUMMYFUNCTION("""COMPUTED_VALUE"""),0.0)</f>
        <v>0</v>
      </c>
    </row>
    <row r="8695">
      <c r="A8695" s="2">
        <f>IFERROR(__xludf.DUMMYFUNCTION("""COMPUTED_VALUE"""),43969.66666666667)</f>
        <v>43969.66667</v>
      </c>
      <c r="B8695" s="1">
        <f>IFERROR(__xludf.DUMMYFUNCTION("""COMPUTED_VALUE"""),2913.86)</f>
        <v>2913.86</v>
      </c>
      <c r="C8695" s="1">
        <f>IFERROR(__xludf.DUMMYFUNCTION("""COMPUTED_VALUE"""),2968.09)</f>
        <v>2968.09</v>
      </c>
      <c r="D8695" s="1">
        <f>IFERROR(__xludf.DUMMYFUNCTION("""COMPUTED_VALUE"""),2913.86)</f>
        <v>2913.86</v>
      </c>
      <c r="E8695" s="1">
        <f>IFERROR(__xludf.DUMMYFUNCTION("""COMPUTED_VALUE"""),2953.91)</f>
        <v>2953.91</v>
      </c>
      <c r="F8695" s="1">
        <f>IFERROR(__xludf.DUMMYFUNCTION("""COMPUTED_VALUE"""),0.0)</f>
        <v>0</v>
      </c>
    </row>
    <row r="8696">
      <c r="A8696" s="2">
        <f>IFERROR(__xludf.DUMMYFUNCTION("""COMPUTED_VALUE"""),43970.66666666667)</f>
        <v>43970.66667</v>
      </c>
      <c r="B8696" s="1">
        <f>IFERROR(__xludf.DUMMYFUNCTION("""COMPUTED_VALUE"""),2948.59)</f>
        <v>2948.59</v>
      </c>
      <c r="C8696" s="1">
        <f>IFERROR(__xludf.DUMMYFUNCTION("""COMPUTED_VALUE"""),2964.21)</f>
        <v>2964.21</v>
      </c>
      <c r="D8696" s="1">
        <f>IFERROR(__xludf.DUMMYFUNCTION("""COMPUTED_VALUE"""),2922.35)</f>
        <v>2922.35</v>
      </c>
      <c r="E8696" s="1">
        <f>IFERROR(__xludf.DUMMYFUNCTION("""COMPUTED_VALUE"""),2922.94)</f>
        <v>2922.94</v>
      </c>
      <c r="F8696" s="1">
        <f>IFERROR(__xludf.DUMMYFUNCTION("""COMPUTED_VALUE"""),0.0)</f>
        <v>0</v>
      </c>
    </row>
    <row r="8697">
      <c r="A8697" s="2">
        <f>IFERROR(__xludf.DUMMYFUNCTION("""COMPUTED_VALUE"""),43971.66666666667)</f>
        <v>43971.66667</v>
      </c>
      <c r="B8697" s="1">
        <f>IFERROR(__xludf.DUMMYFUNCTION("""COMPUTED_VALUE"""),2953.63)</f>
        <v>2953.63</v>
      </c>
      <c r="C8697" s="1">
        <f>IFERROR(__xludf.DUMMYFUNCTION("""COMPUTED_VALUE"""),2980.29)</f>
        <v>2980.29</v>
      </c>
      <c r="D8697" s="1">
        <f>IFERROR(__xludf.DUMMYFUNCTION("""COMPUTED_VALUE"""),2953.63)</f>
        <v>2953.63</v>
      </c>
      <c r="E8697" s="1">
        <f>IFERROR(__xludf.DUMMYFUNCTION("""COMPUTED_VALUE"""),2971.61)</f>
        <v>2971.61</v>
      </c>
      <c r="F8697" s="1">
        <f>IFERROR(__xludf.DUMMYFUNCTION("""COMPUTED_VALUE"""),0.0)</f>
        <v>0</v>
      </c>
    </row>
    <row r="8698">
      <c r="A8698" s="2">
        <f>IFERROR(__xludf.DUMMYFUNCTION("""COMPUTED_VALUE"""),43972.66666666667)</f>
        <v>43972.66667</v>
      </c>
      <c r="B8698" s="1">
        <f>IFERROR(__xludf.DUMMYFUNCTION("""COMPUTED_VALUE"""),2969.95)</f>
        <v>2969.95</v>
      </c>
      <c r="C8698" s="1">
        <f>IFERROR(__xludf.DUMMYFUNCTION("""COMPUTED_VALUE"""),2978.5)</f>
        <v>2978.5</v>
      </c>
      <c r="D8698" s="1">
        <f>IFERROR(__xludf.DUMMYFUNCTION("""COMPUTED_VALUE"""),2938.57)</f>
        <v>2938.57</v>
      </c>
      <c r="E8698" s="1">
        <f>IFERROR(__xludf.DUMMYFUNCTION("""COMPUTED_VALUE"""),2948.51)</f>
        <v>2948.51</v>
      </c>
      <c r="F8698" s="1">
        <f>IFERROR(__xludf.DUMMYFUNCTION("""COMPUTED_VALUE"""),0.0)</f>
        <v>0</v>
      </c>
    </row>
    <row r="8699">
      <c r="A8699" s="2">
        <f>IFERROR(__xludf.DUMMYFUNCTION("""COMPUTED_VALUE"""),43973.66666666667)</f>
        <v>43973.66667</v>
      </c>
      <c r="B8699" s="1">
        <f>IFERROR(__xludf.DUMMYFUNCTION("""COMPUTED_VALUE"""),2948.05)</f>
        <v>2948.05</v>
      </c>
      <c r="C8699" s="1">
        <f>IFERROR(__xludf.DUMMYFUNCTION("""COMPUTED_VALUE"""),2956.76)</f>
        <v>2956.76</v>
      </c>
      <c r="D8699" s="1">
        <f>IFERROR(__xludf.DUMMYFUNCTION("""COMPUTED_VALUE"""),2933.59)</f>
        <v>2933.59</v>
      </c>
      <c r="E8699" s="1">
        <f>IFERROR(__xludf.DUMMYFUNCTION("""COMPUTED_VALUE"""),2955.45)</f>
        <v>2955.45</v>
      </c>
      <c r="F8699" s="1">
        <f>IFERROR(__xludf.DUMMYFUNCTION("""COMPUTED_VALUE"""),0.0)</f>
        <v>0</v>
      </c>
    </row>
    <row r="8700">
      <c r="A8700" s="2">
        <f>IFERROR(__xludf.DUMMYFUNCTION("""COMPUTED_VALUE"""),43977.66666666667)</f>
        <v>43977.66667</v>
      </c>
      <c r="B8700" s="1">
        <f>IFERROR(__xludf.DUMMYFUNCTION("""COMPUTED_VALUE"""),3004.08)</f>
        <v>3004.08</v>
      </c>
      <c r="C8700" s="1">
        <f>IFERROR(__xludf.DUMMYFUNCTION("""COMPUTED_VALUE"""),3021.72)</f>
        <v>3021.72</v>
      </c>
      <c r="D8700" s="1">
        <f>IFERROR(__xludf.DUMMYFUNCTION("""COMPUTED_VALUE"""),2988.17)</f>
        <v>2988.17</v>
      </c>
      <c r="E8700" s="1">
        <f>IFERROR(__xludf.DUMMYFUNCTION("""COMPUTED_VALUE"""),2991.77)</f>
        <v>2991.77</v>
      </c>
      <c r="F8700" s="1">
        <f>IFERROR(__xludf.DUMMYFUNCTION("""COMPUTED_VALUE"""),0.0)</f>
        <v>0</v>
      </c>
    </row>
    <row r="8701">
      <c r="A8701" s="2">
        <f>IFERROR(__xludf.DUMMYFUNCTION("""COMPUTED_VALUE"""),43978.66666666667)</f>
        <v>43978.66667</v>
      </c>
      <c r="B8701" s="1">
        <f>IFERROR(__xludf.DUMMYFUNCTION("""COMPUTED_VALUE"""),3015.65)</f>
        <v>3015.65</v>
      </c>
      <c r="C8701" s="1">
        <f>IFERROR(__xludf.DUMMYFUNCTION("""COMPUTED_VALUE"""),3036.25)</f>
        <v>3036.25</v>
      </c>
      <c r="D8701" s="1">
        <f>IFERROR(__xludf.DUMMYFUNCTION("""COMPUTED_VALUE"""),2969.75)</f>
        <v>2969.75</v>
      </c>
      <c r="E8701" s="1">
        <f>IFERROR(__xludf.DUMMYFUNCTION("""COMPUTED_VALUE"""),3036.13)</f>
        <v>3036.13</v>
      </c>
      <c r="F8701" s="1">
        <f>IFERROR(__xludf.DUMMYFUNCTION("""COMPUTED_VALUE"""),0.0)</f>
        <v>0</v>
      </c>
    </row>
    <row r="8702">
      <c r="A8702" s="2">
        <f>IFERROR(__xludf.DUMMYFUNCTION("""COMPUTED_VALUE"""),43979.66666666667)</f>
        <v>43979.66667</v>
      </c>
      <c r="B8702" s="1">
        <f>IFERROR(__xludf.DUMMYFUNCTION("""COMPUTED_VALUE"""),3046.61)</f>
        <v>3046.61</v>
      </c>
      <c r="C8702" s="1">
        <f>IFERROR(__xludf.DUMMYFUNCTION("""COMPUTED_VALUE"""),3068.67)</f>
        <v>3068.67</v>
      </c>
      <c r="D8702" s="1">
        <f>IFERROR(__xludf.DUMMYFUNCTION("""COMPUTED_VALUE"""),3023.4)</f>
        <v>3023.4</v>
      </c>
      <c r="E8702" s="1">
        <f>IFERROR(__xludf.DUMMYFUNCTION("""COMPUTED_VALUE"""),3029.73)</f>
        <v>3029.73</v>
      </c>
      <c r="F8702" s="1">
        <f>IFERROR(__xludf.DUMMYFUNCTION("""COMPUTED_VALUE"""),0.0)</f>
        <v>0</v>
      </c>
    </row>
    <row r="8703">
      <c r="A8703" s="2">
        <f>IFERROR(__xludf.DUMMYFUNCTION("""COMPUTED_VALUE"""),43980.66666666667)</f>
        <v>43980.66667</v>
      </c>
      <c r="B8703" s="1">
        <f>IFERROR(__xludf.DUMMYFUNCTION("""COMPUTED_VALUE"""),3025.17)</f>
        <v>3025.17</v>
      </c>
      <c r="C8703" s="1">
        <f>IFERROR(__xludf.DUMMYFUNCTION("""COMPUTED_VALUE"""),3049.17)</f>
        <v>3049.17</v>
      </c>
      <c r="D8703" s="1">
        <f>IFERROR(__xludf.DUMMYFUNCTION("""COMPUTED_VALUE"""),2998.61)</f>
        <v>2998.61</v>
      </c>
      <c r="E8703" s="1">
        <f>IFERROR(__xludf.DUMMYFUNCTION("""COMPUTED_VALUE"""),3044.31)</f>
        <v>3044.31</v>
      </c>
      <c r="F8703" s="1">
        <f>IFERROR(__xludf.DUMMYFUNCTION("""COMPUTED_VALUE"""),0.0)</f>
        <v>0</v>
      </c>
    </row>
    <row r="8704">
      <c r="A8704" s="2">
        <f>IFERROR(__xludf.DUMMYFUNCTION("""COMPUTED_VALUE"""),43983.66666666667)</f>
        <v>43983.66667</v>
      </c>
      <c r="B8704" s="1">
        <f>IFERROR(__xludf.DUMMYFUNCTION("""COMPUTED_VALUE"""),3038.78)</f>
        <v>3038.78</v>
      </c>
      <c r="C8704" s="1">
        <f>IFERROR(__xludf.DUMMYFUNCTION("""COMPUTED_VALUE"""),3062.18)</f>
        <v>3062.18</v>
      </c>
      <c r="D8704" s="1">
        <f>IFERROR(__xludf.DUMMYFUNCTION("""COMPUTED_VALUE"""),3031.54)</f>
        <v>3031.54</v>
      </c>
      <c r="E8704" s="1">
        <f>IFERROR(__xludf.DUMMYFUNCTION("""COMPUTED_VALUE"""),3055.73)</f>
        <v>3055.73</v>
      </c>
      <c r="F8704" s="1">
        <f>IFERROR(__xludf.DUMMYFUNCTION("""COMPUTED_VALUE"""),0.0)</f>
        <v>0</v>
      </c>
    </row>
    <row r="8705">
      <c r="A8705" s="2">
        <f>IFERROR(__xludf.DUMMYFUNCTION("""COMPUTED_VALUE"""),43984.66666666667)</f>
        <v>43984.66667</v>
      </c>
      <c r="B8705" s="1">
        <f>IFERROR(__xludf.DUMMYFUNCTION("""COMPUTED_VALUE"""),3064.78)</f>
        <v>3064.78</v>
      </c>
      <c r="C8705" s="1">
        <f>IFERROR(__xludf.DUMMYFUNCTION("""COMPUTED_VALUE"""),3081.07)</f>
        <v>3081.07</v>
      </c>
      <c r="D8705" s="1">
        <f>IFERROR(__xludf.DUMMYFUNCTION("""COMPUTED_VALUE"""),3051.64)</f>
        <v>3051.64</v>
      </c>
      <c r="E8705" s="1">
        <f>IFERROR(__xludf.DUMMYFUNCTION("""COMPUTED_VALUE"""),3080.82)</f>
        <v>3080.82</v>
      </c>
      <c r="F8705" s="1">
        <f>IFERROR(__xludf.DUMMYFUNCTION("""COMPUTED_VALUE"""),0.0)</f>
        <v>0</v>
      </c>
    </row>
    <row r="8706">
      <c r="A8706" s="2">
        <f>IFERROR(__xludf.DUMMYFUNCTION("""COMPUTED_VALUE"""),43985.66666666667)</f>
        <v>43985.66667</v>
      </c>
      <c r="B8706" s="1">
        <f>IFERROR(__xludf.DUMMYFUNCTION("""COMPUTED_VALUE"""),3098.9)</f>
        <v>3098.9</v>
      </c>
      <c r="C8706" s="1">
        <f>IFERROR(__xludf.DUMMYFUNCTION("""COMPUTED_VALUE"""),3130.94)</f>
        <v>3130.94</v>
      </c>
      <c r="D8706" s="1">
        <f>IFERROR(__xludf.DUMMYFUNCTION("""COMPUTED_VALUE"""),3098.9)</f>
        <v>3098.9</v>
      </c>
      <c r="E8706" s="1">
        <f>IFERROR(__xludf.DUMMYFUNCTION("""COMPUTED_VALUE"""),3122.87)</f>
        <v>3122.87</v>
      </c>
      <c r="F8706" s="1">
        <f>IFERROR(__xludf.DUMMYFUNCTION("""COMPUTED_VALUE"""),0.0)</f>
        <v>0</v>
      </c>
    </row>
    <row r="8707">
      <c r="A8707" s="2">
        <f>IFERROR(__xludf.DUMMYFUNCTION("""COMPUTED_VALUE"""),43986.66666666667)</f>
        <v>43986.66667</v>
      </c>
      <c r="B8707" s="1">
        <f>IFERROR(__xludf.DUMMYFUNCTION("""COMPUTED_VALUE"""),3111.56)</f>
        <v>3111.56</v>
      </c>
      <c r="C8707" s="1">
        <f>IFERROR(__xludf.DUMMYFUNCTION("""COMPUTED_VALUE"""),3128.91)</f>
        <v>3128.91</v>
      </c>
      <c r="D8707" s="1">
        <f>IFERROR(__xludf.DUMMYFUNCTION("""COMPUTED_VALUE"""),3090.41)</f>
        <v>3090.41</v>
      </c>
      <c r="E8707" s="1">
        <f>IFERROR(__xludf.DUMMYFUNCTION("""COMPUTED_VALUE"""),3112.35)</f>
        <v>3112.35</v>
      </c>
      <c r="F8707" s="1">
        <f>IFERROR(__xludf.DUMMYFUNCTION("""COMPUTED_VALUE"""),0.0)</f>
        <v>0</v>
      </c>
    </row>
    <row r="8708">
      <c r="A8708" s="2">
        <f>IFERROR(__xludf.DUMMYFUNCTION("""COMPUTED_VALUE"""),43987.66666666667)</f>
        <v>43987.66667</v>
      </c>
      <c r="B8708" s="1">
        <f>IFERROR(__xludf.DUMMYFUNCTION("""COMPUTED_VALUE"""),3163.84)</f>
        <v>3163.84</v>
      </c>
      <c r="C8708" s="1">
        <f>IFERROR(__xludf.DUMMYFUNCTION("""COMPUTED_VALUE"""),3211.72)</f>
        <v>3211.72</v>
      </c>
      <c r="D8708" s="1">
        <f>IFERROR(__xludf.DUMMYFUNCTION("""COMPUTED_VALUE"""),3163.84)</f>
        <v>3163.84</v>
      </c>
      <c r="E8708" s="1">
        <f>IFERROR(__xludf.DUMMYFUNCTION("""COMPUTED_VALUE"""),3193.93)</f>
        <v>3193.93</v>
      </c>
      <c r="F8708" s="1">
        <f>IFERROR(__xludf.DUMMYFUNCTION("""COMPUTED_VALUE"""),0.0)</f>
        <v>0</v>
      </c>
    </row>
    <row r="8709">
      <c r="A8709" s="2">
        <f>IFERROR(__xludf.DUMMYFUNCTION("""COMPUTED_VALUE"""),43990.66666666667)</f>
        <v>43990.66667</v>
      </c>
      <c r="B8709" s="1">
        <f>IFERROR(__xludf.DUMMYFUNCTION("""COMPUTED_VALUE"""),3199.92)</f>
        <v>3199.92</v>
      </c>
      <c r="C8709" s="1">
        <f>IFERROR(__xludf.DUMMYFUNCTION("""COMPUTED_VALUE"""),3233.13)</f>
        <v>3233.13</v>
      </c>
      <c r="D8709" s="1">
        <f>IFERROR(__xludf.DUMMYFUNCTION("""COMPUTED_VALUE"""),3196.0)</f>
        <v>3196</v>
      </c>
      <c r="E8709" s="1">
        <f>IFERROR(__xludf.DUMMYFUNCTION("""COMPUTED_VALUE"""),3232.39)</f>
        <v>3232.39</v>
      </c>
      <c r="F8709" s="1">
        <f>IFERROR(__xludf.DUMMYFUNCTION("""COMPUTED_VALUE"""),0.0)</f>
        <v>0</v>
      </c>
    </row>
    <row r="8710">
      <c r="A8710" s="2">
        <f>IFERROR(__xludf.DUMMYFUNCTION("""COMPUTED_VALUE"""),43991.66666666667)</f>
        <v>43991.66667</v>
      </c>
      <c r="B8710" s="1">
        <f>IFERROR(__xludf.DUMMYFUNCTION("""COMPUTED_VALUE"""),3213.32)</f>
        <v>3213.32</v>
      </c>
      <c r="C8710" s="1">
        <f>IFERROR(__xludf.DUMMYFUNCTION("""COMPUTED_VALUE"""),3222.71)</f>
        <v>3222.71</v>
      </c>
      <c r="D8710" s="1">
        <f>IFERROR(__xludf.DUMMYFUNCTION("""COMPUTED_VALUE"""),3193.11)</f>
        <v>3193.11</v>
      </c>
      <c r="E8710" s="1">
        <f>IFERROR(__xludf.DUMMYFUNCTION("""COMPUTED_VALUE"""),3207.18)</f>
        <v>3207.18</v>
      </c>
      <c r="F8710" s="1">
        <f>IFERROR(__xludf.DUMMYFUNCTION("""COMPUTED_VALUE"""),0.0)</f>
        <v>0</v>
      </c>
    </row>
    <row r="8711">
      <c r="A8711" s="2">
        <f>IFERROR(__xludf.DUMMYFUNCTION("""COMPUTED_VALUE"""),43992.66666666667)</f>
        <v>43992.66667</v>
      </c>
      <c r="B8711" s="1">
        <f>IFERROR(__xludf.DUMMYFUNCTION("""COMPUTED_VALUE"""),3213.42)</f>
        <v>3213.42</v>
      </c>
      <c r="C8711" s="1">
        <f>IFERROR(__xludf.DUMMYFUNCTION("""COMPUTED_VALUE"""),3223.27)</f>
        <v>3223.27</v>
      </c>
      <c r="D8711" s="1">
        <f>IFERROR(__xludf.DUMMYFUNCTION("""COMPUTED_VALUE"""),3181.49)</f>
        <v>3181.49</v>
      </c>
      <c r="E8711" s="1">
        <f>IFERROR(__xludf.DUMMYFUNCTION("""COMPUTED_VALUE"""),3190.14)</f>
        <v>3190.14</v>
      </c>
      <c r="F8711" s="1">
        <f>IFERROR(__xludf.DUMMYFUNCTION("""COMPUTED_VALUE"""),0.0)</f>
        <v>0</v>
      </c>
    </row>
    <row r="8712">
      <c r="A8712" s="2">
        <f>IFERROR(__xludf.DUMMYFUNCTION("""COMPUTED_VALUE"""),43993.66666666667)</f>
        <v>43993.66667</v>
      </c>
      <c r="B8712" s="1">
        <f>IFERROR(__xludf.DUMMYFUNCTION("""COMPUTED_VALUE"""),3123.53)</f>
        <v>3123.53</v>
      </c>
      <c r="C8712" s="1">
        <f>IFERROR(__xludf.DUMMYFUNCTION("""COMPUTED_VALUE"""),3123.53)</f>
        <v>3123.53</v>
      </c>
      <c r="D8712" s="1">
        <f>IFERROR(__xludf.DUMMYFUNCTION("""COMPUTED_VALUE"""),2999.49)</f>
        <v>2999.49</v>
      </c>
      <c r="E8712" s="1">
        <f>IFERROR(__xludf.DUMMYFUNCTION("""COMPUTED_VALUE"""),3002.1)</f>
        <v>3002.1</v>
      </c>
      <c r="F8712" s="1">
        <f>IFERROR(__xludf.DUMMYFUNCTION("""COMPUTED_VALUE"""),0.0)</f>
        <v>0</v>
      </c>
    </row>
    <row r="8713">
      <c r="A8713" s="2">
        <f>IFERROR(__xludf.DUMMYFUNCTION("""COMPUTED_VALUE"""),43994.66666666667)</f>
        <v>43994.66667</v>
      </c>
      <c r="B8713" s="1">
        <f>IFERROR(__xludf.DUMMYFUNCTION("""COMPUTED_VALUE"""),3071.04)</f>
        <v>3071.04</v>
      </c>
      <c r="C8713" s="1">
        <f>IFERROR(__xludf.DUMMYFUNCTION("""COMPUTED_VALUE"""),3088.42)</f>
        <v>3088.42</v>
      </c>
      <c r="D8713" s="1">
        <f>IFERROR(__xludf.DUMMYFUNCTION("""COMPUTED_VALUE"""),2984.47)</f>
        <v>2984.47</v>
      </c>
      <c r="E8713" s="1">
        <f>IFERROR(__xludf.DUMMYFUNCTION("""COMPUTED_VALUE"""),3041.31)</f>
        <v>3041.31</v>
      </c>
      <c r="F8713" s="1">
        <f>IFERROR(__xludf.DUMMYFUNCTION("""COMPUTED_VALUE"""),0.0)</f>
        <v>0</v>
      </c>
    </row>
    <row r="8714">
      <c r="A8714" s="2">
        <f>IFERROR(__xludf.DUMMYFUNCTION("""COMPUTED_VALUE"""),43997.66666666667)</f>
        <v>43997.66667</v>
      </c>
      <c r="B8714" s="1">
        <f>IFERROR(__xludf.DUMMYFUNCTION("""COMPUTED_VALUE"""),2993.76)</f>
        <v>2993.76</v>
      </c>
      <c r="C8714" s="1">
        <f>IFERROR(__xludf.DUMMYFUNCTION("""COMPUTED_VALUE"""),3079.76)</f>
        <v>3079.76</v>
      </c>
      <c r="D8714" s="1">
        <f>IFERROR(__xludf.DUMMYFUNCTION("""COMPUTED_VALUE"""),2965.66)</f>
        <v>2965.66</v>
      </c>
      <c r="E8714" s="1">
        <f>IFERROR(__xludf.DUMMYFUNCTION("""COMPUTED_VALUE"""),3066.59)</f>
        <v>3066.59</v>
      </c>
      <c r="F8714" s="1">
        <f>IFERROR(__xludf.DUMMYFUNCTION("""COMPUTED_VALUE"""),0.0)</f>
        <v>0</v>
      </c>
    </row>
    <row r="8715">
      <c r="A8715" s="2">
        <f>IFERROR(__xludf.DUMMYFUNCTION("""COMPUTED_VALUE"""),43998.66666666667)</f>
        <v>43998.66667</v>
      </c>
      <c r="B8715" s="1">
        <f>IFERROR(__xludf.DUMMYFUNCTION("""COMPUTED_VALUE"""),3131.0)</f>
        <v>3131</v>
      </c>
      <c r="C8715" s="1">
        <f>IFERROR(__xludf.DUMMYFUNCTION("""COMPUTED_VALUE"""),3153.45)</f>
        <v>3153.45</v>
      </c>
      <c r="D8715" s="1">
        <f>IFERROR(__xludf.DUMMYFUNCTION("""COMPUTED_VALUE"""),3076.06)</f>
        <v>3076.06</v>
      </c>
      <c r="E8715" s="1">
        <f>IFERROR(__xludf.DUMMYFUNCTION("""COMPUTED_VALUE"""),3124.74)</f>
        <v>3124.74</v>
      </c>
      <c r="F8715" s="1">
        <f>IFERROR(__xludf.DUMMYFUNCTION("""COMPUTED_VALUE"""),0.0)</f>
        <v>0</v>
      </c>
    </row>
    <row r="8716">
      <c r="A8716" s="2">
        <f>IFERROR(__xludf.DUMMYFUNCTION("""COMPUTED_VALUE"""),43999.66666666667)</f>
        <v>43999.66667</v>
      </c>
      <c r="B8716" s="1">
        <f>IFERROR(__xludf.DUMMYFUNCTION("""COMPUTED_VALUE"""),3136.13)</f>
        <v>3136.13</v>
      </c>
      <c r="C8716" s="1">
        <f>IFERROR(__xludf.DUMMYFUNCTION("""COMPUTED_VALUE"""),3141.16)</f>
        <v>3141.16</v>
      </c>
      <c r="D8716" s="1">
        <f>IFERROR(__xludf.DUMMYFUNCTION("""COMPUTED_VALUE"""),3108.03)</f>
        <v>3108.03</v>
      </c>
      <c r="E8716" s="1">
        <f>IFERROR(__xludf.DUMMYFUNCTION("""COMPUTED_VALUE"""),3113.49)</f>
        <v>3113.49</v>
      </c>
      <c r="F8716" s="1">
        <f>IFERROR(__xludf.DUMMYFUNCTION("""COMPUTED_VALUE"""),0.0)</f>
        <v>0</v>
      </c>
    </row>
    <row r="8717">
      <c r="A8717" s="2">
        <f>IFERROR(__xludf.DUMMYFUNCTION("""COMPUTED_VALUE"""),44000.66666666667)</f>
        <v>44000.66667</v>
      </c>
      <c r="B8717" s="1">
        <f>IFERROR(__xludf.DUMMYFUNCTION("""COMPUTED_VALUE"""),3101.64)</f>
        <v>3101.64</v>
      </c>
      <c r="C8717" s="1">
        <f>IFERROR(__xludf.DUMMYFUNCTION("""COMPUTED_VALUE"""),3120.0)</f>
        <v>3120</v>
      </c>
      <c r="D8717" s="1">
        <f>IFERROR(__xludf.DUMMYFUNCTION("""COMPUTED_VALUE"""),3093.51)</f>
        <v>3093.51</v>
      </c>
      <c r="E8717" s="1">
        <f>IFERROR(__xludf.DUMMYFUNCTION("""COMPUTED_VALUE"""),3115.34)</f>
        <v>3115.34</v>
      </c>
      <c r="F8717" s="1">
        <f>IFERROR(__xludf.DUMMYFUNCTION("""COMPUTED_VALUE"""),0.0)</f>
        <v>0</v>
      </c>
    </row>
    <row r="8718">
      <c r="A8718" s="2">
        <f>IFERROR(__xludf.DUMMYFUNCTION("""COMPUTED_VALUE"""),44001.66666666667)</f>
        <v>44001.66667</v>
      </c>
      <c r="B8718" s="1">
        <f>IFERROR(__xludf.DUMMYFUNCTION("""COMPUTED_VALUE"""),3140.29)</f>
        <v>3140.29</v>
      </c>
      <c r="C8718" s="1">
        <f>IFERROR(__xludf.DUMMYFUNCTION("""COMPUTED_VALUE"""),3155.53)</f>
        <v>3155.53</v>
      </c>
      <c r="D8718" s="1">
        <f>IFERROR(__xludf.DUMMYFUNCTION("""COMPUTED_VALUE"""),3083.11)</f>
        <v>3083.11</v>
      </c>
      <c r="E8718" s="1">
        <f>IFERROR(__xludf.DUMMYFUNCTION("""COMPUTED_VALUE"""),3097.74)</f>
        <v>3097.74</v>
      </c>
      <c r="F8718" s="1">
        <f>IFERROR(__xludf.DUMMYFUNCTION("""COMPUTED_VALUE"""),0.0)</f>
        <v>0</v>
      </c>
    </row>
    <row r="8719">
      <c r="A8719" s="2">
        <f>IFERROR(__xludf.DUMMYFUNCTION("""COMPUTED_VALUE"""),44004.66666666667)</f>
        <v>44004.66667</v>
      </c>
      <c r="B8719" s="1">
        <f>IFERROR(__xludf.DUMMYFUNCTION("""COMPUTED_VALUE"""),3094.42)</f>
        <v>3094.42</v>
      </c>
      <c r="C8719" s="1">
        <f>IFERROR(__xludf.DUMMYFUNCTION("""COMPUTED_VALUE"""),3120.92)</f>
        <v>3120.92</v>
      </c>
      <c r="D8719" s="1">
        <f>IFERROR(__xludf.DUMMYFUNCTION("""COMPUTED_VALUE"""),3079.39)</f>
        <v>3079.39</v>
      </c>
      <c r="E8719" s="1">
        <f>IFERROR(__xludf.DUMMYFUNCTION("""COMPUTED_VALUE"""),3117.86)</f>
        <v>3117.86</v>
      </c>
      <c r="F8719" s="1">
        <f>IFERROR(__xludf.DUMMYFUNCTION("""COMPUTED_VALUE"""),0.0)</f>
        <v>0</v>
      </c>
    </row>
    <row r="8720">
      <c r="A8720" s="2">
        <f>IFERROR(__xludf.DUMMYFUNCTION("""COMPUTED_VALUE"""),44005.66666666667)</f>
        <v>44005.66667</v>
      </c>
      <c r="B8720" s="1">
        <f>IFERROR(__xludf.DUMMYFUNCTION("""COMPUTED_VALUE"""),3138.7)</f>
        <v>3138.7</v>
      </c>
      <c r="C8720" s="1">
        <f>IFERROR(__xludf.DUMMYFUNCTION("""COMPUTED_VALUE"""),3154.9)</f>
        <v>3154.9</v>
      </c>
      <c r="D8720" s="1">
        <f>IFERROR(__xludf.DUMMYFUNCTION("""COMPUTED_VALUE"""),3127.12)</f>
        <v>3127.12</v>
      </c>
      <c r="E8720" s="1">
        <f>IFERROR(__xludf.DUMMYFUNCTION("""COMPUTED_VALUE"""),3131.29)</f>
        <v>3131.29</v>
      </c>
      <c r="F8720" s="1">
        <f>IFERROR(__xludf.DUMMYFUNCTION("""COMPUTED_VALUE"""),0.0)</f>
        <v>0</v>
      </c>
    </row>
    <row r="8721">
      <c r="A8721" s="2">
        <f>IFERROR(__xludf.DUMMYFUNCTION("""COMPUTED_VALUE"""),44006.66666666667)</f>
        <v>44006.66667</v>
      </c>
      <c r="B8721" s="1">
        <f>IFERROR(__xludf.DUMMYFUNCTION("""COMPUTED_VALUE"""),3114.4)</f>
        <v>3114.4</v>
      </c>
      <c r="C8721" s="1">
        <f>IFERROR(__xludf.DUMMYFUNCTION("""COMPUTED_VALUE"""),3115.01)</f>
        <v>3115.01</v>
      </c>
      <c r="D8721" s="1">
        <f>IFERROR(__xludf.DUMMYFUNCTION("""COMPUTED_VALUE"""),3032.13)</f>
        <v>3032.13</v>
      </c>
      <c r="E8721" s="1">
        <f>IFERROR(__xludf.DUMMYFUNCTION("""COMPUTED_VALUE"""),3050.33)</f>
        <v>3050.33</v>
      </c>
      <c r="F8721" s="1">
        <f>IFERROR(__xludf.DUMMYFUNCTION("""COMPUTED_VALUE"""),0.0)</f>
        <v>0</v>
      </c>
    </row>
    <row r="8722">
      <c r="A8722" s="2">
        <f>IFERROR(__xludf.DUMMYFUNCTION("""COMPUTED_VALUE"""),44007.66666666667)</f>
        <v>44007.66667</v>
      </c>
      <c r="B8722" s="1">
        <f>IFERROR(__xludf.DUMMYFUNCTION("""COMPUTED_VALUE"""),3046.6)</f>
        <v>3046.6</v>
      </c>
      <c r="C8722" s="1">
        <f>IFERROR(__xludf.DUMMYFUNCTION("""COMPUTED_VALUE"""),3086.25)</f>
        <v>3086.25</v>
      </c>
      <c r="D8722" s="1">
        <f>IFERROR(__xludf.DUMMYFUNCTION("""COMPUTED_VALUE"""),3024.01)</f>
        <v>3024.01</v>
      </c>
      <c r="E8722" s="1">
        <f>IFERROR(__xludf.DUMMYFUNCTION("""COMPUTED_VALUE"""),3083.76)</f>
        <v>3083.76</v>
      </c>
      <c r="F8722" s="1">
        <f>IFERROR(__xludf.DUMMYFUNCTION("""COMPUTED_VALUE"""),0.0)</f>
        <v>0</v>
      </c>
    </row>
    <row r="8723">
      <c r="A8723" s="2">
        <f>IFERROR(__xludf.DUMMYFUNCTION("""COMPUTED_VALUE"""),44008.66666666667)</f>
        <v>44008.66667</v>
      </c>
      <c r="B8723" s="1">
        <f>IFERROR(__xludf.DUMMYFUNCTION("""COMPUTED_VALUE"""),3073.2)</f>
        <v>3073.2</v>
      </c>
      <c r="C8723" s="1">
        <f>IFERROR(__xludf.DUMMYFUNCTION("""COMPUTED_VALUE"""),3073.73)</f>
        <v>3073.73</v>
      </c>
      <c r="D8723" s="1">
        <f>IFERROR(__xludf.DUMMYFUNCTION("""COMPUTED_VALUE"""),3004.63)</f>
        <v>3004.63</v>
      </c>
      <c r="E8723" s="1">
        <f>IFERROR(__xludf.DUMMYFUNCTION("""COMPUTED_VALUE"""),3009.05)</f>
        <v>3009.05</v>
      </c>
      <c r="F8723" s="1">
        <f>IFERROR(__xludf.DUMMYFUNCTION("""COMPUTED_VALUE"""),0.0)</f>
        <v>0</v>
      </c>
    </row>
    <row r="8724">
      <c r="A8724" s="2">
        <f>IFERROR(__xludf.DUMMYFUNCTION("""COMPUTED_VALUE"""),44011.66666666667)</f>
        <v>44011.66667</v>
      </c>
      <c r="B8724" s="1">
        <f>IFERROR(__xludf.DUMMYFUNCTION("""COMPUTED_VALUE"""),3018.59)</f>
        <v>3018.59</v>
      </c>
      <c r="C8724" s="1">
        <f>IFERROR(__xludf.DUMMYFUNCTION("""COMPUTED_VALUE"""),3053.89)</f>
        <v>3053.89</v>
      </c>
      <c r="D8724" s="1">
        <f>IFERROR(__xludf.DUMMYFUNCTION("""COMPUTED_VALUE"""),2999.74)</f>
        <v>2999.74</v>
      </c>
      <c r="E8724" s="1">
        <f>IFERROR(__xludf.DUMMYFUNCTION("""COMPUTED_VALUE"""),3053.24)</f>
        <v>3053.24</v>
      </c>
      <c r="F8724" s="1">
        <f>IFERROR(__xludf.DUMMYFUNCTION("""COMPUTED_VALUE"""),0.0)</f>
        <v>0</v>
      </c>
    </row>
    <row r="8725">
      <c r="A8725" s="2">
        <f>IFERROR(__xludf.DUMMYFUNCTION("""COMPUTED_VALUE"""),44012.66666666667)</f>
        <v>44012.66667</v>
      </c>
      <c r="B8725" s="1">
        <f>IFERROR(__xludf.DUMMYFUNCTION("""COMPUTED_VALUE"""),3050.2)</f>
        <v>3050.2</v>
      </c>
      <c r="C8725" s="1">
        <f>IFERROR(__xludf.DUMMYFUNCTION("""COMPUTED_VALUE"""),3111.51)</f>
        <v>3111.51</v>
      </c>
      <c r="D8725" s="1">
        <f>IFERROR(__xludf.DUMMYFUNCTION("""COMPUTED_VALUE"""),3047.83)</f>
        <v>3047.83</v>
      </c>
      <c r="E8725" s="1">
        <f>IFERROR(__xludf.DUMMYFUNCTION("""COMPUTED_VALUE"""),3100.29)</f>
        <v>3100.29</v>
      </c>
      <c r="F8725" s="1">
        <f>IFERROR(__xludf.DUMMYFUNCTION("""COMPUTED_VALUE"""),0.0)</f>
        <v>0</v>
      </c>
    </row>
    <row r="8726">
      <c r="A8726" s="2">
        <f>IFERROR(__xludf.DUMMYFUNCTION("""COMPUTED_VALUE"""),44013.66666666667)</f>
        <v>44013.66667</v>
      </c>
      <c r="B8726" s="1">
        <f>IFERROR(__xludf.DUMMYFUNCTION("""COMPUTED_VALUE"""),3105.92)</f>
        <v>3105.92</v>
      </c>
      <c r="C8726" s="1">
        <f>IFERROR(__xludf.DUMMYFUNCTION("""COMPUTED_VALUE"""),3128.44)</f>
        <v>3128.44</v>
      </c>
      <c r="D8726" s="1">
        <f>IFERROR(__xludf.DUMMYFUNCTION("""COMPUTED_VALUE"""),3101.17)</f>
        <v>3101.17</v>
      </c>
      <c r="E8726" s="1">
        <f>IFERROR(__xludf.DUMMYFUNCTION("""COMPUTED_VALUE"""),3115.86)</f>
        <v>3115.86</v>
      </c>
      <c r="F8726" s="1">
        <f>IFERROR(__xludf.DUMMYFUNCTION("""COMPUTED_VALUE"""),0.0)</f>
        <v>0</v>
      </c>
    </row>
    <row r="8727">
      <c r="A8727" s="2">
        <f>IFERROR(__xludf.DUMMYFUNCTION("""COMPUTED_VALUE"""),44014.66666666667)</f>
        <v>44014.66667</v>
      </c>
      <c r="B8727" s="1">
        <f>IFERROR(__xludf.DUMMYFUNCTION("""COMPUTED_VALUE"""),3143.64)</f>
        <v>3143.64</v>
      </c>
      <c r="C8727" s="1">
        <f>IFERROR(__xludf.DUMMYFUNCTION("""COMPUTED_VALUE"""),3165.81)</f>
        <v>3165.81</v>
      </c>
      <c r="D8727" s="1">
        <f>IFERROR(__xludf.DUMMYFUNCTION("""COMPUTED_VALUE"""),3124.52)</f>
        <v>3124.52</v>
      </c>
      <c r="E8727" s="1">
        <f>IFERROR(__xludf.DUMMYFUNCTION("""COMPUTED_VALUE"""),3130.01)</f>
        <v>3130.01</v>
      </c>
      <c r="F8727" s="1">
        <f>IFERROR(__xludf.DUMMYFUNCTION("""COMPUTED_VALUE"""),0.0)</f>
        <v>0</v>
      </c>
    </row>
    <row r="8728">
      <c r="A8728" s="2">
        <f>IFERROR(__xludf.DUMMYFUNCTION("""COMPUTED_VALUE"""),44018.66666666667)</f>
        <v>44018.66667</v>
      </c>
      <c r="B8728" s="1">
        <f>IFERROR(__xludf.DUMMYFUNCTION("""COMPUTED_VALUE"""),3155.29)</f>
        <v>3155.29</v>
      </c>
      <c r="C8728" s="1">
        <f>IFERROR(__xludf.DUMMYFUNCTION("""COMPUTED_VALUE"""),3182.59)</f>
        <v>3182.59</v>
      </c>
      <c r="D8728" s="1">
        <f>IFERROR(__xludf.DUMMYFUNCTION("""COMPUTED_VALUE"""),3155.29)</f>
        <v>3155.29</v>
      </c>
      <c r="E8728" s="1">
        <f>IFERROR(__xludf.DUMMYFUNCTION("""COMPUTED_VALUE"""),3179.72)</f>
        <v>3179.72</v>
      </c>
      <c r="F8728" s="1">
        <f>IFERROR(__xludf.DUMMYFUNCTION("""COMPUTED_VALUE"""),0.0)</f>
        <v>0</v>
      </c>
    </row>
    <row r="8729">
      <c r="A8729" s="2">
        <f>IFERROR(__xludf.DUMMYFUNCTION("""COMPUTED_VALUE"""),44019.66666666667)</f>
        <v>44019.66667</v>
      </c>
      <c r="B8729" s="1">
        <f>IFERROR(__xludf.DUMMYFUNCTION("""COMPUTED_VALUE"""),3166.44)</f>
        <v>3166.44</v>
      </c>
      <c r="C8729" s="1">
        <f>IFERROR(__xludf.DUMMYFUNCTION("""COMPUTED_VALUE"""),3184.15)</f>
        <v>3184.15</v>
      </c>
      <c r="D8729" s="1">
        <f>IFERROR(__xludf.DUMMYFUNCTION("""COMPUTED_VALUE"""),3142.93)</f>
        <v>3142.93</v>
      </c>
      <c r="E8729" s="1">
        <f>IFERROR(__xludf.DUMMYFUNCTION("""COMPUTED_VALUE"""),3145.32)</f>
        <v>3145.32</v>
      </c>
      <c r="F8729" s="1">
        <f>IFERROR(__xludf.DUMMYFUNCTION("""COMPUTED_VALUE"""),0.0)</f>
        <v>0</v>
      </c>
    </row>
    <row r="8730">
      <c r="A8730" s="2">
        <f>IFERROR(__xludf.DUMMYFUNCTION("""COMPUTED_VALUE"""),44020.66666666667)</f>
        <v>44020.66667</v>
      </c>
      <c r="B8730" s="1">
        <f>IFERROR(__xludf.DUMMYFUNCTION("""COMPUTED_VALUE"""),3153.07)</f>
        <v>3153.07</v>
      </c>
      <c r="C8730" s="1">
        <f>IFERROR(__xludf.DUMMYFUNCTION("""COMPUTED_VALUE"""),3171.8)</f>
        <v>3171.8</v>
      </c>
      <c r="D8730" s="1">
        <f>IFERROR(__xludf.DUMMYFUNCTION("""COMPUTED_VALUE"""),3136.53)</f>
        <v>3136.53</v>
      </c>
      <c r="E8730" s="1">
        <f>IFERROR(__xludf.DUMMYFUNCTION("""COMPUTED_VALUE"""),3169.94)</f>
        <v>3169.94</v>
      </c>
      <c r="F8730" s="1">
        <f>IFERROR(__xludf.DUMMYFUNCTION("""COMPUTED_VALUE"""),0.0)</f>
        <v>0</v>
      </c>
    </row>
    <row r="8731">
      <c r="A8731" s="2">
        <f>IFERROR(__xludf.DUMMYFUNCTION("""COMPUTED_VALUE"""),44021.66666666667)</f>
        <v>44021.66667</v>
      </c>
      <c r="B8731" s="1">
        <f>IFERROR(__xludf.DUMMYFUNCTION("""COMPUTED_VALUE"""),3176.17)</f>
        <v>3176.17</v>
      </c>
      <c r="C8731" s="1">
        <f>IFERROR(__xludf.DUMMYFUNCTION("""COMPUTED_VALUE"""),3179.78)</f>
        <v>3179.78</v>
      </c>
      <c r="D8731" s="1">
        <f>IFERROR(__xludf.DUMMYFUNCTION("""COMPUTED_VALUE"""),3115.7)</f>
        <v>3115.7</v>
      </c>
      <c r="E8731" s="1">
        <f>IFERROR(__xludf.DUMMYFUNCTION("""COMPUTED_VALUE"""),3152.05)</f>
        <v>3152.05</v>
      </c>
      <c r="F8731" s="1">
        <f>IFERROR(__xludf.DUMMYFUNCTION("""COMPUTED_VALUE"""),0.0)</f>
        <v>0</v>
      </c>
    </row>
    <row r="8732">
      <c r="A8732" s="2">
        <f>IFERROR(__xludf.DUMMYFUNCTION("""COMPUTED_VALUE"""),44022.66666666667)</f>
        <v>44022.66667</v>
      </c>
      <c r="B8732" s="1">
        <f>IFERROR(__xludf.DUMMYFUNCTION("""COMPUTED_VALUE"""),3152.47)</f>
        <v>3152.47</v>
      </c>
      <c r="C8732" s="1">
        <f>IFERROR(__xludf.DUMMYFUNCTION("""COMPUTED_VALUE"""),3186.82)</f>
        <v>3186.82</v>
      </c>
      <c r="D8732" s="1">
        <f>IFERROR(__xludf.DUMMYFUNCTION("""COMPUTED_VALUE"""),3136.22)</f>
        <v>3136.22</v>
      </c>
      <c r="E8732" s="1">
        <f>IFERROR(__xludf.DUMMYFUNCTION("""COMPUTED_VALUE"""),3185.04)</f>
        <v>3185.04</v>
      </c>
      <c r="F8732" s="1">
        <f>IFERROR(__xludf.DUMMYFUNCTION("""COMPUTED_VALUE"""),0.0)</f>
        <v>0</v>
      </c>
    </row>
    <row r="8733">
      <c r="A8733" s="2">
        <f>IFERROR(__xludf.DUMMYFUNCTION("""COMPUTED_VALUE"""),44025.66666666667)</f>
        <v>44025.66667</v>
      </c>
      <c r="B8733" s="1">
        <f>IFERROR(__xludf.DUMMYFUNCTION("""COMPUTED_VALUE"""),3205.08)</f>
        <v>3205.08</v>
      </c>
      <c r="C8733" s="1">
        <f>IFERROR(__xludf.DUMMYFUNCTION("""COMPUTED_VALUE"""),3235.32)</f>
        <v>3235.32</v>
      </c>
      <c r="D8733" s="1">
        <f>IFERROR(__xludf.DUMMYFUNCTION("""COMPUTED_VALUE"""),3149.43)</f>
        <v>3149.43</v>
      </c>
      <c r="E8733" s="1">
        <f>IFERROR(__xludf.DUMMYFUNCTION("""COMPUTED_VALUE"""),3155.22)</f>
        <v>3155.22</v>
      </c>
      <c r="F8733" s="1">
        <f>IFERROR(__xludf.DUMMYFUNCTION("""COMPUTED_VALUE"""),0.0)</f>
        <v>0</v>
      </c>
    </row>
    <row r="8734">
      <c r="A8734" s="2">
        <f>IFERROR(__xludf.DUMMYFUNCTION("""COMPUTED_VALUE"""),44026.66666666667)</f>
        <v>44026.66667</v>
      </c>
      <c r="B8734" s="1">
        <f>IFERROR(__xludf.DUMMYFUNCTION("""COMPUTED_VALUE"""),3141.11)</f>
        <v>3141.11</v>
      </c>
      <c r="C8734" s="1">
        <f>IFERROR(__xludf.DUMMYFUNCTION("""COMPUTED_VALUE"""),3200.95)</f>
        <v>3200.95</v>
      </c>
      <c r="D8734" s="1">
        <f>IFERROR(__xludf.DUMMYFUNCTION("""COMPUTED_VALUE"""),3127.66)</f>
        <v>3127.66</v>
      </c>
      <c r="E8734" s="1">
        <f>IFERROR(__xludf.DUMMYFUNCTION("""COMPUTED_VALUE"""),3197.52)</f>
        <v>3197.52</v>
      </c>
      <c r="F8734" s="1">
        <f>IFERROR(__xludf.DUMMYFUNCTION("""COMPUTED_VALUE"""),0.0)</f>
        <v>0</v>
      </c>
    </row>
    <row r="8735">
      <c r="A8735" s="2">
        <f>IFERROR(__xludf.DUMMYFUNCTION("""COMPUTED_VALUE"""),44027.66666666667)</f>
        <v>44027.66667</v>
      </c>
      <c r="B8735" s="1">
        <f>IFERROR(__xludf.DUMMYFUNCTION("""COMPUTED_VALUE"""),3225.98)</f>
        <v>3225.98</v>
      </c>
      <c r="C8735" s="1">
        <f>IFERROR(__xludf.DUMMYFUNCTION("""COMPUTED_VALUE"""),3238.28)</f>
        <v>3238.28</v>
      </c>
      <c r="D8735" s="1">
        <f>IFERROR(__xludf.DUMMYFUNCTION("""COMPUTED_VALUE"""),3200.76)</f>
        <v>3200.76</v>
      </c>
      <c r="E8735" s="1">
        <f>IFERROR(__xludf.DUMMYFUNCTION("""COMPUTED_VALUE"""),3226.56)</f>
        <v>3226.56</v>
      </c>
      <c r="F8735" s="1">
        <f>IFERROR(__xludf.DUMMYFUNCTION("""COMPUTED_VALUE"""),0.0)</f>
        <v>0</v>
      </c>
    </row>
    <row r="8736">
      <c r="A8736" s="2">
        <f>IFERROR(__xludf.DUMMYFUNCTION("""COMPUTED_VALUE"""),44028.66666666667)</f>
        <v>44028.66667</v>
      </c>
      <c r="B8736" s="1">
        <f>IFERROR(__xludf.DUMMYFUNCTION("""COMPUTED_VALUE"""),3208.36)</f>
        <v>3208.36</v>
      </c>
      <c r="C8736" s="1">
        <f>IFERROR(__xludf.DUMMYFUNCTION("""COMPUTED_VALUE"""),3220.39)</f>
        <v>3220.39</v>
      </c>
      <c r="D8736" s="1">
        <f>IFERROR(__xludf.DUMMYFUNCTION("""COMPUTED_VALUE"""),3198.59)</f>
        <v>3198.59</v>
      </c>
      <c r="E8736" s="1">
        <f>IFERROR(__xludf.DUMMYFUNCTION("""COMPUTED_VALUE"""),3215.57)</f>
        <v>3215.57</v>
      </c>
      <c r="F8736" s="1">
        <f>IFERROR(__xludf.DUMMYFUNCTION("""COMPUTED_VALUE"""),0.0)</f>
        <v>0</v>
      </c>
    </row>
    <row r="8737">
      <c r="A8737" s="2">
        <f>IFERROR(__xludf.DUMMYFUNCTION("""COMPUTED_VALUE"""),44029.66666666667)</f>
        <v>44029.66667</v>
      </c>
      <c r="B8737" s="1">
        <f>IFERROR(__xludf.DUMMYFUNCTION("""COMPUTED_VALUE"""),3224.21)</f>
        <v>3224.21</v>
      </c>
      <c r="C8737" s="1">
        <f>IFERROR(__xludf.DUMMYFUNCTION("""COMPUTED_VALUE"""),3233.52)</f>
        <v>3233.52</v>
      </c>
      <c r="D8737" s="1">
        <f>IFERROR(__xludf.DUMMYFUNCTION("""COMPUTED_VALUE"""),3205.65)</f>
        <v>3205.65</v>
      </c>
      <c r="E8737" s="1">
        <f>IFERROR(__xludf.DUMMYFUNCTION("""COMPUTED_VALUE"""),3224.73)</f>
        <v>3224.73</v>
      </c>
      <c r="F8737" s="1">
        <f>IFERROR(__xludf.DUMMYFUNCTION("""COMPUTED_VALUE"""),0.0)</f>
        <v>0</v>
      </c>
    </row>
    <row r="8738">
      <c r="A8738" s="2">
        <f>IFERROR(__xludf.DUMMYFUNCTION("""COMPUTED_VALUE"""),44032.66666666667)</f>
        <v>44032.66667</v>
      </c>
      <c r="B8738" s="1">
        <f>IFERROR(__xludf.DUMMYFUNCTION("""COMPUTED_VALUE"""),3224.29)</f>
        <v>3224.29</v>
      </c>
      <c r="C8738" s="1">
        <f>IFERROR(__xludf.DUMMYFUNCTION("""COMPUTED_VALUE"""),3258.61)</f>
        <v>3258.61</v>
      </c>
      <c r="D8738" s="1">
        <f>IFERROR(__xludf.DUMMYFUNCTION("""COMPUTED_VALUE"""),3215.16)</f>
        <v>3215.16</v>
      </c>
      <c r="E8738" s="1">
        <f>IFERROR(__xludf.DUMMYFUNCTION("""COMPUTED_VALUE"""),3251.84)</f>
        <v>3251.84</v>
      </c>
      <c r="F8738" s="1">
        <f>IFERROR(__xludf.DUMMYFUNCTION("""COMPUTED_VALUE"""),0.0)</f>
        <v>0</v>
      </c>
    </row>
    <row r="8739">
      <c r="A8739" s="2">
        <f>IFERROR(__xludf.DUMMYFUNCTION("""COMPUTED_VALUE"""),44033.66666666667)</f>
        <v>44033.66667</v>
      </c>
      <c r="B8739" s="1">
        <f>IFERROR(__xludf.DUMMYFUNCTION("""COMPUTED_VALUE"""),3268.52)</f>
        <v>3268.52</v>
      </c>
      <c r="C8739" s="1">
        <f>IFERROR(__xludf.DUMMYFUNCTION("""COMPUTED_VALUE"""),3277.29)</f>
        <v>3277.29</v>
      </c>
      <c r="D8739" s="1">
        <f>IFERROR(__xludf.DUMMYFUNCTION("""COMPUTED_VALUE"""),3247.77)</f>
        <v>3247.77</v>
      </c>
      <c r="E8739" s="1">
        <f>IFERROR(__xludf.DUMMYFUNCTION("""COMPUTED_VALUE"""),3257.3)</f>
        <v>3257.3</v>
      </c>
      <c r="F8739" s="1">
        <f>IFERROR(__xludf.DUMMYFUNCTION("""COMPUTED_VALUE"""),0.0)</f>
        <v>0</v>
      </c>
    </row>
    <row r="8740">
      <c r="A8740" s="2">
        <f>IFERROR(__xludf.DUMMYFUNCTION("""COMPUTED_VALUE"""),44034.66666666667)</f>
        <v>44034.66667</v>
      </c>
      <c r="B8740" s="1">
        <f>IFERROR(__xludf.DUMMYFUNCTION("""COMPUTED_VALUE"""),3254.86)</f>
        <v>3254.86</v>
      </c>
      <c r="C8740" s="1">
        <f>IFERROR(__xludf.DUMMYFUNCTION("""COMPUTED_VALUE"""),3279.32)</f>
        <v>3279.32</v>
      </c>
      <c r="D8740" s="1">
        <f>IFERROR(__xludf.DUMMYFUNCTION("""COMPUTED_VALUE"""),3253.1)</f>
        <v>3253.1</v>
      </c>
      <c r="E8740" s="1">
        <f>IFERROR(__xludf.DUMMYFUNCTION("""COMPUTED_VALUE"""),3276.02)</f>
        <v>3276.02</v>
      </c>
      <c r="F8740" s="1">
        <f>IFERROR(__xludf.DUMMYFUNCTION("""COMPUTED_VALUE"""),0.0)</f>
        <v>0</v>
      </c>
    </row>
    <row r="8741">
      <c r="A8741" s="2">
        <f>IFERROR(__xludf.DUMMYFUNCTION("""COMPUTED_VALUE"""),44035.66666666667)</f>
        <v>44035.66667</v>
      </c>
      <c r="B8741" s="1">
        <f>IFERROR(__xludf.DUMMYFUNCTION("""COMPUTED_VALUE"""),3271.64)</f>
        <v>3271.64</v>
      </c>
      <c r="C8741" s="1">
        <f>IFERROR(__xludf.DUMMYFUNCTION("""COMPUTED_VALUE"""),3279.99)</f>
        <v>3279.99</v>
      </c>
      <c r="D8741" s="1">
        <f>IFERROR(__xludf.DUMMYFUNCTION("""COMPUTED_VALUE"""),3222.66)</f>
        <v>3222.66</v>
      </c>
      <c r="E8741" s="1">
        <f>IFERROR(__xludf.DUMMYFUNCTION("""COMPUTED_VALUE"""),3235.66)</f>
        <v>3235.66</v>
      </c>
      <c r="F8741" s="1">
        <f>IFERROR(__xludf.DUMMYFUNCTION("""COMPUTED_VALUE"""),0.0)</f>
        <v>0</v>
      </c>
    </row>
    <row r="8742">
      <c r="A8742" s="2">
        <f>IFERROR(__xludf.DUMMYFUNCTION("""COMPUTED_VALUE"""),44036.66666666667)</f>
        <v>44036.66667</v>
      </c>
      <c r="B8742" s="1">
        <f>IFERROR(__xludf.DUMMYFUNCTION("""COMPUTED_VALUE"""),3218.58)</f>
        <v>3218.58</v>
      </c>
      <c r="C8742" s="1">
        <f>IFERROR(__xludf.DUMMYFUNCTION("""COMPUTED_VALUE"""),3227.26)</f>
        <v>3227.26</v>
      </c>
      <c r="D8742" s="1">
        <f>IFERROR(__xludf.DUMMYFUNCTION("""COMPUTED_VALUE"""),3200.05)</f>
        <v>3200.05</v>
      </c>
      <c r="E8742" s="1">
        <f>IFERROR(__xludf.DUMMYFUNCTION("""COMPUTED_VALUE"""),3215.63)</f>
        <v>3215.63</v>
      </c>
      <c r="F8742" s="1">
        <f>IFERROR(__xludf.DUMMYFUNCTION("""COMPUTED_VALUE"""),0.0)</f>
        <v>0</v>
      </c>
    </row>
    <row r="8743">
      <c r="A8743" s="2">
        <f>IFERROR(__xludf.DUMMYFUNCTION("""COMPUTED_VALUE"""),44039.66666666667)</f>
        <v>44039.66667</v>
      </c>
      <c r="B8743" s="1">
        <f>IFERROR(__xludf.DUMMYFUNCTION("""COMPUTED_VALUE"""),3219.84)</f>
        <v>3219.84</v>
      </c>
      <c r="C8743" s="1">
        <f>IFERROR(__xludf.DUMMYFUNCTION("""COMPUTED_VALUE"""),3241.43)</f>
        <v>3241.43</v>
      </c>
      <c r="D8743" s="1">
        <f>IFERROR(__xludf.DUMMYFUNCTION("""COMPUTED_VALUE"""),3214.25)</f>
        <v>3214.25</v>
      </c>
      <c r="E8743" s="1">
        <f>IFERROR(__xludf.DUMMYFUNCTION("""COMPUTED_VALUE"""),3239.41)</f>
        <v>3239.41</v>
      </c>
      <c r="F8743" s="1">
        <f>IFERROR(__xludf.DUMMYFUNCTION("""COMPUTED_VALUE"""),0.0)</f>
        <v>0</v>
      </c>
    </row>
    <row r="8744">
      <c r="A8744" s="2">
        <f>IFERROR(__xludf.DUMMYFUNCTION("""COMPUTED_VALUE"""),44040.66666666667)</f>
        <v>44040.66667</v>
      </c>
      <c r="B8744" s="1">
        <f>IFERROR(__xludf.DUMMYFUNCTION("""COMPUTED_VALUE"""),3234.27)</f>
        <v>3234.27</v>
      </c>
      <c r="C8744" s="1">
        <f>IFERROR(__xludf.DUMMYFUNCTION("""COMPUTED_VALUE"""),3243.72)</f>
        <v>3243.72</v>
      </c>
      <c r="D8744" s="1">
        <f>IFERROR(__xludf.DUMMYFUNCTION("""COMPUTED_VALUE"""),3216.17)</f>
        <v>3216.17</v>
      </c>
      <c r="E8744" s="1">
        <f>IFERROR(__xludf.DUMMYFUNCTION("""COMPUTED_VALUE"""),3218.44)</f>
        <v>3218.44</v>
      </c>
      <c r="F8744" s="1">
        <f>IFERROR(__xludf.DUMMYFUNCTION("""COMPUTED_VALUE"""),0.0)</f>
        <v>0</v>
      </c>
    </row>
    <row r="8745">
      <c r="A8745" s="2">
        <f>IFERROR(__xludf.DUMMYFUNCTION("""COMPUTED_VALUE"""),44041.66666666667)</f>
        <v>44041.66667</v>
      </c>
      <c r="B8745" s="1">
        <f>IFERROR(__xludf.DUMMYFUNCTION("""COMPUTED_VALUE"""),3227.22)</f>
        <v>3227.22</v>
      </c>
      <c r="C8745" s="1">
        <f>IFERROR(__xludf.DUMMYFUNCTION("""COMPUTED_VALUE"""),3264.74)</f>
        <v>3264.74</v>
      </c>
      <c r="D8745" s="1">
        <f>IFERROR(__xludf.DUMMYFUNCTION("""COMPUTED_VALUE"""),3227.22)</f>
        <v>3227.22</v>
      </c>
      <c r="E8745" s="1">
        <f>IFERROR(__xludf.DUMMYFUNCTION("""COMPUTED_VALUE"""),3258.44)</f>
        <v>3258.44</v>
      </c>
      <c r="F8745" s="1">
        <f>IFERROR(__xludf.DUMMYFUNCTION("""COMPUTED_VALUE"""),0.0)</f>
        <v>0</v>
      </c>
    </row>
    <row r="8746">
      <c r="A8746" s="2">
        <f>IFERROR(__xludf.DUMMYFUNCTION("""COMPUTED_VALUE"""),44042.66666666667)</f>
        <v>44042.66667</v>
      </c>
      <c r="B8746" s="1">
        <f>IFERROR(__xludf.DUMMYFUNCTION("""COMPUTED_VALUE"""),3231.76)</f>
        <v>3231.76</v>
      </c>
      <c r="C8746" s="1">
        <f>IFERROR(__xludf.DUMMYFUNCTION("""COMPUTED_VALUE"""),3250.92)</f>
        <v>3250.92</v>
      </c>
      <c r="D8746" s="1">
        <f>IFERROR(__xludf.DUMMYFUNCTION("""COMPUTED_VALUE"""),3204.13)</f>
        <v>3204.13</v>
      </c>
      <c r="E8746" s="1">
        <f>IFERROR(__xludf.DUMMYFUNCTION("""COMPUTED_VALUE"""),3246.22)</f>
        <v>3246.22</v>
      </c>
      <c r="F8746" s="1">
        <f>IFERROR(__xludf.DUMMYFUNCTION("""COMPUTED_VALUE"""),0.0)</f>
        <v>0</v>
      </c>
    </row>
    <row r="8747">
      <c r="A8747" s="2">
        <f>IFERROR(__xludf.DUMMYFUNCTION("""COMPUTED_VALUE"""),44043.66666666667)</f>
        <v>44043.66667</v>
      </c>
      <c r="B8747" s="1">
        <f>IFERROR(__xludf.DUMMYFUNCTION("""COMPUTED_VALUE"""),3270.45)</f>
        <v>3270.45</v>
      </c>
      <c r="C8747" s="1">
        <f>IFERROR(__xludf.DUMMYFUNCTION("""COMPUTED_VALUE"""),3272.17)</f>
        <v>3272.17</v>
      </c>
      <c r="D8747" s="1">
        <f>IFERROR(__xludf.DUMMYFUNCTION("""COMPUTED_VALUE"""),3220.26)</f>
        <v>3220.26</v>
      </c>
      <c r="E8747" s="1">
        <f>IFERROR(__xludf.DUMMYFUNCTION("""COMPUTED_VALUE"""),3271.12)</f>
        <v>3271.12</v>
      </c>
      <c r="F8747" s="1">
        <f>IFERROR(__xludf.DUMMYFUNCTION("""COMPUTED_VALUE"""),0.0)</f>
        <v>0</v>
      </c>
    </row>
    <row r="8748">
      <c r="A8748" s="2">
        <f>IFERROR(__xludf.DUMMYFUNCTION("""COMPUTED_VALUE"""),44046.66666666667)</f>
        <v>44046.66667</v>
      </c>
      <c r="B8748" s="1">
        <f>IFERROR(__xludf.DUMMYFUNCTION("""COMPUTED_VALUE"""),3288.26)</f>
        <v>3288.26</v>
      </c>
      <c r="C8748" s="1">
        <f>IFERROR(__xludf.DUMMYFUNCTION("""COMPUTED_VALUE"""),3302.73)</f>
        <v>3302.73</v>
      </c>
      <c r="D8748" s="1">
        <f>IFERROR(__xludf.DUMMYFUNCTION("""COMPUTED_VALUE"""),3284.53)</f>
        <v>3284.53</v>
      </c>
      <c r="E8748" s="1">
        <f>IFERROR(__xludf.DUMMYFUNCTION("""COMPUTED_VALUE"""),3294.61)</f>
        <v>3294.61</v>
      </c>
      <c r="F8748" s="1">
        <f>IFERROR(__xludf.DUMMYFUNCTION("""COMPUTED_VALUE"""),0.0)</f>
        <v>0</v>
      </c>
    </row>
    <row r="8749">
      <c r="A8749" s="2">
        <f>IFERROR(__xludf.DUMMYFUNCTION("""COMPUTED_VALUE"""),44047.66666666667)</f>
        <v>44047.66667</v>
      </c>
      <c r="B8749" s="1">
        <f>IFERROR(__xludf.DUMMYFUNCTION("""COMPUTED_VALUE"""),3289.92)</f>
        <v>3289.92</v>
      </c>
      <c r="C8749" s="1">
        <f>IFERROR(__xludf.DUMMYFUNCTION("""COMPUTED_VALUE"""),3306.84)</f>
        <v>3306.84</v>
      </c>
      <c r="D8749" s="1">
        <f>IFERROR(__xludf.DUMMYFUNCTION("""COMPUTED_VALUE"""),3286.37)</f>
        <v>3286.37</v>
      </c>
      <c r="E8749" s="1">
        <f>IFERROR(__xludf.DUMMYFUNCTION("""COMPUTED_VALUE"""),3306.51)</f>
        <v>3306.51</v>
      </c>
      <c r="F8749" s="1">
        <f>IFERROR(__xludf.DUMMYFUNCTION("""COMPUTED_VALUE"""),0.0)</f>
        <v>0</v>
      </c>
    </row>
    <row r="8750">
      <c r="A8750" s="2">
        <f>IFERROR(__xludf.DUMMYFUNCTION("""COMPUTED_VALUE"""),44048.66666666667)</f>
        <v>44048.66667</v>
      </c>
      <c r="B8750" s="1">
        <f>IFERROR(__xludf.DUMMYFUNCTION("""COMPUTED_VALUE"""),3317.37)</f>
        <v>3317.37</v>
      </c>
      <c r="C8750" s="1">
        <f>IFERROR(__xludf.DUMMYFUNCTION("""COMPUTED_VALUE"""),3330.77)</f>
        <v>3330.77</v>
      </c>
      <c r="D8750" s="1">
        <f>IFERROR(__xludf.DUMMYFUNCTION("""COMPUTED_VALUE"""),3317.37)</f>
        <v>3317.37</v>
      </c>
      <c r="E8750" s="1">
        <f>IFERROR(__xludf.DUMMYFUNCTION("""COMPUTED_VALUE"""),3327.77)</f>
        <v>3327.77</v>
      </c>
      <c r="F8750" s="1">
        <f>IFERROR(__xludf.DUMMYFUNCTION("""COMPUTED_VALUE"""),0.0)</f>
        <v>0</v>
      </c>
    </row>
    <row r="8751">
      <c r="A8751" s="2">
        <f>IFERROR(__xludf.DUMMYFUNCTION("""COMPUTED_VALUE"""),44049.66666666667)</f>
        <v>44049.66667</v>
      </c>
      <c r="B8751" s="1">
        <f>IFERROR(__xludf.DUMMYFUNCTION("""COMPUTED_VALUE"""),3323.17)</f>
        <v>3323.17</v>
      </c>
      <c r="C8751" s="1">
        <f>IFERROR(__xludf.DUMMYFUNCTION("""COMPUTED_VALUE"""),3351.03)</f>
        <v>3351.03</v>
      </c>
      <c r="D8751" s="1">
        <f>IFERROR(__xludf.DUMMYFUNCTION("""COMPUTED_VALUE"""),3318.14)</f>
        <v>3318.14</v>
      </c>
      <c r="E8751" s="1">
        <f>IFERROR(__xludf.DUMMYFUNCTION("""COMPUTED_VALUE"""),3349.16)</f>
        <v>3349.16</v>
      </c>
      <c r="F8751" s="1">
        <f>IFERROR(__xludf.DUMMYFUNCTION("""COMPUTED_VALUE"""),0.0)</f>
        <v>0</v>
      </c>
    </row>
    <row r="8752">
      <c r="A8752" s="2">
        <f>IFERROR(__xludf.DUMMYFUNCTION("""COMPUTED_VALUE"""),44050.66666666667)</f>
        <v>44050.66667</v>
      </c>
      <c r="B8752" s="1">
        <f>IFERROR(__xludf.DUMMYFUNCTION("""COMPUTED_VALUE"""),3340.05)</f>
        <v>3340.05</v>
      </c>
      <c r="C8752" s="1">
        <f>IFERROR(__xludf.DUMMYFUNCTION("""COMPUTED_VALUE"""),3352.54)</f>
        <v>3352.54</v>
      </c>
      <c r="D8752" s="1">
        <f>IFERROR(__xludf.DUMMYFUNCTION("""COMPUTED_VALUE"""),3328.72)</f>
        <v>3328.72</v>
      </c>
      <c r="E8752" s="1">
        <f>IFERROR(__xludf.DUMMYFUNCTION("""COMPUTED_VALUE"""),3351.28)</f>
        <v>3351.28</v>
      </c>
      <c r="F8752" s="1">
        <f>IFERROR(__xludf.DUMMYFUNCTION("""COMPUTED_VALUE"""),0.0)</f>
        <v>0</v>
      </c>
    </row>
    <row r="8753">
      <c r="A8753" s="2">
        <f>IFERROR(__xludf.DUMMYFUNCTION("""COMPUTED_VALUE"""),44053.66666666667)</f>
        <v>44053.66667</v>
      </c>
      <c r="B8753" s="1">
        <f>IFERROR(__xludf.DUMMYFUNCTION("""COMPUTED_VALUE"""),3356.04)</f>
        <v>3356.04</v>
      </c>
      <c r="C8753" s="1">
        <f>IFERROR(__xludf.DUMMYFUNCTION("""COMPUTED_VALUE"""),3363.29)</f>
        <v>3363.29</v>
      </c>
      <c r="D8753" s="1">
        <f>IFERROR(__xludf.DUMMYFUNCTION("""COMPUTED_VALUE"""),3335.44)</f>
        <v>3335.44</v>
      </c>
      <c r="E8753" s="1">
        <f>IFERROR(__xludf.DUMMYFUNCTION("""COMPUTED_VALUE"""),3360.47)</f>
        <v>3360.47</v>
      </c>
      <c r="F8753" s="1">
        <f>IFERROR(__xludf.DUMMYFUNCTION("""COMPUTED_VALUE"""),0.0)</f>
        <v>0</v>
      </c>
    </row>
    <row r="8754">
      <c r="A8754" s="2">
        <f>IFERROR(__xludf.DUMMYFUNCTION("""COMPUTED_VALUE"""),44054.66666666667)</f>
        <v>44054.66667</v>
      </c>
      <c r="B8754" s="1">
        <f>IFERROR(__xludf.DUMMYFUNCTION("""COMPUTED_VALUE"""),3370.34)</f>
        <v>3370.34</v>
      </c>
      <c r="C8754" s="1">
        <f>IFERROR(__xludf.DUMMYFUNCTION("""COMPUTED_VALUE"""),3381.01)</f>
        <v>3381.01</v>
      </c>
      <c r="D8754" s="1">
        <f>IFERROR(__xludf.DUMMYFUNCTION("""COMPUTED_VALUE"""),3326.44)</f>
        <v>3326.44</v>
      </c>
      <c r="E8754" s="1">
        <f>IFERROR(__xludf.DUMMYFUNCTION("""COMPUTED_VALUE"""),3333.69)</f>
        <v>3333.69</v>
      </c>
      <c r="F8754" s="1">
        <f>IFERROR(__xludf.DUMMYFUNCTION("""COMPUTED_VALUE"""),0.0)</f>
        <v>0</v>
      </c>
    </row>
    <row r="8755">
      <c r="A8755" s="2">
        <f>IFERROR(__xludf.DUMMYFUNCTION("""COMPUTED_VALUE"""),44055.66666666667)</f>
        <v>44055.66667</v>
      </c>
      <c r="B8755" s="1">
        <f>IFERROR(__xludf.DUMMYFUNCTION("""COMPUTED_VALUE"""),3355.46)</f>
        <v>3355.46</v>
      </c>
      <c r="C8755" s="1">
        <f>IFERROR(__xludf.DUMMYFUNCTION("""COMPUTED_VALUE"""),3387.89)</f>
        <v>3387.89</v>
      </c>
      <c r="D8755" s="1">
        <f>IFERROR(__xludf.DUMMYFUNCTION("""COMPUTED_VALUE"""),3355.46)</f>
        <v>3355.46</v>
      </c>
      <c r="E8755" s="1">
        <f>IFERROR(__xludf.DUMMYFUNCTION("""COMPUTED_VALUE"""),3380.35)</f>
        <v>3380.35</v>
      </c>
      <c r="F8755" s="1">
        <f>IFERROR(__xludf.DUMMYFUNCTION("""COMPUTED_VALUE"""),0.0)</f>
        <v>0</v>
      </c>
    </row>
    <row r="8756">
      <c r="A8756" s="2">
        <f>IFERROR(__xludf.DUMMYFUNCTION("""COMPUTED_VALUE"""),44056.66666666667)</f>
        <v>44056.66667</v>
      </c>
      <c r="B8756" s="1">
        <f>IFERROR(__xludf.DUMMYFUNCTION("""COMPUTED_VALUE"""),3372.95)</f>
        <v>3372.95</v>
      </c>
      <c r="C8756" s="1">
        <f>IFERROR(__xludf.DUMMYFUNCTION("""COMPUTED_VALUE"""),3387.24)</f>
        <v>3387.24</v>
      </c>
      <c r="D8756" s="1">
        <f>IFERROR(__xludf.DUMMYFUNCTION("""COMPUTED_VALUE"""),3363.35)</f>
        <v>3363.35</v>
      </c>
      <c r="E8756" s="1">
        <f>IFERROR(__xludf.DUMMYFUNCTION("""COMPUTED_VALUE"""),3373.43)</f>
        <v>3373.43</v>
      </c>
      <c r="F8756" s="1">
        <f>IFERROR(__xludf.DUMMYFUNCTION("""COMPUTED_VALUE"""),0.0)</f>
        <v>0</v>
      </c>
    </row>
    <row r="8757">
      <c r="A8757" s="2">
        <f>IFERROR(__xludf.DUMMYFUNCTION("""COMPUTED_VALUE"""),44057.66666666667)</f>
        <v>44057.66667</v>
      </c>
      <c r="B8757" s="1">
        <f>IFERROR(__xludf.DUMMYFUNCTION("""COMPUTED_VALUE"""),3368.66)</f>
        <v>3368.66</v>
      </c>
      <c r="C8757" s="1">
        <f>IFERROR(__xludf.DUMMYFUNCTION("""COMPUTED_VALUE"""),3378.51)</f>
        <v>3378.51</v>
      </c>
      <c r="D8757" s="1">
        <f>IFERROR(__xludf.DUMMYFUNCTION("""COMPUTED_VALUE"""),3361.64)</f>
        <v>3361.64</v>
      </c>
      <c r="E8757" s="1">
        <f>IFERROR(__xludf.DUMMYFUNCTION("""COMPUTED_VALUE"""),3372.85)</f>
        <v>3372.85</v>
      </c>
      <c r="F8757" s="1">
        <f>IFERROR(__xludf.DUMMYFUNCTION("""COMPUTED_VALUE"""),0.0)</f>
        <v>0</v>
      </c>
    </row>
    <row r="8758">
      <c r="A8758" s="2">
        <f>IFERROR(__xludf.DUMMYFUNCTION("""COMPUTED_VALUE"""),44060.66666666667)</f>
        <v>44060.66667</v>
      </c>
      <c r="B8758" s="1">
        <f>IFERROR(__xludf.DUMMYFUNCTION("""COMPUTED_VALUE"""),3380.86)</f>
        <v>3380.86</v>
      </c>
      <c r="C8758" s="1">
        <f>IFERROR(__xludf.DUMMYFUNCTION("""COMPUTED_VALUE"""),3387.59)</f>
        <v>3387.59</v>
      </c>
      <c r="D8758" s="1">
        <f>IFERROR(__xludf.DUMMYFUNCTION("""COMPUTED_VALUE"""),3379.22)</f>
        <v>3379.22</v>
      </c>
      <c r="E8758" s="1">
        <f>IFERROR(__xludf.DUMMYFUNCTION("""COMPUTED_VALUE"""),3381.99)</f>
        <v>3381.99</v>
      </c>
      <c r="F8758" s="1">
        <f>IFERROR(__xludf.DUMMYFUNCTION("""COMPUTED_VALUE"""),0.0)</f>
        <v>0</v>
      </c>
    </row>
    <row r="8759">
      <c r="A8759" s="2">
        <f>IFERROR(__xludf.DUMMYFUNCTION("""COMPUTED_VALUE"""),44061.66666666667)</f>
        <v>44061.66667</v>
      </c>
      <c r="B8759" s="1">
        <f>IFERROR(__xludf.DUMMYFUNCTION("""COMPUTED_VALUE"""),3387.04)</f>
        <v>3387.04</v>
      </c>
      <c r="C8759" s="1">
        <f>IFERROR(__xludf.DUMMYFUNCTION("""COMPUTED_VALUE"""),3395.06)</f>
        <v>3395.06</v>
      </c>
      <c r="D8759" s="1">
        <f>IFERROR(__xludf.DUMMYFUNCTION("""COMPUTED_VALUE"""),3370.15)</f>
        <v>3370.15</v>
      </c>
      <c r="E8759" s="1">
        <f>IFERROR(__xludf.DUMMYFUNCTION("""COMPUTED_VALUE"""),3389.78)</f>
        <v>3389.78</v>
      </c>
      <c r="F8759" s="1">
        <f>IFERROR(__xludf.DUMMYFUNCTION("""COMPUTED_VALUE"""),0.0)</f>
        <v>0</v>
      </c>
    </row>
    <row r="8760">
      <c r="A8760" s="2">
        <f>IFERROR(__xludf.DUMMYFUNCTION("""COMPUTED_VALUE"""),44062.66666666667)</f>
        <v>44062.66667</v>
      </c>
      <c r="B8760" s="1">
        <f>IFERROR(__xludf.DUMMYFUNCTION("""COMPUTED_VALUE"""),3392.51)</f>
        <v>3392.51</v>
      </c>
      <c r="C8760" s="1">
        <f>IFERROR(__xludf.DUMMYFUNCTION("""COMPUTED_VALUE"""),3399.54)</f>
        <v>3399.54</v>
      </c>
      <c r="D8760" s="1">
        <f>IFERROR(__xludf.DUMMYFUNCTION("""COMPUTED_VALUE"""),3369.66)</f>
        <v>3369.66</v>
      </c>
      <c r="E8760" s="1">
        <f>IFERROR(__xludf.DUMMYFUNCTION("""COMPUTED_VALUE"""),3374.85)</f>
        <v>3374.85</v>
      </c>
      <c r="F8760" s="1">
        <f>IFERROR(__xludf.DUMMYFUNCTION("""COMPUTED_VALUE"""),0.0)</f>
        <v>0</v>
      </c>
    </row>
    <row r="8761">
      <c r="A8761" s="2">
        <f>IFERROR(__xludf.DUMMYFUNCTION("""COMPUTED_VALUE"""),44063.66666666667)</f>
        <v>44063.66667</v>
      </c>
      <c r="B8761" s="1">
        <f>IFERROR(__xludf.DUMMYFUNCTION("""COMPUTED_VALUE"""),3360.48)</f>
        <v>3360.48</v>
      </c>
      <c r="C8761" s="1">
        <f>IFERROR(__xludf.DUMMYFUNCTION("""COMPUTED_VALUE"""),3390.8)</f>
        <v>3390.8</v>
      </c>
      <c r="D8761" s="1">
        <f>IFERROR(__xludf.DUMMYFUNCTION("""COMPUTED_VALUE"""),3354.69)</f>
        <v>3354.69</v>
      </c>
      <c r="E8761" s="1">
        <f>IFERROR(__xludf.DUMMYFUNCTION("""COMPUTED_VALUE"""),3385.51)</f>
        <v>3385.51</v>
      </c>
      <c r="F8761" s="1">
        <f>IFERROR(__xludf.DUMMYFUNCTION("""COMPUTED_VALUE"""),0.0)</f>
        <v>0</v>
      </c>
    </row>
    <row r="8762">
      <c r="A8762" s="2">
        <f>IFERROR(__xludf.DUMMYFUNCTION("""COMPUTED_VALUE"""),44064.66666666667)</f>
        <v>44064.66667</v>
      </c>
      <c r="B8762" s="1">
        <f>IFERROR(__xludf.DUMMYFUNCTION("""COMPUTED_VALUE"""),3386.01)</f>
        <v>3386.01</v>
      </c>
      <c r="C8762" s="1">
        <f>IFERROR(__xludf.DUMMYFUNCTION("""COMPUTED_VALUE"""),3399.96)</f>
        <v>3399.96</v>
      </c>
      <c r="D8762" s="1">
        <f>IFERROR(__xludf.DUMMYFUNCTION("""COMPUTED_VALUE"""),3379.31)</f>
        <v>3379.31</v>
      </c>
      <c r="E8762" s="1">
        <f>IFERROR(__xludf.DUMMYFUNCTION("""COMPUTED_VALUE"""),3397.16)</f>
        <v>3397.16</v>
      </c>
      <c r="F8762" s="1">
        <f>IFERROR(__xludf.DUMMYFUNCTION("""COMPUTED_VALUE"""),0.0)</f>
        <v>0</v>
      </c>
    </row>
    <row r="8763">
      <c r="A8763" s="2">
        <f>IFERROR(__xludf.DUMMYFUNCTION("""COMPUTED_VALUE"""),44067.66666666667)</f>
        <v>44067.66667</v>
      </c>
      <c r="B8763" s="1">
        <f>IFERROR(__xludf.DUMMYFUNCTION("""COMPUTED_VALUE"""),3418.09)</f>
        <v>3418.09</v>
      </c>
      <c r="C8763" s="1">
        <f>IFERROR(__xludf.DUMMYFUNCTION("""COMPUTED_VALUE"""),3432.09)</f>
        <v>3432.09</v>
      </c>
      <c r="D8763" s="1">
        <f>IFERROR(__xludf.DUMMYFUNCTION("""COMPUTED_VALUE"""),3413.13)</f>
        <v>3413.13</v>
      </c>
      <c r="E8763" s="1">
        <f>IFERROR(__xludf.DUMMYFUNCTION("""COMPUTED_VALUE"""),3431.28)</f>
        <v>3431.28</v>
      </c>
      <c r="F8763" s="1">
        <f>IFERROR(__xludf.DUMMYFUNCTION("""COMPUTED_VALUE"""),0.0)</f>
        <v>0</v>
      </c>
    </row>
    <row r="8764">
      <c r="A8764" s="2">
        <f>IFERROR(__xludf.DUMMYFUNCTION("""COMPUTED_VALUE"""),44068.66666666667)</f>
        <v>44068.66667</v>
      </c>
      <c r="B8764" s="1">
        <f>IFERROR(__xludf.DUMMYFUNCTION("""COMPUTED_VALUE"""),3435.95)</f>
        <v>3435.95</v>
      </c>
      <c r="C8764" s="1">
        <f>IFERROR(__xludf.DUMMYFUNCTION("""COMPUTED_VALUE"""),3444.21)</f>
        <v>3444.21</v>
      </c>
      <c r="D8764" s="1">
        <f>IFERROR(__xludf.DUMMYFUNCTION("""COMPUTED_VALUE"""),3425.84)</f>
        <v>3425.84</v>
      </c>
      <c r="E8764" s="1">
        <f>IFERROR(__xludf.DUMMYFUNCTION("""COMPUTED_VALUE"""),3443.62)</f>
        <v>3443.62</v>
      </c>
      <c r="F8764" s="1">
        <f>IFERROR(__xludf.DUMMYFUNCTION("""COMPUTED_VALUE"""),0.0)</f>
        <v>0</v>
      </c>
    </row>
    <row r="8765">
      <c r="A8765" s="2">
        <f>IFERROR(__xludf.DUMMYFUNCTION("""COMPUTED_VALUE"""),44069.66666666667)</f>
        <v>44069.66667</v>
      </c>
      <c r="B8765" s="1">
        <f>IFERROR(__xludf.DUMMYFUNCTION("""COMPUTED_VALUE"""),3449.97)</f>
        <v>3449.97</v>
      </c>
      <c r="C8765" s="1">
        <f>IFERROR(__xludf.DUMMYFUNCTION("""COMPUTED_VALUE"""),3481.07)</f>
        <v>3481.07</v>
      </c>
      <c r="D8765" s="1">
        <f>IFERROR(__xludf.DUMMYFUNCTION("""COMPUTED_VALUE"""),3444.15)</f>
        <v>3444.15</v>
      </c>
      <c r="E8765" s="1">
        <f>IFERROR(__xludf.DUMMYFUNCTION("""COMPUTED_VALUE"""),3478.73)</f>
        <v>3478.73</v>
      </c>
      <c r="F8765" s="1">
        <f>IFERROR(__xludf.DUMMYFUNCTION("""COMPUTED_VALUE"""),0.0)</f>
        <v>0</v>
      </c>
    </row>
    <row r="8766">
      <c r="A8766" s="2">
        <f>IFERROR(__xludf.DUMMYFUNCTION("""COMPUTED_VALUE"""),44070.66666666667)</f>
        <v>44070.66667</v>
      </c>
      <c r="B8766" s="1">
        <f>IFERROR(__xludf.DUMMYFUNCTION("""COMPUTED_VALUE"""),3485.14)</f>
        <v>3485.14</v>
      </c>
      <c r="C8766" s="1">
        <f>IFERROR(__xludf.DUMMYFUNCTION("""COMPUTED_VALUE"""),3501.38)</f>
        <v>3501.38</v>
      </c>
      <c r="D8766" s="1">
        <f>IFERROR(__xludf.DUMMYFUNCTION("""COMPUTED_VALUE"""),3468.35)</f>
        <v>3468.35</v>
      </c>
      <c r="E8766" s="1">
        <f>IFERROR(__xludf.DUMMYFUNCTION("""COMPUTED_VALUE"""),3484.55)</f>
        <v>3484.55</v>
      </c>
      <c r="F8766" s="1">
        <f>IFERROR(__xludf.DUMMYFUNCTION("""COMPUTED_VALUE"""),0.0)</f>
        <v>0</v>
      </c>
    </row>
    <row r="8767">
      <c r="A8767" s="2">
        <f>IFERROR(__xludf.DUMMYFUNCTION("""COMPUTED_VALUE"""),44071.66666666667)</f>
        <v>44071.66667</v>
      </c>
      <c r="B8767" s="1">
        <f>IFERROR(__xludf.DUMMYFUNCTION("""COMPUTED_VALUE"""),3494.69)</f>
        <v>3494.69</v>
      </c>
      <c r="C8767" s="1">
        <f>IFERROR(__xludf.DUMMYFUNCTION("""COMPUTED_VALUE"""),3509.23)</f>
        <v>3509.23</v>
      </c>
      <c r="D8767" s="1">
        <f>IFERROR(__xludf.DUMMYFUNCTION("""COMPUTED_VALUE"""),3484.32)</f>
        <v>3484.32</v>
      </c>
      <c r="E8767" s="1">
        <f>IFERROR(__xludf.DUMMYFUNCTION("""COMPUTED_VALUE"""),3508.01)</f>
        <v>3508.01</v>
      </c>
      <c r="F8767" s="1">
        <f>IFERROR(__xludf.DUMMYFUNCTION("""COMPUTED_VALUE"""),0.0)</f>
        <v>0</v>
      </c>
    </row>
    <row r="8768">
      <c r="A8768" s="2">
        <f>IFERROR(__xludf.DUMMYFUNCTION("""COMPUTED_VALUE"""),44074.66666666667)</f>
        <v>44074.66667</v>
      </c>
      <c r="B8768" s="1">
        <f>IFERROR(__xludf.DUMMYFUNCTION("""COMPUTED_VALUE"""),3509.73)</f>
        <v>3509.73</v>
      </c>
      <c r="C8768" s="1">
        <f>IFERROR(__xludf.DUMMYFUNCTION("""COMPUTED_VALUE"""),3514.77)</f>
        <v>3514.77</v>
      </c>
      <c r="D8768" s="1">
        <f>IFERROR(__xludf.DUMMYFUNCTION("""COMPUTED_VALUE"""),3493.25)</f>
        <v>3493.25</v>
      </c>
      <c r="E8768" s="1">
        <f>IFERROR(__xludf.DUMMYFUNCTION("""COMPUTED_VALUE"""),3500.31)</f>
        <v>3500.31</v>
      </c>
      <c r="F8768" s="1">
        <f>IFERROR(__xludf.DUMMYFUNCTION("""COMPUTED_VALUE"""),0.0)</f>
        <v>0</v>
      </c>
    </row>
    <row r="8769">
      <c r="A8769" s="2">
        <f>IFERROR(__xludf.DUMMYFUNCTION("""COMPUTED_VALUE"""),44075.66666666667)</f>
        <v>44075.66667</v>
      </c>
      <c r="B8769" s="1">
        <f>IFERROR(__xludf.DUMMYFUNCTION("""COMPUTED_VALUE"""),3507.44)</f>
        <v>3507.44</v>
      </c>
      <c r="C8769" s="1">
        <f>IFERROR(__xludf.DUMMYFUNCTION("""COMPUTED_VALUE"""),3528.03)</f>
        <v>3528.03</v>
      </c>
      <c r="D8769" s="1">
        <f>IFERROR(__xludf.DUMMYFUNCTION("""COMPUTED_VALUE"""),3494.6)</f>
        <v>3494.6</v>
      </c>
      <c r="E8769" s="1">
        <f>IFERROR(__xludf.DUMMYFUNCTION("""COMPUTED_VALUE"""),3526.65)</f>
        <v>3526.65</v>
      </c>
      <c r="F8769" s="1">
        <f>IFERROR(__xludf.DUMMYFUNCTION("""COMPUTED_VALUE"""),0.0)</f>
        <v>0</v>
      </c>
    </row>
    <row r="8770">
      <c r="A8770" s="2">
        <f>IFERROR(__xludf.DUMMYFUNCTION("""COMPUTED_VALUE"""),44076.66666666667)</f>
        <v>44076.66667</v>
      </c>
      <c r="B8770" s="1">
        <f>IFERROR(__xludf.DUMMYFUNCTION("""COMPUTED_VALUE"""),3543.76)</f>
        <v>3543.76</v>
      </c>
      <c r="C8770" s="1">
        <f>IFERROR(__xludf.DUMMYFUNCTION("""COMPUTED_VALUE"""),3588.11)</f>
        <v>3588.11</v>
      </c>
      <c r="D8770" s="1">
        <f>IFERROR(__xludf.DUMMYFUNCTION("""COMPUTED_VALUE"""),3535.23)</f>
        <v>3535.23</v>
      </c>
      <c r="E8770" s="1">
        <f>IFERROR(__xludf.DUMMYFUNCTION("""COMPUTED_VALUE"""),3580.84)</f>
        <v>3580.84</v>
      </c>
      <c r="F8770" s="1">
        <f>IFERROR(__xludf.DUMMYFUNCTION("""COMPUTED_VALUE"""),0.0)</f>
        <v>0</v>
      </c>
    </row>
    <row r="8771">
      <c r="A8771" s="2">
        <f>IFERROR(__xludf.DUMMYFUNCTION("""COMPUTED_VALUE"""),44077.66666666667)</f>
        <v>44077.66667</v>
      </c>
      <c r="B8771" s="1">
        <f>IFERROR(__xludf.DUMMYFUNCTION("""COMPUTED_VALUE"""),3564.74)</f>
        <v>3564.74</v>
      </c>
      <c r="C8771" s="1">
        <f>IFERROR(__xludf.DUMMYFUNCTION("""COMPUTED_VALUE"""),3564.85)</f>
        <v>3564.85</v>
      </c>
      <c r="D8771" s="1">
        <f>IFERROR(__xludf.DUMMYFUNCTION("""COMPUTED_VALUE"""),3427.41)</f>
        <v>3427.41</v>
      </c>
      <c r="E8771" s="1">
        <f>IFERROR(__xludf.DUMMYFUNCTION("""COMPUTED_VALUE"""),3455.06)</f>
        <v>3455.06</v>
      </c>
      <c r="F8771" s="1">
        <f>IFERROR(__xludf.DUMMYFUNCTION("""COMPUTED_VALUE"""),0.0)</f>
        <v>0</v>
      </c>
    </row>
    <row r="8772">
      <c r="A8772" s="2">
        <f>IFERROR(__xludf.DUMMYFUNCTION("""COMPUTED_VALUE"""),44078.66666666667)</f>
        <v>44078.66667</v>
      </c>
      <c r="B8772" s="1">
        <f>IFERROR(__xludf.DUMMYFUNCTION("""COMPUTED_VALUE"""),3453.6)</f>
        <v>3453.6</v>
      </c>
      <c r="C8772" s="1">
        <f>IFERROR(__xludf.DUMMYFUNCTION("""COMPUTED_VALUE"""),3479.15)</f>
        <v>3479.15</v>
      </c>
      <c r="D8772" s="1">
        <f>IFERROR(__xludf.DUMMYFUNCTION("""COMPUTED_VALUE"""),3349.63)</f>
        <v>3349.63</v>
      </c>
      <c r="E8772" s="1">
        <f>IFERROR(__xludf.DUMMYFUNCTION("""COMPUTED_VALUE"""),3426.96)</f>
        <v>3426.96</v>
      </c>
      <c r="F8772" s="1">
        <f>IFERROR(__xludf.DUMMYFUNCTION("""COMPUTED_VALUE"""),0.0)</f>
        <v>0</v>
      </c>
    </row>
    <row r="8773">
      <c r="A8773" s="2">
        <f>IFERROR(__xludf.DUMMYFUNCTION("""COMPUTED_VALUE"""),44082.66666666667)</f>
        <v>44082.66667</v>
      </c>
      <c r="B8773" s="1">
        <f>IFERROR(__xludf.DUMMYFUNCTION("""COMPUTED_VALUE"""),3371.88)</f>
        <v>3371.88</v>
      </c>
      <c r="C8773" s="1">
        <f>IFERROR(__xludf.DUMMYFUNCTION("""COMPUTED_VALUE"""),3379.97)</f>
        <v>3379.97</v>
      </c>
      <c r="D8773" s="1">
        <f>IFERROR(__xludf.DUMMYFUNCTION("""COMPUTED_VALUE"""),3329.27)</f>
        <v>3329.27</v>
      </c>
      <c r="E8773" s="1">
        <f>IFERROR(__xludf.DUMMYFUNCTION("""COMPUTED_VALUE"""),3331.84)</f>
        <v>3331.84</v>
      </c>
      <c r="F8773" s="1">
        <f>IFERROR(__xludf.DUMMYFUNCTION("""COMPUTED_VALUE"""),0.0)</f>
        <v>0</v>
      </c>
    </row>
    <row r="8774">
      <c r="A8774" s="2">
        <f>IFERROR(__xludf.DUMMYFUNCTION("""COMPUTED_VALUE"""),44083.66666666667)</f>
        <v>44083.66667</v>
      </c>
      <c r="B8774" s="1">
        <f>IFERROR(__xludf.DUMMYFUNCTION("""COMPUTED_VALUE"""),3369.82)</f>
        <v>3369.82</v>
      </c>
      <c r="C8774" s="1">
        <f>IFERROR(__xludf.DUMMYFUNCTION("""COMPUTED_VALUE"""),3424.77)</f>
        <v>3424.77</v>
      </c>
      <c r="D8774" s="1">
        <f>IFERROR(__xludf.DUMMYFUNCTION("""COMPUTED_VALUE"""),3366.84)</f>
        <v>3366.84</v>
      </c>
      <c r="E8774" s="1">
        <f>IFERROR(__xludf.DUMMYFUNCTION("""COMPUTED_VALUE"""),3398.96)</f>
        <v>3398.96</v>
      </c>
      <c r="F8774" s="1">
        <f>IFERROR(__xludf.DUMMYFUNCTION("""COMPUTED_VALUE"""),0.0)</f>
        <v>0</v>
      </c>
    </row>
    <row r="8775">
      <c r="A8775" s="2">
        <f>IFERROR(__xludf.DUMMYFUNCTION("""COMPUTED_VALUE"""),44084.66666666667)</f>
        <v>44084.66667</v>
      </c>
      <c r="B8775" s="1">
        <f>IFERROR(__xludf.DUMMYFUNCTION("""COMPUTED_VALUE"""),3412.56)</f>
        <v>3412.56</v>
      </c>
      <c r="C8775" s="1">
        <f>IFERROR(__xludf.DUMMYFUNCTION("""COMPUTED_VALUE"""),3425.55)</f>
        <v>3425.55</v>
      </c>
      <c r="D8775" s="1">
        <f>IFERROR(__xludf.DUMMYFUNCTION("""COMPUTED_VALUE"""),3329.25)</f>
        <v>3329.25</v>
      </c>
      <c r="E8775" s="1">
        <f>IFERROR(__xludf.DUMMYFUNCTION("""COMPUTED_VALUE"""),3339.19)</f>
        <v>3339.19</v>
      </c>
      <c r="F8775" s="1">
        <f>IFERROR(__xludf.DUMMYFUNCTION("""COMPUTED_VALUE"""),0.0)</f>
        <v>0</v>
      </c>
    </row>
    <row r="8776">
      <c r="A8776" s="2">
        <f>IFERROR(__xludf.DUMMYFUNCTION("""COMPUTED_VALUE"""),44085.66666666667)</f>
        <v>44085.66667</v>
      </c>
      <c r="B8776" s="1">
        <f>IFERROR(__xludf.DUMMYFUNCTION("""COMPUTED_VALUE"""),3352.7)</f>
        <v>3352.7</v>
      </c>
      <c r="C8776" s="1">
        <f>IFERROR(__xludf.DUMMYFUNCTION("""COMPUTED_VALUE"""),3368.95)</f>
        <v>3368.95</v>
      </c>
      <c r="D8776" s="1">
        <f>IFERROR(__xludf.DUMMYFUNCTION("""COMPUTED_VALUE"""),3310.47)</f>
        <v>3310.47</v>
      </c>
      <c r="E8776" s="1">
        <f>IFERROR(__xludf.DUMMYFUNCTION("""COMPUTED_VALUE"""),3340.97)</f>
        <v>3340.97</v>
      </c>
      <c r="F8776" s="1">
        <f>IFERROR(__xludf.DUMMYFUNCTION("""COMPUTED_VALUE"""),0.0)</f>
        <v>0</v>
      </c>
    </row>
    <row r="8777">
      <c r="A8777" s="2">
        <f>IFERROR(__xludf.DUMMYFUNCTION("""COMPUTED_VALUE"""),44088.66666666667)</f>
        <v>44088.66667</v>
      </c>
      <c r="B8777" s="1">
        <f>IFERROR(__xludf.DUMMYFUNCTION("""COMPUTED_VALUE"""),3363.56)</f>
        <v>3363.56</v>
      </c>
      <c r="C8777" s="1">
        <f>IFERROR(__xludf.DUMMYFUNCTION("""COMPUTED_VALUE"""),3402.93)</f>
        <v>3402.93</v>
      </c>
      <c r="D8777" s="1">
        <f>IFERROR(__xludf.DUMMYFUNCTION("""COMPUTED_VALUE"""),3363.56)</f>
        <v>3363.56</v>
      </c>
      <c r="E8777" s="1">
        <f>IFERROR(__xludf.DUMMYFUNCTION("""COMPUTED_VALUE"""),3383.54)</f>
        <v>3383.54</v>
      </c>
      <c r="F8777" s="1">
        <f>IFERROR(__xludf.DUMMYFUNCTION("""COMPUTED_VALUE"""),0.0)</f>
        <v>0</v>
      </c>
    </row>
    <row r="8778">
      <c r="A8778" s="2">
        <f>IFERROR(__xludf.DUMMYFUNCTION("""COMPUTED_VALUE"""),44089.66666666667)</f>
        <v>44089.66667</v>
      </c>
      <c r="B8778" s="1">
        <f>IFERROR(__xludf.DUMMYFUNCTION("""COMPUTED_VALUE"""),3407.73)</f>
        <v>3407.73</v>
      </c>
      <c r="C8778" s="1">
        <f>IFERROR(__xludf.DUMMYFUNCTION("""COMPUTED_VALUE"""),3419.48)</f>
        <v>3419.48</v>
      </c>
      <c r="D8778" s="1">
        <f>IFERROR(__xludf.DUMMYFUNCTION("""COMPUTED_VALUE"""),3389.25)</f>
        <v>3389.25</v>
      </c>
      <c r="E8778" s="1">
        <f>IFERROR(__xludf.DUMMYFUNCTION("""COMPUTED_VALUE"""),3401.2)</f>
        <v>3401.2</v>
      </c>
      <c r="F8778" s="1">
        <f>IFERROR(__xludf.DUMMYFUNCTION("""COMPUTED_VALUE"""),0.0)</f>
        <v>0</v>
      </c>
    </row>
    <row r="8779">
      <c r="A8779" s="2">
        <f>IFERROR(__xludf.DUMMYFUNCTION("""COMPUTED_VALUE"""),44090.66666666667)</f>
        <v>44090.66667</v>
      </c>
      <c r="B8779" s="1">
        <f>IFERROR(__xludf.DUMMYFUNCTION("""COMPUTED_VALUE"""),3411.23)</f>
        <v>3411.23</v>
      </c>
      <c r="C8779" s="1">
        <f>IFERROR(__xludf.DUMMYFUNCTION("""COMPUTED_VALUE"""),3428.92)</f>
        <v>3428.92</v>
      </c>
      <c r="D8779" s="1">
        <f>IFERROR(__xludf.DUMMYFUNCTION("""COMPUTED_VALUE"""),3384.45)</f>
        <v>3384.45</v>
      </c>
      <c r="E8779" s="1">
        <f>IFERROR(__xludf.DUMMYFUNCTION("""COMPUTED_VALUE"""),3385.49)</f>
        <v>3385.49</v>
      </c>
      <c r="F8779" s="1">
        <f>IFERROR(__xludf.DUMMYFUNCTION("""COMPUTED_VALUE"""),0.0)</f>
        <v>0</v>
      </c>
    </row>
    <row r="8780">
      <c r="A8780" s="2">
        <f>IFERROR(__xludf.DUMMYFUNCTION("""COMPUTED_VALUE"""),44091.66666666667)</f>
        <v>44091.66667</v>
      </c>
      <c r="B8780" s="1">
        <f>IFERROR(__xludf.DUMMYFUNCTION("""COMPUTED_VALUE"""),3346.86)</f>
        <v>3346.86</v>
      </c>
      <c r="C8780" s="1">
        <f>IFERROR(__xludf.DUMMYFUNCTION("""COMPUTED_VALUE"""),3375.17)</f>
        <v>3375.17</v>
      </c>
      <c r="D8780" s="1">
        <f>IFERROR(__xludf.DUMMYFUNCTION("""COMPUTED_VALUE"""),3328.82)</f>
        <v>3328.82</v>
      </c>
      <c r="E8780" s="1">
        <f>IFERROR(__xludf.DUMMYFUNCTION("""COMPUTED_VALUE"""),3357.01)</f>
        <v>3357.01</v>
      </c>
      <c r="F8780" s="1">
        <f>IFERROR(__xludf.DUMMYFUNCTION("""COMPUTED_VALUE"""),0.0)</f>
        <v>0</v>
      </c>
    </row>
    <row r="8781">
      <c r="A8781" s="2">
        <f>IFERROR(__xludf.DUMMYFUNCTION("""COMPUTED_VALUE"""),44092.66666666667)</f>
        <v>44092.66667</v>
      </c>
      <c r="B8781" s="1">
        <f>IFERROR(__xludf.DUMMYFUNCTION("""COMPUTED_VALUE"""),3357.38)</f>
        <v>3357.38</v>
      </c>
      <c r="C8781" s="1">
        <f>IFERROR(__xludf.DUMMYFUNCTION("""COMPUTED_VALUE"""),3362.27)</f>
        <v>3362.27</v>
      </c>
      <c r="D8781" s="1">
        <f>IFERROR(__xludf.DUMMYFUNCTION("""COMPUTED_VALUE"""),3292.4)</f>
        <v>3292.4</v>
      </c>
      <c r="E8781" s="1">
        <f>IFERROR(__xludf.DUMMYFUNCTION("""COMPUTED_VALUE"""),3319.47)</f>
        <v>3319.47</v>
      </c>
      <c r="F8781" s="1">
        <f>IFERROR(__xludf.DUMMYFUNCTION("""COMPUTED_VALUE"""),0.0)</f>
        <v>0</v>
      </c>
    </row>
    <row r="8782">
      <c r="A8782" s="2">
        <f>IFERROR(__xludf.DUMMYFUNCTION("""COMPUTED_VALUE"""),44095.66666666667)</f>
        <v>44095.66667</v>
      </c>
      <c r="B8782" s="1">
        <f>IFERROR(__xludf.DUMMYFUNCTION("""COMPUTED_VALUE"""),3285.57)</f>
        <v>3285.57</v>
      </c>
      <c r="C8782" s="1">
        <f>IFERROR(__xludf.DUMMYFUNCTION("""COMPUTED_VALUE"""),3285.57)</f>
        <v>3285.57</v>
      </c>
      <c r="D8782" s="1">
        <f>IFERROR(__xludf.DUMMYFUNCTION("""COMPUTED_VALUE"""),3229.1)</f>
        <v>3229.1</v>
      </c>
      <c r="E8782" s="1">
        <f>IFERROR(__xludf.DUMMYFUNCTION("""COMPUTED_VALUE"""),3281.06)</f>
        <v>3281.06</v>
      </c>
      <c r="F8782" s="1">
        <f>IFERROR(__xludf.DUMMYFUNCTION("""COMPUTED_VALUE"""),0.0)</f>
        <v>0</v>
      </c>
    </row>
    <row r="8783">
      <c r="A8783" s="2">
        <f>IFERROR(__xludf.DUMMYFUNCTION("""COMPUTED_VALUE"""),44096.66666666667)</f>
        <v>44096.66667</v>
      </c>
      <c r="B8783" s="1">
        <f>IFERROR(__xludf.DUMMYFUNCTION("""COMPUTED_VALUE"""),3295.75)</f>
        <v>3295.75</v>
      </c>
      <c r="C8783" s="1">
        <f>IFERROR(__xludf.DUMMYFUNCTION("""COMPUTED_VALUE"""),3320.31)</f>
        <v>3320.31</v>
      </c>
      <c r="D8783" s="1">
        <f>IFERROR(__xludf.DUMMYFUNCTION("""COMPUTED_VALUE"""),3270.95)</f>
        <v>3270.95</v>
      </c>
      <c r="E8783" s="1">
        <f>IFERROR(__xludf.DUMMYFUNCTION("""COMPUTED_VALUE"""),3315.57)</f>
        <v>3315.57</v>
      </c>
      <c r="F8783" s="1">
        <f>IFERROR(__xludf.DUMMYFUNCTION("""COMPUTED_VALUE"""),0.0)</f>
        <v>0</v>
      </c>
    </row>
    <row r="8784">
      <c r="A8784" s="2">
        <f>IFERROR(__xludf.DUMMYFUNCTION("""COMPUTED_VALUE"""),44097.66666666667)</f>
        <v>44097.66667</v>
      </c>
      <c r="B8784" s="1">
        <f>IFERROR(__xludf.DUMMYFUNCTION("""COMPUTED_VALUE"""),3320.11)</f>
        <v>3320.11</v>
      </c>
      <c r="C8784" s="1">
        <f>IFERROR(__xludf.DUMMYFUNCTION("""COMPUTED_VALUE"""),3323.35)</f>
        <v>3323.35</v>
      </c>
      <c r="D8784" s="1">
        <f>IFERROR(__xludf.DUMMYFUNCTION("""COMPUTED_VALUE"""),3232.57)</f>
        <v>3232.57</v>
      </c>
      <c r="E8784" s="1">
        <f>IFERROR(__xludf.DUMMYFUNCTION("""COMPUTED_VALUE"""),3236.92)</f>
        <v>3236.92</v>
      </c>
      <c r="F8784" s="1">
        <f>IFERROR(__xludf.DUMMYFUNCTION("""COMPUTED_VALUE"""),0.0)</f>
        <v>0</v>
      </c>
    </row>
    <row r="8785">
      <c r="A8785" s="2">
        <f>IFERROR(__xludf.DUMMYFUNCTION("""COMPUTED_VALUE"""),44098.66666666667)</f>
        <v>44098.66667</v>
      </c>
      <c r="B8785" s="1">
        <f>IFERROR(__xludf.DUMMYFUNCTION("""COMPUTED_VALUE"""),3226.14)</f>
        <v>3226.14</v>
      </c>
      <c r="C8785" s="1">
        <f>IFERROR(__xludf.DUMMYFUNCTION("""COMPUTED_VALUE"""),3278.7)</f>
        <v>3278.7</v>
      </c>
      <c r="D8785" s="1">
        <f>IFERROR(__xludf.DUMMYFUNCTION("""COMPUTED_VALUE"""),3209.45)</f>
        <v>3209.45</v>
      </c>
      <c r="E8785" s="1">
        <f>IFERROR(__xludf.DUMMYFUNCTION("""COMPUTED_VALUE"""),3246.59)</f>
        <v>3246.59</v>
      </c>
      <c r="F8785" s="1">
        <f>IFERROR(__xludf.DUMMYFUNCTION("""COMPUTED_VALUE"""),0.0)</f>
        <v>0</v>
      </c>
    </row>
    <row r="8786">
      <c r="A8786" s="2">
        <f>IFERROR(__xludf.DUMMYFUNCTION("""COMPUTED_VALUE"""),44099.66666666667)</f>
        <v>44099.66667</v>
      </c>
      <c r="B8786" s="1">
        <f>IFERROR(__xludf.DUMMYFUNCTION("""COMPUTED_VALUE"""),3236.66)</f>
        <v>3236.66</v>
      </c>
      <c r="C8786" s="1">
        <f>IFERROR(__xludf.DUMMYFUNCTION("""COMPUTED_VALUE"""),3306.88)</f>
        <v>3306.88</v>
      </c>
      <c r="D8786" s="1">
        <f>IFERROR(__xludf.DUMMYFUNCTION("""COMPUTED_VALUE"""),3228.44)</f>
        <v>3228.44</v>
      </c>
      <c r="E8786" s="1">
        <f>IFERROR(__xludf.DUMMYFUNCTION("""COMPUTED_VALUE"""),3298.46)</f>
        <v>3298.46</v>
      </c>
      <c r="F8786" s="1">
        <f>IFERROR(__xludf.DUMMYFUNCTION("""COMPUTED_VALUE"""),0.0)</f>
        <v>0</v>
      </c>
    </row>
    <row r="8787">
      <c r="A8787" s="2">
        <f>IFERROR(__xludf.DUMMYFUNCTION("""COMPUTED_VALUE"""),44102.66666666667)</f>
        <v>44102.66667</v>
      </c>
      <c r="B8787" s="1">
        <f>IFERROR(__xludf.DUMMYFUNCTION("""COMPUTED_VALUE"""),3333.9)</f>
        <v>3333.9</v>
      </c>
      <c r="C8787" s="1">
        <f>IFERROR(__xludf.DUMMYFUNCTION("""COMPUTED_VALUE"""),3360.74)</f>
        <v>3360.74</v>
      </c>
      <c r="D8787" s="1">
        <f>IFERROR(__xludf.DUMMYFUNCTION("""COMPUTED_VALUE"""),3332.91)</f>
        <v>3332.91</v>
      </c>
      <c r="E8787" s="1">
        <f>IFERROR(__xludf.DUMMYFUNCTION("""COMPUTED_VALUE"""),3351.6)</f>
        <v>3351.6</v>
      </c>
      <c r="F8787" s="1">
        <f>IFERROR(__xludf.DUMMYFUNCTION("""COMPUTED_VALUE"""),0.0)</f>
        <v>0</v>
      </c>
    </row>
    <row r="8788">
      <c r="A8788" s="2">
        <f>IFERROR(__xludf.DUMMYFUNCTION("""COMPUTED_VALUE"""),44103.66666666667)</f>
        <v>44103.66667</v>
      </c>
      <c r="B8788" s="1">
        <f>IFERROR(__xludf.DUMMYFUNCTION("""COMPUTED_VALUE"""),3350.92)</f>
        <v>3350.92</v>
      </c>
      <c r="C8788" s="1">
        <f>IFERROR(__xludf.DUMMYFUNCTION("""COMPUTED_VALUE"""),3357.92)</f>
        <v>3357.92</v>
      </c>
      <c r="D8788" s="1">
        <f>IFERROR(__xludf.DUMMYFUNCTION("""COMPUTED_VALUE"""),3327.54)</f>
        <v>3327.54</v>
      </c>
      <c r="E8788" s="1">
        <f>IFERROR(__xludf.DUMMYFUNCTION("""COMPUTED_VALUE"""),3335.47)</f>
        <v>3335.47</v>
      </c>
      <c r="F8788" s="1">
        <f>IFERROR(__xludf.DUMMYFUNCTION("""COMPUTED_VALUE"""),0.0)</f>
        <v>0</v>
      </c>
    </row>
    <row r="8789">
      <c r="A8789" s="2">
        <f>IFERROR(__xludf.DUMMYFUNCTION("""COMPUTED_VALUE"""),44104.66666666667)</f>
        <v>44104.66667</v>
      </c>
      <c r="B8789" s="1">
        <f>IFERROR(__xludf.DUMMYFUNCTION("""COMPUTED_VALUE"""),3341.21)</f>
        <v>3341.21</v>
      </c>
      <c r="C8789" s="1">
        <f>IFERROR(__xludf.DUMMYFUNCTION("""COMPUTED_VALUE"""),3393.56)</f>
        <v>3393.56</v>
      </c>
      <c r="D8789" s="1">
        <f>IFERROR(__xludf.DUMMYFUNCTION("""COMPUTED_VALUE"""),3340.47)</f>
        <v>3340.47</v>
      </c>
      <c r="E8789" s="1">
        <f>IFERROR(__xludf.DUMMYFUNCTION("""COMPUTED_VALUE"""),3363.0)</f>
        <v>3363</v>
      </c>
      <c r="F8789" s="1">
        <f>IFERROR(__xludf.DUMMYFUNCTION("""COMPUTED_VALUE"""),0.0)</f>
        <v>0</v>
      </c>
    </row>
    <row r="8790">
      <c r="A8790" s="2">
        <f>IFERROR(__xludf.DUMMYFUNCTION("""COMPUTED_VALUE"""),44105.66666666667)</f>
        <v>44105.66667</v>
      </c>
      <c r="B8790" s="1">
        <f>IFERROR(__xludf.DUMMYFUNCTION("""COMPUTED_VALUE"""),3385.87)</f>
        <v>3385.87</v>
      </c>
      <c r="C8790" s="1">
        <f>IFERROR(__xludf.DUMMYFUNCTION("""COMPUTED_VALUE"""),3397.18)</f>
        <v>3397.18</v>
      </c>
      <c r="D8790" s="1">
        <f>IFERROR(__xludf.DUMMYFUNCTION("""COMPUTED_VALUE"""),3361.39)</f>
        <v>3361.39</v>
      </c>
      <c r="E8790" s="1">
        <f>IFERROR(__xludf.DUMMYFUNCTION("""COMPUTED_VALUE"""),3380.8)</f>
        <v>3380.8</v>
      </c>
      <c r="F8790" s="1">
        <f>IFERROR(__xludf.DUMMYFUNCTION("""COMPUTED_VALUE"""),0.0)</f>
        <v>0</v>
      </c>
    </row>
    <row r="8791">
      <c r="A8791" s="2">
        <f>IFERROR(__xludf.DUMMYFUNCTION("""COMPUTED_VALUE"""),44106.66666666667)</f>
        <v>44106.66667</v>
      </c>
      <c r="B8791" s="1">
        <f>IFERROR(__xludf.DUMMYFUNCTION("""COMPUTED_VALUE"""),3338.94)</f>
        <v>3338.94</v>
      </c>
      <c r="C8791" s="1">
        <f>IFERROR(__xludf.DUMMYFUNCTION("""COMPUTED_VALUE"""),3369.1)</f>
        <v>3369.1</v>
      </c>
      <c r="D8791" s="1">
        <f>IFERROR(__xludf.DUMMYFUNCTION("""COMPUTED_VALUE"""),3323.69)</f>
        <v>3323.69</v>
      </c>
      <c r="E8791" s="1">
        <f>IFERROR(__xludf.DUMMYFUNCTION("""COMPUTED_VALUE"""),3348.44)</f>
        <v>3348.44</v>
      </c>
      <c r="F8791" s="1">
        <f>IFERROR(__xludf.DUMMYFUNCTION("""COMPUTED_VALUE"""),0.0)</f>
        <v>0</v>
      </c>
    </row>
    <row r="8792">
      <c r="A8792" s="2">
        <f>IFERROR(__xludf.DUMMYFUNCTION("""COMPUTED_VALUE"""),44109.66666666667)</f>
        <v>44109.66667</v>
      </c>
      <c r="B8792" s="1">
        <f>IFERROR(__xludf.DUMMYFUNCTION("""COMPUTED_VALUE"""),3367.27)</f>
        <v>3367.27</v>
      </c>
      <c r="C8792" s="1">
        <f>IFERROR(__xludf.DUMMYFUNCTION("""COMPUTED_VALUE"""),3409.57)</f>
        <v>3409.57</v>
      </c>
      <c r="D8792" s="1">
        <f>IFERROR(__xludf.DUMMYFUNCTION("""COMPUTED_VALUE"""),3367.27)</f>
        <v>3367.27</v>
      </c>
      <c r="E8792" s="1">
        <f>IFERROR(__xludf.DUMMYFUNCTION("""COMPUTED_VALUE"""),3408.63)</f>
        <v>3408.63</v>
      </c>
      <c r="F8792" s="1">
        <f>IFERROR(__xludf.DUMMYFUNCTION("""COMPUTED_VALUE"""),0.0)</f>
        <v>0</v>
      </c>
    </row>
    <row r="8793">
      <c r="A8793" s="2">
        <f>IFERROR(__xludf.DUMMYFUNCTION("""COMPUTED_VALUE"""),44110.66666666667)</f>
        <v>44110.66667</v>
      </c>
      <c r="B8793" s="1">
        <f>IFERROR(__xludf.DUMMYFUNCTION("""COMPUTED_VALUE"""),3408.74)</f>
        <v>3408.74</v>
      </c>
      <c r="C8793" s="1">
        <f>IFERROR(__xludf.DUMMYFUNCTION("""COMPUTED_VALUE"""),3431.56)</f>
        <v>3431.56</v>
      </c>
      <c r="D8793" s="1">
        <f>IFERROR(__xludf.DUMMYFUNCTION("""COMPUTED_VALUE"""),3354.54)</f>
        <v>3354.54</v>
      </c>
      <c r="E8793" s="1">
        <f>IFERROR(__xludf.DUMMYFUNCTION("""COMPUTED_VALUE"""),3360.95)</f>
        <v>3360.95</v>
      </c>
      <c r="F8793" s="1">
        <f>IFERROR(__xludf.DUMMYFUNCTION("""COMPUTED_VALUE"""),0.0)</f>
        <v>0</v>
      </c>
    </row>
    <row r="8794">
      <c r="A8794" s="2">
        <f>IFERROR(__xludf.DUMMYFUNCTION("""COMPUTED_VALUE"""),44111.66666666667)</f>
        <v>44111.66667</v>
      </c>
      <c r="B8794" s="1">
        <f>IFERROR(__xludf.DUMMYFUNCTION("""COMPUTED_VALUE"""),3384.56)</f>
        <v>3384.56</v>
      </c>
      <c r="C8794" s="1">
        <f>IFERROR(__xludf.DUMMYFUNCTION("""COMPUTED_VALUE"""),3426.26)</f>
        <v>3426.26</v>
      </c>
      <c r="D8794" s="1">
        <f>IFERROR(__xludf.DUMMYFUNCTION("""COMPUTED_VALUE"""),3384.56)</f>
        <v>3384.56</v>
      </c>
      <c r="E8794" s="1">
        <f>IFERROR(__xludf.DUMMYFUNCTION("""COMPUTED_VALUE"""),3419.45)</f>
        <v>3419.45</v>
      </c>
      <c r="F8794" s="1">
        <f>IFERROR(__xludf.DUMMYFUNCTION("""COMPUTED_VALUE"""),0.0)</f>
        <v>0</v>
      </c>
    </row>
    <row r="8795">
      <c r="A8795" s="2">
        <f>IFERROR(__xludf.DUMMYFUNCTION("""COMPUTED_VALUE"""),44112.66666666667)</f>
        <v>44112.66667</v>
      </c>
      <c r="B8795" s="1">
        <f>IFERROR(__xludf.DUMMYFUNCTION("""COMPUTED_VALUE"""),3434.28)</f>
        <v>3434.28</v>
      </c>
      <c r="C8795" s="1">
        <f>IFERROR(__xludf.DUMMYFUNCTION("""COMPUTED_VALUE"""),3447.28)</f>
        <v>3447.28</v>
      </c>
      <c r="D8795" s="1">
        <f>IFERROR(__xludf.DUMMYFUNCTION("""COMPUTED_VALUE"""),3428.15)</f>
        <v>3428.15</v>
      </c>
      <c r="E8795" s="1">
        <f>IFERROR(__xludf.DUMMYFUNCTION("""COMPUTED_VALUE"""),3446.83)</f>
        <v>3446.83</v>
      </c>
      <c r="F8795" s="1">
        <f>IFERROR(__xludf.DUMMYFUNCTION("""COMPUTED_VALUE"""),0.0)</f>
        <v>0</v>
      </c>
    </row>
    <row r="8796">
      <c r="A8796" s="2">
        <f>IFERROR(__xludf.DUMMYFUNCTION("""COMPUTED_VALUE"""),44113.66666666667)</f>
        <v>44113.66667</v>
      </c>
      <c r="B8796" s="1">
        <f>IFERROR(__xludf.DUMMYFUNCTION("""COMPUTED_VALUE"""),3459.67)</f>
        <v>3459.67</v>
      </c>
      <c r="C8796" s="1">
        <f>IFERROR(__xludf.DUMMYFUNCTION("""COMPUTED_VALUE"""),3482.34)</f>
        <v>3482.34</v>
      </c>
      <c r="D8796" s="1">
        <f>IFERROR(__xludf.DUMMYFUNCTION("""COMPUTED_VALUE"""),3458.07)</f>
        <v>3458.07</v>
      </c>
      <c r="E8796" s="1">
        <f>IFERROR(__xludf.DUMMYFUNCTION("""COMPUTED_VALUE"""),3477.13)</f>
        <v>3477.13</v>
      </c>
      <c r="F8796" s="1">
        <f>IFERROR(__xludf.DUMMYFUNCTION("""COMPUTED_VALUE"""),0.0)</f>
        <v>0</v>
      </c>
    </row>
    <row r="8797">
      <c r="A8797" s="2">
        <f>IFERROR(__xludf.DUMMYFUNCTION("""COMPUTED_VALUE"""),44116.66666666667)</f>
        <v>44116.66667</v>
      </c>
      <c r="B8797" s="1">
        <f>IFERROR(__xludf.DUMMYFUNCTION("""COMPUTED_VALUE"""),3500.02)</f>
        <v>3500.02</v>
      </c>
      <c r="C8797" s="1">
        <f>IFERROR(__xludf.DUMMYFUNCTION("""COMPUTED_VALUE"""),3549.85)</f>
        <v>3549.85</v>
      </c>
      <c r="D8797" s="1">
        <f>IFERROR(__xludf.DUMMYFUNCTION("""COMPUTED_VALUE"""),3499.61)</f>
        <v>3499.61</v>
      </c>
      <c r="E8797" s="1">
        <f>IFERROR(__xludf.DUMMYFUNCTION("""COMPUTED_VALUE"""),3534.22)</f>
        <v>3534.22</v>
      </c>
      <c r="F8797" s="1">
        <f>IFERROR(__xludf.DUMMYFUNCTION("""COMPUTED_VALUE"""),0.0)</f>
        <v>0</v>
      </c>
    </row>
    <row r="8798">
      <c r="A8798" s="2">
        <f>IFERROR(__xludf.DUMMYFUNCTION("""COMPUTED_VALUE"""),44117.66666666667)</f>
        <v>44117.66667</v>
      </c>
      <c r="B8798" s="1">
        <f>IFERROR(__xludf.DUMMYFUNCTION("""COMPUTED_VALUE"""),3534.01)</f>
        <v>3534.01</v>
      </c>
      <c r="C8798" s="1">
        <f>IFERROR(__xludf.DUMMYFUNCTION("""COMPUTED_VALUE"""),3534.01)</f>
        <v>3534.01</v>
      </c>
      <c r="D8798" s="1">
        <f>IFERROR(__xludf.DUMMYFUNCTION("""COMPUTED_VALUE"""),3500.86)</f>
        <v>3500.86</v>
      </c>
      <c r="E8798" s="1">
        <f>IFERROR(__xludf.DUMMYFUNCTION("""COMPUTED_VALUE"""),3511.93)</f>
        <v>3511.93</v>
      </c>
      <c r="F8798" s="1">
        <f>IFERROR(__xludf.DUMMYFUNCTION("""COMPUTED_VALUE"""),0.0)</f>
        <v>0</v>
      </c>
    </row>
    <row r="8799">
      <c r="A8799" s="2">
        <f>IFERROR(__xludf.DUMMYFUNCTION("""COMPUTED_VALUE"""),44118.66666666667)</f>
        <v>44118.66667</v>
      </c>
      <c r="B8799" s="1">
        <f>IFERROR(__xludf.DUMMYFUNCTION("""COMPUTED_VALUE"""),3515.47)</f>
        <v>3515.47</v>
      </c>
      <c r="C8799" s="1">
        <f>IFERROR(__xludf.DUMMYFUNCTION("""COMPUTED_VALUE"""),3527.94)</f>
        <v>3527.94</v>
      </c>
      <c r="D8799" s="1">
        <f>IFERROR(__xludf.DUMMYFUNCTION("""COMPUTED_VALUE"""),3480.55)</f>
        <v>3480.55</v>
      </c>
      <c r="E8799" s="1">
        <f>IFERROR(__xludf.DUMMYFUNCTION("""COMPUTED_VALUE"""),3488.67)</f>
        <v>3488.67</v>
      </c>
      <c r="F8799" s="1">
        <f>IFERROR(__xludf.DUMMYFUNCTION("""COMPUTED_VALUE"""),0.0)</f>
        <v>0</v>
      </c>
    </row>
    <row r="8800">
      <c r="A8800" s="2">
        <f>IFERROR(__xludf.DUMMYFUNCTION("""COMPUTED_VALUE"""),44119.66666666667)</f>
        <v>44119.66667</v>
      </c>
      <c r="B8800" s="1">
        <f>IFERROR(__xludf.DUMMYFUNCTION("""COMPUTED_VALUE"""),3453.72)</f>
        <v>3453.72</v>
      </c>
      <c r="C8800" s="1">
        <f>IFERROR(__xludf.DUMMYFUNCTION("""COMPUTED_VALUE"""),3489.08)</f>
        <v>3489.08</v>
      </c>
      <c r="D8800" s="1">
        <f>IFERROR(__xludf.DUMMYFUNCTION("""COMPUTED_VALUE"""),3440.89)</f>
        <v>3440.89</v>
      </c>
      <c r="E8800" s="1">
        <f>IFERROR(__xludf.DUMMYFUNCTION("""COMPUTED_VALUE"""),3483.34)</f>
        <v>3483.34</v>
      </c>
      <c r="F8800" s="1">
        <f>IFERROR(__xludf.DUMMYFUNCTION("""COMPUTED_VALUE"""),0.0)</f>
        <v>0</v>
      </c>
    </row>
    <row r="8801">
      <c r="A8801" s="2">
        <f>IFERROR(__xludf.DUMMYFUNCTION("""COMPUTED_VALUE"""),44120.66666666667)</f>
        <v>44120.66667</v>
      </c>
      <c r="B8801" s="1">
        <f>IFERROR(__xludf.DUMMYFUNCTION("""COMPUTED_VALUE"""),3493.5)</f>
        <v>3493.5</v>
      </c>
      <c r="C8801" s="1">
        <f>IFERROR(__xludf.DUMMYFUNCTION("""COMPUTED_VALUE"""),3515.76)</f>
        <v>3515.76</v>
      </c>
      <c r="D8801" s="1">
        <f>IFERROR(__xludf.DUMMYFUNCTION("""COMPUTED_VALUE"""),3480.45)</f>
        <v>3480.45</v>
      </c>
      <c r="E8801" s="1">
        <f>IFERROR(__xludf.DUMMYFUNCTION("""COMPUTED_VALUE"""),3483.81)</f>
        <v>3483.81</v>
      </c>
      <c r="F8801" s="1">
        <f>IFERROR(__xludf.DUMMYFUNCTION("""COMPUTED_VALUE"""),0.0)</f>
        <v>0</v>
      </c>
    </row>
    <row r="8802">
      <c r="A8802" s="2">
        <f>IFERROR(__xludf.DUMMYFUNCTION("""COMPUTED_VALUE"""),44123.66666666667)</f>
        <v>44123.66667</v>
      </c>
      <c r="B8802" s="1">
        <f>IFERROR(__xludf.DUMMYFUNCTION("""COMPUTED_VALUE"""),3493.66)</f>
        <v>3493.66</v>
      </c>
      <c r="C8802" s="1">
        <f>IFERROR(__xludf.DUMMYFUNCTION("""COMPUTED_VALUE"""),3502.42)</f>
        <v>3502.42</v>
      </c>
      <c r="D8802" s="1">
        <f>IFERROR(__xludf.DUMMYFUNCTION("""COMPUTED_VALUE"""),3419.93)</f>
        <v>3419.93</v>
      </c>
      <c r="E8802" s="1">
        <f>IFERROR(__xludf.DUMMYFUNCTION("""COMPUTED_VALUE"""),3426.92)</f>
        <v>3426.92</v>
      </c>
      <c r="F8802" s="1">
        <f>IFERROR(__xludf.DUMMYFUNCTION("""COMPUTED_VALUE"""),0.0)</f>
        <v>0</v>
      </c>
    </row>
    <row r="8803">
      <c r="A8803" s="2">
        <f>IFERROR(__xludf.DUMMYFUNCTION("""COMPUTED_VALUE"""),44124.66666666667)</f>
        <v>44124.66667</v>
      </c>
      <c r="B8803" s="1">
        <f>IFERROR(__xludf.DUMMYFUNCTION("""COMPUTED_VALUE"""),3439.38)</f>
        <v>3439.38</v>
      </c>
      <c r="C8803" s="1">
        <f>IFERROR(__xludf.DUMMYFUNCTION("""COMPUTED_VALUE"""),3476.93)</f>
        <v>3476.93</v>
      </c>
      <c r="D8803" s="1">
        <f>IFERROR(__xludf.DUMMYFUNCTION("""COMPUTED_VALUE"""),3435.65)</f>
        <v>3435.65</v>
      </c>
      <c r="E8803" s="1">
        <f>IFERROR(__xludf.DUMMYFUNCTION("""COMPUTED_VALUE"""),3443.12)</f>
        <v>3443.12</v>
      </c>
      <c r="F8803" s="1">
        <f>IFERROR(__xludf.DUMMYFUNCTION("""COMPUTED_VALUE"""),0.0)</f>
        <v>0</v>
      </c>
    </row>
    <row r="8804">
      <c r="A8804" s="2">
        <f>IFERROR(__xludf.DUMMYFUNCTION("""COMPUTED_VALUE"""),44125.66666666667)</f>
        <v>44125.66667</v>
      </c>
      <c r="B8804" s="1">
        <f>IFERROR(__xludf.DUMMYFUNCTION("""COMPUTED_VALUE"""),3439.91)</f>
        <v>3439.91</v>
      </c>
      <c r="C8804" s="1">
        <f>IFERROR(__xludf.DUMMYFUNCTION("""COMPUTED_VALUE"""),3464.86)</f>
        <v>3464.86</v>
      </c>
      <c r="D8804" s="1">
        <f>IFERROR(__xludf.DUMMYFUNCTION("""COMPUTED_VALUE"""),3433.06)</f>
        <v>3433.06</v>
      </c>
      <c r="E8804" s="1">
        <f>IFERROR(__xludf.DUMMYFUNCTION("""COMPUTED_VALUE"""),3435.56)</f>
        <v>3435.56</v>
      </c>
      <c r="F8804" s="1">
        <f>IFERROR(__xludf.DUMMYFUNCTION("""COMPUTED_VALUE"""),0.0)</f>
        <v>0</v>
      </c>
    </row>
    <row r="8805">
      <c r="A8805" s="2">
        <f>IFERROR(__xludf.DUMMYFUNCTION("""COMPUTED_VALUE"""),44126.66666666667)</f>
        <v>44126.66667</v>
      </c>
      <c r="B8805" s="1">
        <f>IFERROR(__xludf.DUMMYFUNCTION("""COMPUTED_VALUE"""),3438.5)</f>
        <v>3438.5</v>
      </c>
      <c r="C8805" s="1">
        <f>IFERROR(__xludf.DUMMYFUNCTION("""COMPUTED_VALUE"""),3460.53)</f>
        <v>3460.53</v>
      </c>
      <c r="D8805" s="1">
        <f>IFERROR(__xludf.DUMMYFUNCTION("""COMPUTED_VALUE"""),3415.34)</f>
        <v>3415.34</v>
      </c>
      <c r="E8805" s="1">
        <f>IFERROR(__xludf.DUMMYFUNCTION("""COMPUTED_VALUE"""),3453.49)</f>
        <v>3453.49</v>
      </c>
      <c r="F8805" s="1">
        <f>IFERROR(__xludf.DUMMYFUNCTION("""COMPUTED_VALUE"""),0.0)</f>
        <v>0</v>
      </c>
    </row>
    <row r="8806">
      <c r="A8806" s="2">
        <f>IFERROR(__xludf.DUMMYFUNCTION("""COMPUTED_VALUE"""),44127.66666666667)</f>
        <v>44127.66667</v>
      </c>
      <c r="B8806" s="1">
        <f>IFERROR(__xludf.DUMMYFUNCTION("""COMPUTED_VALUE"""),3464.9)</f>
        <v>3464.9</v>
      </c>
      <c r="C8806" s="1">
        <f>IFERROR(__xludf.DUMMYFUNCTION("""COMPUTED_VALUE"""),3466.46)</f>
        <v>3466.46</v>
      </c>
      <c r="D8806" s="1">
        <f>IFERROR(__xludf.DUMMYFUNCTION("""COMPUTED_VALUE"""),3440.45)</f>
        <v>3440.45</v>
      </c>
      <c r="E8806" s="1">
        <f>IFERROR(__xludf.DUMMYFUNCTION("""COMPUTED_VALUE"""),3465.39)</f>
        <v>3465.39</v>
      </c>
      <c r="F8806" s="1">
        <f>IFERROR(__xludf.DUMMYFUNCTION("""COMPUTED_VALUE"""),0.0)</f>
        <v>0</v>
      </c>
    </row>
    <row r="8807">
      <c r="A8807" s="2">
        <f>IFERROR(__xludf.DUMMYFUNCTION("""COMPUTED_VALUE"""),44130.66666666667)</f>
        <v>44130.66667</v>
      </c>
      <c r="B8807" s="1">
        <f>IFERROR(__xludf.DUMMYFUNCTION("""COMPUTED_VALUE"""),3441.42)</f>
        <v>3441.42</v>
      </c>
      <c r="C8807" s="1">
        <f>IFERROR(__xludf.DUMMYFUNCTION("""COMPUTED_VALUE"""),3441.42)</f>
        <v>3441.42</v>
      </c>
      <c r="D8807" s="1">
        <f>IFERROR(__xludf.DUMMYFUNCTION("""COMPUTED_VALUE"""),3364.86)</f>
        <v>3364.86</v>
      </c>
      <c r="E8807" s="1">
        <f>IFERROR(__xludf.DUMMYFUNCTION("""COMPUTED_VALUE"""),3400.97)</f>
        <v>3400.97</v>
      </c>
      <c r="F8807" s="1">
        <f>IFERROR(__xludf.DUMMYFUNCTION("""COMPUTED_VALUE"""),0.0)</f>
        <v>0</v>
      </c>
    </row>
    <row r="8808">
      <c r="A8808" s="2">
        <f>IFERROR(__xludf.DUMMYFUNCTION("""COMPUTED_VALUE"""),44131.66666666667)</f>
        <v>44131.66667</v>
      </c>
      <c r="B8808" s="1">
        <f>IFERROR(__xludf.DUMMYFUNCTION("""COMPUTED_VALUE"""),3403.15)</f>
        <v>3403.15</v>
      </c>
      <c r="C8808" s="1">
        <f>IFERROR(__xludf.DUMMYFUNCTION("""COMPUTED_VALUE"""),3409.51)</f>
        <v>3409.51</v>
      </c>
      <c r="D8808" s="1">
        <f>IFERROR(__xludf.DUMMYFUNCTION("""COMPUTED_VALUE"""),3388.71)</f>
        <v>3388.71</v>
      </c>
      <c r="E8808" s="1">
        <f>IFERROR(__xludf.DUMMYFUNCTION("""COMPUTED_VALUE"""),3390.68)</f>
        <v>3390.68</v>
      </c>
      <c r="F8808" s="1">
        <f>IFERROR(__xludf.DUMMYFUNCTION("""COMPUTED_VALUE"""),0.0)</f>
        <v>0</v>
      </c>
    </row>
    <row r="8809">
      <c r="A8809" s="2">
        <f>IFERROR(__xludf.DUMMYFUNCTION("""COMPUTED_VALUE"""),44132.66666666667)</f>
        <v>44132.66667</v>
      </c>
      <c r="B8809" s="1">
        <f>IFERROR(__xludf.DUMMYFUNCTION("""COMPUTED_VALUE"""),3342.48)</f>
        <v>3342.48</v>
      </c>
      <c r="C8809" s="1">
        <f>IFERROR(__xludf.DUMMYFUNCTION("""COMPUTED_VALUE"""),3342.48)</f>
        <v>3342.48</v>
      </c>
      <c r="D8809" s="1">
        <f>IFERROR(__xludf.DUMMYFUNCTION("""COMPUTED_VALUE"""),3268.89)</f>
        <v>3268.89</v>
      </c>
      <c r="E8809" s="1">
        <f>IFERROR(__xludf.DUMMYFUNCTION("""COMPUTED_VALUE"""),3271.03)</f>
        <v>3271.03</v>
      </c>
      <c r="F8809" s="1">
        <f>IFERROR(__xludf.DUMMYFUNCTION("""COMPUTED_VALUE"""),0.0)</f>
        <v>0</v>
      </c>
    </row>
    <row r="8810">
      <c r="A8810" s="2">
        <f>IFERROR(__xludf.DUMMYFUNCTION("""COMPUTED_VALUE"""),44133.66666666667)</f>
        <v>44133.66667</v>
      </c>
      <c r="B8810" s="1">
        <f>IFERROR(__xludf.DUMMYFUNCTION("""COMPUTED_VALUE"""),3277.17)</f>
        <v>3277.17</v>
      </c>
      <c r="C8810" s="1">
        <f>IFERROR(__xludf.DUMMYFUNCTION("""COMPUTED_VALUE"""),3341.05)</f>
        <v>3341.05</v>
      </c>
      <c r="D8810" s="1">
        <f>IFERROR(__xludf.DUMMYFUNCTION("""COMPUTED_VALUE"""),3259.82)</f>
        <v>3259.82</v>
      </c>
      <c r="E8810" s="1">
        <f>IFERROR(__xludf.DUMMYFUNCTION("""COMPUTED_VALUE"""),3310.11)</f>
        <v>3310.11</v>
      </c>
      <c r="F8810" s="1">
        <f>IFERROR(__xludf.DUMMYFUNCTION("""COMPUTED_VALUE"""),0.0)</f>
        <v>0</v>
      </c>
    </row>
    <row r="8811">
      <c r="A8811" s="2">
        <f>IFERROR(__xludf.DUMMYFUNCTION("""COMPUTED_VALUE"""),44134.66666666667)</f>
        <v>44134.66667</v>
      </c>
      <c r="B8811" s="1">
        <f>IFERROR(__xludf.DUMMYFUNCTION("""COMPUTED_VALUE"""),3293.59)</f>
        <v>3293.59</v>
      </c>
      <c r="C8811" s="1">
        <f>IFERROR(__xludf.DUMMYFUNCTION("""COMPUTED_VALUE"""),3304.93)</f>
        <v>3304.93</v>
      </c>
      <c r="D8811" s="1">
        <f>IFERROR(__xludf.DUMMYFUNCTION("""COMPUTED_VALUE"""),3233.94)</f>
        <v>3233.94</v>
      </c>
      <c r="E8811" s="1">
        <f>IFERROR(__xludf.DUMMYFUNCTION("""COMPUTED_VALUE"""),3269.96)</f>
        <v>3269.96</v>
      </c>
      <c r="F8811" s="1">
        <f>IFERROR(__xludf.DUMMYFUNCTION("""COMPUTED_VALUE"""),0.0)</f>
        <v>0</v>
      </c>
    </row>
    <row r="8812">
      <c r="A8812" s="2">
        <f>IFERROR(__xludf.DUMMYFUNCTION("""COMPUTED_VALUE"""),44137.66666666667)</f>
        <v>44137.66667</v>
      </c>
      <c r="B8812" s="1">
        <f>IFERROR(__xludf.DUMMYFUNCTION("""COMPUTED_VALUE"""),3296.2)</f>
        <v>3296.2</v>
      </c>
      <c r="C8812" s="1">
        <f>IFERROR(__xludf.DUMMYFUNCTION("""COMPUTED_VALUE"""),3330.14)</f>
        <v>3330.14</v>
      </c>
      <c r="D8812" s="1">
        <f>IFERROR(__xludf.DUMMYFUNCTION("""COMPUTED_VALUE"""),3279.74)</f>
        <v>3279.74</v>
      </c>
      <c r="E8812" s="1">
        <f>IFERROR(__xludf.DUMMYFUNCTION("""COMPUTED_VALUE"""),3310.24)</f>
        <v>3310.24</v>
      </c>
      <c r="F8812" s="1">
        <f>IFERROR(__xludf.DUMMYFUNCTION("""COMPUTED_VALUE"""),0.0)</f>
        <v>0</v>
      </c>
    </row>
    <row r="8813">
      <c r="A8813" s="2">
        <f>IFERROR(__xludf.DUMMYFUNCTION("""COMPUTED_VALUE"""),44138.66666666667)</f>
        <v>44138.66667</v>
      </c>
      <c r="B8813" s="1">
        <f>IFERROR(__xludf.DUMMYFUNCTION("""COMPUTED_VALUE"""),3336.25)</f>
        <v>3336.25</v>
      </c>
      <c r="C8813" s="1">
        <f>IFERROR(__xludf.DUMMYFUNCTION("""COMPUTED_VALUE"""),3389.49)</f>
        <v>3389.49</v>
      </c>
      <c r="D8813" s="1">
        <f>IFERROR(__xludf.DUMMYFUNCTION("""COMPUTED_VALUE"""),3336.25)</f>
        <v>3336.25</v>
      </c>
      <c r="E8813" s="1">
        <f>IFERROR(__xludf.DUMMYFUNCTION("""COMPUTED_VALUE"""),3369.02)</f>
        <v>3369.02</v>
      </c>
      <c r="F8813" s="1">
        <f>IFERROR(__xludf.DUMMYFUNCTION("""COMPUTED_VALUE"""),0.0)</f>
        <v>0</v>
      </c>
    </row>
    <row r="8814">
      <c r="A8814" s="2">
        <f>IFERROR(__xludf.DUMMYFUNCTION("""COMPUTED_VALUE"""),44139.66666666667)</f>
        <v>44139.66667</v>
      </c>
      <c r="B8814" s="1">
        <f>IFERROR(__xludf.DUMMYFUNCTION("""COMPUTED_VALUE"""),3406.46)</f>
        <v>3406.46</v>
      </c>
      <c r="C8814" s="1">
        <f>IFERROR(__xludf.DUMMYFUNCTION("""COMPUTED_VALUE"""),3486.25)</f>
        <v>3486.25</v>
      </c>
      <c r="D8814" s="1">
        <f>IFERROR(__xludf.DUMMYFUNCTION("""COMPUTED_VALUE"""),3405.17)</f>
        <v>3405.17</v>
      </c>
      <c r="E8814" s="1">
        <f>IFERROR(__xludf.DUMMYFUNCTION("""COMPUTED_VALUE"""),3443.44)</f>
        <v>3443.44</v>
      </c>
      <c r="F8814" s="1">
        <f>IFERROR(__xludf.DUMMYFUNCTION("""COMPUTED_VALUE"""),0.0)</f>
        <v>0</v>
      </c>
    </row>
    <row r="8815">
      <c r="A8815" s="2">
        <f>IFERROR(__xludf.DUMMYFUNCTION("""COMPUTED_VALUE"""),44140.66666666667)</f>
        <v>44140.66667</v>
      </c>
      <c r="B8815" s="1">
        <f>IFERROR(__xludf.DUMMYFUNCTION("""COMPUTED_VALUE"""),3485.74)</f>
        <v>3485.74</v>
      </c>
      <c r="C8815" s="1">
        <f>IFERROR(__xludf.DUMMYFUNCTION("""COMPUTED_VALUE"""),3529.05)</f>
        <v>3529.05</v>
      </c>
      <c r="D8815" s="1">
        <f>IFERROR(__xludf.DUMMYFUNCTION("""COMPUTED_VALUE"""),3485.74)</f>
        <v>3485.74</v>
      </c>
      <c r="E8815" s="1">
        <f>IFERROR(__xludf.DUMMYFUNCTION("""COMPUTED_VALUE"""),3510.45)</f>
        <v>3510.45</v>
      </c>
      <c r="F8815" s="1">
        <f>IFERROR(__xludf.DUMMYFUNCTION("""COMPUTED_VALUE"""),0.0)</f>
        <v>0</v>
      </c>
    </row>
    <row r="8816">
      <c r="A8816" s="2">
        <f>IFERROR(__xludf.DUMMYFUNCTION("""COMPUTED_VALUE"""),44141.66666666667)</f>
        <v>44141.66667</v>
      </c>
      <c r="B8816" s="1">
        <f>IFERROR(__xludf.DUMMYFUNCTION("""COMPUTED_VALUE"""),3508.34)</f>
        <v>3508.34</v>
      </c>
      <c r="C8816" s="1">
        <f>IFERROR(__xludf.DUMMYFUNCTION("""COMPUTED_VALUE"""),3521.58)</f>
        <v>3521.58</v>
      </c>
      <c r="D8816" s="1">
        <f>IFERROR(__xludf.DUMMYFUNCTION("""COMPUTED_VALUE"""),3484.34)</f>
        <v>3484.34</v>
      </c>
      <c r="E8816" s="1">
        <f>IFERROR(__xludf.DUMMYFUNCTION("""COMPUTED_VALUE"""),3509.44)</f>
        <v>3509.44</v>
      </c>
      <c r="F8816" s="1">
        <f>IFERROR(__xludf.DUMMYFUNCTION("""COMPUTED_VALUE"""),0.0)</f>
        <v>0</v>
      </c>
    </row>
    <row r="8817">
      <c r="A8817" s="2">
        <f>IFERROR(__xludf.DUMMYFUNCTION("""COMPUTED_VALUE"""),44144.66666666667)</f>
        <v>44144.66667</v>
      </c>
      <c r="B8817" s="1">
        <f>IFERROR(__xludf.DUMMYFUNCTION("""COMPUTED_VALUE"""),3583.04)</f>
        <v>3583.04</v>
      </c>
      <c r="C8817" s="1">
        <f>IFERROR(__xludf.DUMMYFUNCTION("""COMPUTED_VALUE"""),3645.99)</f>
        <v>3645.99</v>
      </c>
      <c r="D8817" s="1">
        <f>IFERROR(__xludf.DUMMYFUNCTION("""COMPUTED_VALUE"""),3547.48)</f>
        <v>3547.48</v>
      </c>
      <c r="E8817" s="1">
        <f>IFERROR(__xludf.DUMMYFUNCTION("""COMPUTED_VALUE"""),3550.5)</f>
        <v>3550.5</v>
      </c>
      <c r="F8817" s="1">
        <f>IFERROR(__xludf.DUMMYFUNCTION("""COMPUTED_VALUE"""),0.0)</f>
        <v>0</v>
      </c>
    </row>
    <row r="8818">
      <c r="A8818" s="2">
        <f>IFERROR(__xludf.DUMMYFUNCTION("""COMPUTED_VALUE"""),44145.66666666667)</f>
        <v>44145.66667</v>
      </c>
      <c r="B8818" s="1">
        <f>IFERROR(__xludf.DUMMYFUNCTION("""COMPUTED_VALUE"""),3543.26)</f>
        <v>3543.26</v>
      </c>
      <c r="C8818" s="1">
        <f>IFERROR(__xludf.DUMMYFUNCTION("""COMPUTED_VALUE"""),3557.22)</f>
        <v>3557.22</v>
      </c>
      <c r="D8818" s="1">
        <f>IFERROR(__xludf.DUMMYFUNCTION("""COMPUTED_VALUE"""),3511.91)</f>
        <v>3511.91</v>
      </c>
      <c r="E8818" s="1">
        <f>IFERROR(__xludf.DUMMYFUNCTION("""COMPUTED_VALUE"""),3545.53)</f>
        <v>3545.53</v>
      </c>
      <c r="F8818" s="1">
        <f>IFERROR(__xludf.DUMMYFUNCTION("""COMPUTED_VALUE"""),0.0)</f>
        <v>0</v>
      </c>
    </row>
    <row r="8819">
      <c r="A8819" s="2">
        <f>IFERROR(__xludf.DUMMYFUNCTION("""COMPUTED_VALUE"""),44146.66666666667)</f>
        <v>44146.66667</v>
      </c>
      <c r="B8819" s="1">
        <f>IFERROR(__xludf.DUMMYFUNCTION("""COMPUTED_VALUE"""),3563.22)</f>
        <v>3563.22</v>
      </c>
      <c r="C8819" s="1">
        <f>IFERROR(__xludf.DUMMYFUNCTION("""COMPUTED_VALUE"""),3581.16)</f>
        <v>3581.16</v>
      </c>
      <c r="D8819" s="1">
        <f>IFERROR(__xludf.DUMMYFUNCTION("""COMPUTED_VALUE"""),3557.0)</f>
        <v>3557</v>
      </c>
      <c r="E8819" s="1">
        <f>IFERROR(__xludf.DUMMYFUNCTION("""COMPUTED_VALUE"""),3572.66)</f>
        <v>3572.66</v>
      </c>
      <c r="F8819" s="1">
        <f>IFERROR(__xludf.DUMMYFUNCTION("""COMPUTED_VALUE"""),0.0)</f>
        <v>0</v>
      </c>
    </row>
    <row r="8820">
      <c r="A8820" s="2">
        <f>IFERROR(__xludf.DUMMYFUNCTION("""COMPUTED_VALUE"""),44147.66666666667)</f>
        <v>44147.66667</v>
      </c>
      <c r="B8820" s="1">
        <f>IFERROR(__xludf.DUMMYFUNCTION("""COMPUTED_VALUE"""),3562.67)</f>
        <v>3562.67</v>
      </c>
      <c r="C8820" s="1">
        <f>IFERROR(__xludf.DUMMYFUNCTION("""COMPUTED_VALUE"""),3569.02)</f>
        <v>3569.02</v>
      </c>
      <c r="D8820" s="1">
        <f>IFERROR(__xludf.DUMMYFUNCTION("""COMPUTED_VALUE"""),3518.58)</f>
        <v>3518.58</v>
      </c>
      <c r="E8820" s="1">
        <f>IFERROR(__xludf.DUMMYFUNCTION("""COMPUTED_VALUE"""),3537.01)</f>
        <v>3537.01</v>
      </c>
      <c r="F8820" s="1">
        <f>IFERROR(__xludf.DUMMYFUNCTION("""COMPUTED_VALUE"""),0.0)</f>
        <v>0</v>
      </c>
    </row>
    <row r="8821">
      <c r="A8821" s="2">
        <f>IFERROR(__xludf.DUMMYFUNCTION("""COMPUTED_VALUE"""),44148.66666666667)</f>
        <v>44148.66667</v>
      </c>
      <c r="B8821" s="1">
        <f>IFERROR(__xludf.DUMMYFUNCTION("""COMPUTED_VALUE"""),3552.57)</f>
        <v>3552.57</v>
      </c>
      <c r="C8821" s="1">
        <f>IFERROR(__xludf.DUMMYFUNCTION("""COMPUTED_VALUE"""),3593.66)</f>
        <v>3593.66</v>
      </c>
      <c r="D8821" s="1">
        <f>IFERROR(__xludf.DUMMYFUNCTION("""COMPUTED_VALUE"""),3552.57)</f>
        <v>3552.57</v>
      </c>
      <c r="E8821" s="1">
        <f>IFERROR(__xludf.DUMMYFUNCTION("""COMPUTED_VALUE"""),3585.15)</f>
        <v>3585.15</v>
      </c>
      <c r="F8821" s="1">
        <f>IFERROR(__xludf.DUMMYFUNCTION("""COMPUTED_VALUE"""),0.0)</f>
        <v>0</v>
      </c>
    </row>
    <row r="8822">
      <c r="A8822" s="2">
        <f>IFERROR(__xludf.DUMMYFUNCTION("""COMPUTED_VALUE"""),44151.66666666667)</f>
        <v>44151.66667</v>
      </c>
      <c r="B8822" s="1">
        <f>IFERROR(__xludf.DUMMYFUNCTION("""COMPUTED_VALUE"""),3600.16)</f>
        <v>3600.16</v>
      </c>
      <c r="C8822" s="1">
        <f>IFERROR(__xludf.DUMMYFUNCTION("""COMPUTED_VALUE"""),3628.51)</f>
        <v>3628.51</v>
      </c>
      <c r="D8822" s="1">
        <f>IFERROR(__xludf.DUMMYFUNCTION("""COMPUTED_VALUE"""),3600.16)</f>
        <v>3600.16</v>
      </c>
      <c r="E8822" s="1">
        <f>IFERROR(__xludf.DUMMYFUNCTION("""COMPUTED_VALUE"""),3626.91)</f>
        <v>3626.91</v>
      </c>
      <c r="F8822" s="1">
        <f>IFERROR(__xludf.DUMMYFUNCTION("""COMPUTED_VALUE"""),0.0)</f>
        <v>0</v>
      </c>
    </row>
    <row r="8823">
      <c r="A8823" s="2">
        <f>IFERROR(__xludf.DUMMYFUNCTION("""COMPUTED_VALUE"""),44152.66666666667)</f>
        <v>44152.66667</v>
      </c>
      <c r="B8823" s="1">
        <f>IFERROR(__xludf.DUMMYFUNCTION("""COMPUTED_VALUE"""),3610.31)</f>
        <v>3610.31</v>
      </c>
      <c r="C8823" s="1">
        <f>IFERROR(__xludf.DUMMYFUNCTION("""COMPUTED_VALUE"""),3623.11)</f>
        <v>3623.11</v>
      </c>
      <c r="D8823" s="1">
        <f>IFERROR(__xludf.DUMMYFUNCTION("""COMPUTED_VALUE"""),3588.68)</f>
        <v>3588.68</v>
      </c>
      <c r="E8823" s="1">
        <f>IFERROR(__xludf.DUMMYFUNCTION("""COMPUTED_VALUE"""),3609.53)</f>
        <v>3609.53</v>
      </c>
      <c r="F8823" s="1">
        <f>IFERROR(__xludf.DUMMYFUNCTION("""COMPUTED_VALUE"""),0.0)</f>
        <v>0</v>
      </c>
    </row>
    <row r="8824">
      <c r="A8824" s="2">
        <f>IFERROR(__xludf.DUMMYFUNCTION("""COMPUTED_VALUE"""),44153.66666666667)</f>
        <v>44153.66667</v>
      </c>
      <c r="B8824" s="1">
        <f>IFERROR(__xludf.DUMMYFUNCTION("""COMPUTED_VALUE"""),3612.09)</f>
        <v>3612.09</v>
      </c>
      <c r="C8824" s="1">
        <f>IFERROR(__xludf.DUMMYFUNCTION("""COMPUTED_VALUE"""),3619.09)</f>
        <v>3619.09</v>
      </c>
      <c r="D8824" s="1">
        <f>IFERROR(__xludf.DUMMYFUNCTION("""COMPUTED_VALUE"""),3567.33)</f>
        <v>3567.33</v>
      </c>
      <c r="E8824" s="1">
        <f>IFERROR(__xludf.DUMMYFUNCTION("""COMPUTED_VALUE"""),3567.79)</f>
        <v>3567.79</v>
      </c>
      <c r="F8824" s="1">
        <f>IFERROR(__xludf.DUMMYFUNCTION("""COMPUTED_VALUE"""),0.0)</f>
        <v>0</v>
      </c>
    </row>
    <row r="8825">
      <c r="A8825" s="2">
        <f>IFERROR(__xludf.DUMMYFUNCTION("""COMPUTED_VALUE"""),44154.66666666667)</f>
        <v>44154.66667</v>
      </c>
      <c r="B8825" s="1">
        <f>IFERROR(__xludf.DUMMYFUNCTION("""COMPUTED_VALUE"""),3559.41)</f>
        <v>3559.41</v>
      </c>
      <c r="C8825" s="1">
        <f>IFERROR(__xludf.DUMMYFUNCTION("""COMPUTED_VALUE"""),3585.22)</f>
        <v>3585.22</v>
      </c>
      <c r="D8825" s="1">
        <f>IFERROR(__xludf.DUMMYFUNCTION("""COMPUTED_VALUE"""),3543.84)</f>
        <v>3543.84</v>
      </c>
      <c r="E8825" s="1">
        <f>IFERROR(__xludf.DUMMYFUNCTION("""COMPUTED_VALUE"""),3581.87)</f>
        <v>3581.87</v>
      </c>
      <c r="F8825" s="1">
        <f>IFERROR(__xludf.DUMMYFUNCTION("""COMPUTED_VALUE"""),0.0)</f>
        <v>0</v>
      </c>
    </row>
    <row r="8826">
      <c r="A8826" s="2">
        <f>IFERROR(__xludf.DUMMYFUNCTION("""COMPUTED_VALUE"""),44155.66666666667)</f>
        <v>44155.66667</v>
      </c>
      <c r="B8826" s="1">
        <f>IFERROR(__xludf.DUMMYFUNCTION("""COMPUTED_VALUE"""),3579.31)</f>
        <v>3579.31</v>
      </c>
      <c r="C8826" s="1">
        <f>IFERROR(__xludf.DUMMYFUNCTION("""COMPUTED_VALUE"""),3581.23)</f>
        <v>3581.23</v>
      </c>
      <c r="D8826" s="1">
        <f>IFERROR(__xludf.DUMMYFUNCTION("""COMPUTED_VALUE"""),3556.85)</f>
        <v>3556.85</v>
      </c>
      <c r="E8826" s="1">
        <f>IFERROR(__xludf.DUMMYFUNCTION("""COMPUTED_VALUE"""),3557.54)</f>
        <v>3557.54</v>
      </c>
      <c r="F8826" s="1">
        <f>IFERROR(__xludf.DUMMYFUNCTION("""COMPUTED_VALUE"""),0.0)</f>
        <v>0</v>
      </c>
    </row>
    <row r="8827">
      <c r="A8827" s="2">
        <f>IFERROR(__xludf.DUMMYFUNCTION("""COMPUTED_VALUE"""),44158.66666666667)</f>
        <v>44158.66667</v>
      </c>
      <c r="B8827" s="1">
        <f>IFERROR(__xludf.DUMMYFUNCTION("""COMPUTED_VALUE"""),3566.82)</f>
        <v>3566.82</v>
      </c>
      <c r="C8827" s="1">
        <f>IFERROR(__xludf.DUMMYFUNCTION("""COMPUTED_VALUE"""),3589.81)</f>
        <v>3589.81</v>
      </c>
      <c r="D8827" s="1">
        <f>IFERROR(__xludf.DUMMYFUNCTION("""COMPUTED_VALUE"""),3552.77)</f>
        <v>3552.77</v>
      </c>
      <c r="E8827" s="1">
        <f>IFERROR(__xludf.DUMMYFUNCTION("""COMPUTED_VALUE"""),3577.59)</f>
        <v>3577.59</v>
      </c>
      <c r="F8827" s="1">
        <f>IFERROR(__xludf.DUMMYFUNCTION("""COMPUTED_VALUE"""),0.0)</f>
        <v>0</v>
      </c>
    </row>
    <row r="8828">
      <c r="A8828" s="2">
        <f>IFERROR(__xludf.DUMMYFUNCTION("""COMPUTED_VALUE"""),44159.66666666667)</f>
        <v>44159.66667</v>
      </c>
      <c r="B8828" s="1">
        <f>IFERROR(__xludf.DUMMYFUNCTION("""COMPUTED_VALUE"""),3594.52)</f>
        <v>3594.52</v>
      </c>
      <c r="C8828" s="1">
        <f>IFERROR(__xludf.DUMMYFUNCTION("""COMPUTED_VALUE"""),3642.31)</f>
        <v>3642.31</v>
      </c>
      <c r="D8828" s="1">
        <f>IFERROR(__xludf.DUMMYFUNCTION("""COMPUTED_VALUE"""),3594.52)</f>
        <v>3594.52</v>
      </c>
      <c r="E8828" s="1">
        <f>IFERROR(__xludf.DUMMYFUNCTION("""COMPUTED_VALUE"""),3635.41)</f>
        <v>3635.41</v>
      </c>
      <c r="F8828" s="1">
        <f>IFERROR(__xludf.DUMMYFUNCTION("""COMPUTED_VALUE"""),0.0)</f>
        <v>0</v>
      </c>
    </row>
    <row r="8829">
      <c r="A8829" s="2">
        <f>IFERROR(__xludf.DUMMYFUNCTION("""COMPUTED_VALUE"""),44160.66666666667)</f>
        <v>44160.66667</v>
      </c>
      <c r="B8829" s="1">
        <f>IFERROR(__xludf.DUMMYFUNCTION("""COMPUTED_VALUE"""),3635.5)</f>
        <v>3635.5</v>
      </c>
      <c r="C8829" s="1">
        <f>IFERROR(__xludf.DUMMYFUNCTION("""COMPUTED_VALUE"""),3635.5)</f>
        <v>3635.5</v>
      </c>
      <c r="D8829" s="1">
        <f>IFERROR(__xludf.DUMMYFUNCTION("""COMPUTED_VALUE"""),3617.76)</f>
        <v>3617.76</v>
      </c>
      <c r="E8829" s="1">
        <f>IFERROR(__xludf.DUMMYFUNCTION("""COMPUTED_VALUE"""),3629.65)</f>
        <v>3629.65</v>
      </c>
      <c r="F8829" s="1">
        <f>IFERROR(__xludf.DUMMYFUNCTION("""COMPUTED_VALUE"""),0.0)</f>
        <v>0</v>
      </c>
    </row>
    <row r="8830">
      <c r="A8830" s="2">
        <f>IFERROR(__xludf.DUMMYFUNCTION("""COMPUTED_VALUE"""),44162.54166666667)</f>
        <v>44162.54167</v>
      </c>
      <c r="B8830" s="1">
        <f>IFERROR(__xludf.DUMMYFUNCTION("""COMPUTED_VALUE"""),3638.55)</f>
        <v>3638.55</v>
      </c>
      <c r="C8830" s="1">
        <f>IFERROR(__xludf.DUMMYFUNCTION("""COMPUTED_VALUE"""),3644.31)</f>
        <v>3644.31</v>
      </c>
      <c r="D8830" s="1">
        <f>IFERROR(__xludf.DUMMYFUNCTION("""COMPUTED_VALUE"""),3629.33)</f>
        <v>3629.33</v>
      </c>
      <c r="E8830" s="1">
        <f>IFERROR(__xludf.DUMMYFUNCTION("""COMPUTED_VALUE"""),3638.35)</f>
        <v>3638.35</v>
      </c>
      <c r="F8830" s="1">
        <f>IFERROR(__xludf.DUMMYFUNCTION("""COMPUTED_VALUE"""),0.0)</f>
        <v>0</v>
      </c>
    </row>
    <row r="8831">
      <c r="A8831" s="2">
        <f>IFERROR(__xludf.DUMMYFUNCTION("""COMPUTED_VALUE"""),44165.66666666667)</f>
        <v>44165.66667</v>
      </c>
      <c r="B8831" s="1">
        <f>IFERROR(__xludf.DUMMYFUNCTION("""COMPUTED_VALUE"""),3634.18)</f>
        <v>3634.18</v>
      </c>
      <c r="C8831" s="1">
        <f>IFERROR(__xludf.DUMMYFUNCTION("""COMPUTED_VALUE"""),3634.18)</f>
        <v>3634.18</v>
      </c>
      <c r="D8831" s="1">
        <f>IFERROR(__xludf.DUMMYFUNCTION("""COMPUTED_VALUE"""),3594.39)</f>
        <v>3594.39</v>
      </c>
      <c r="E8831" s="1">
        <f>IFERROR(__xludf.DUMMYFUNCTION("""COMPUTED_VALUE"""),3621.63)</f>
        <v>3621.63</v>
      </c>
      <c r="F8831" s="1">
        <f>IFERROR(__xludf.DUMMYFUNCTION("""COMPUTED_VALUE"""),0.0)</f>
        <v>0</v>
      </c>
    </row>
    <row r="8832">
      <c r="A8832" s="2">
        <f>IFERROR(__xludf.DUMMYFUNCTION("""COMPUTED_VALUE"""),44166.66666666667)</f>
        <v>44166.66667</v>
      </c>
      <c r="B8832" s="1">
        <f>IFERROR(__xludf.DUMMYFUNCTION("""COMPUTED_VALUE"""),3645.87)</f>
        <v>3645.87</v>
      </c>
      <c r="C8832" s="1">
        <f>IFERROR(__xludf.DUMMYFUNCTION("""COMPUTED_VALUE"""),3678.45)</f>
        <v>3678.45</v>
      </c>
      <c r="D8832" s="1">
        <f>IFERROR(__xludf.DUMMYFUNCTION("""COMPUTED_VALUE"""),3645.87)</f>
        <v>3645.87</v>
      </c>
      <c r="E8832" s="1">
        <f>IFERROR(__xludf.DUMMYFUNCTION("""COMPUTED_VALUE"""),3662.45)</f>
        <v>3662.45</v>
      </c>
      <c r="F8832" s="1">
        <f>IFERROR(__xludf.DUMMYFUNCTION("""COMPUTED_VALUE"""),0.0)</f>
        <v>0</v>
      </c>
    </row>
    <row r="8833">
      <c r="A8833" s="2">
        <f>IFERROR(__xludf.DUMMYFUNCTION("""COMPUTED_VALUE"""),44167.66666666667)</f>
        <v>44167.66667</v>
      </c>
      <c r="B8833" s="1">
        <f>IFERROR(__xludf.DUMMYFUNCTION("""COMPUTED_VALUE"""),3653.78)</f>
        <v>3653.78</v>
      </c>
      <c r="C8833" s="1">
        <f>IFERROR(__xludf.DUMMYFUNCTION("""COMPUTED_VALUE"""),3670.96)</f>
        <v>3670.96</v>
      </c>
      <c r="D8833" s="1">
        <f>IFERROR(__xludf.DUMMYFUNCTION("""COMPUTED_VALUE"""),3644.84)</f>
        <v>3644.84</v>
      </c>
      <c r="E8833" s="1">
        <f>IFERROR(__xludf.DUMMYFUNCTION("""COMPUTED_VALUE"""),3669.01)</f>
        <v>3669.01</v>
      </c>
      <c r="F8833" s="1">
        <f>IFERROR(__xludf.DUMMYFUNCTION("""COMPUTED_VALUE"""),0.0)</f>
        <v>0</v>
      </c>
    </row>
    <row r="8834">
      <c r="A8834" s="2">
        <f>IFERROR(__xludf.DUMMYFUNCTION("""COMPUTED_VALUE"""),44168.66666666667)</f>
        <v>44168.66667</v>
      </c>
      <c r="B8834" s="1">
        <f>IFERROR(__xludf.DUMMYFUNCTION("""COMPUTED_VALUE"""),3668.28)</f>
        <v>3668.28</v>
      </c>
      <c r="C8834" s="1">
        <f>IFERROR(__xludf.DUMMYFUNCTION("""COMPUTED_VALUE"""),3682.73)</f>
        <v>3682.73</v>
      </c>
      <c r="D8834" s="1">
        <f>IFERROR(__xludf.DUMMYFUNCTION("""COMPUTED_VALUE"""),3657.17)</f>
        <v>3657.17</v>
      </c>
      <c r="E8834" s="1">
        <f>IFERROR(__xludf.DUMMYFUNCTION("""COMPUTED_VALUE"""),3666.72)</f>
        <v>3666.72</v>
      </c>
      <c r="F8834" s="1">
        <f>IFERROR(__xludf.DUMMYFUNCTION("""COMPUTED_VALUE"""),0.0)</f>
        <v>0</v>
      </c>
    </row>
    <row r="8835">
      <c r="A8835" s="2">
        <f>IFERROR(__xludf.DUMMYFUNCTION("""COMPUTED_VALUE"""),44169.66666666667)</f>
        <v>44169.66667</v>
      </c>
      <c r="B8835" s="1">
        <f>IFERROR(__xludf.DUMMYFUNCTION("""COMPUTED_VALUE"""),3670.94)</f>
        <v>3670.94</v>
      </c>
      <c r="C8835" s="1">
        <f>IFERROR(__xludf.DUMMYFUNCTION("""COMPUTED_VALUE"""),3699.2)</f>
        <v>3699.2</v>
      </c>
      <c r="D8835" s="1">
        <f>IFERROR(__xludf.DUMMYFUNCTION("""COMPUTED_VALUE"""),3670.94)</f>
        <v>3670.94</v>
      </c>
      <c r="E8835" s="1">
        <f>IFERROR(__xludf.DUMMYFUNCTION("""COMPUTED_VALUE"""),3699.12)</f>
        <v>3699.12</v>
      </c>
      <c r="F8835" s="1">
        <f>IFERROR(__xludf.DUMMYFUNCTION("""COMPUTED_VALUE"""),0.0)</f>
        <v>0</v>
      </c>
    </row>
    <row r="8836">
      <c r="A8836" s="2">
        <f>IFERROR(__xludf.DUMMYFUNCTION("""COMPUTED_VALUE"""),44172.66666666667)</f>
        <v>44172.66667</v>
      </c>
      <c r="B8836" s="1">
        <f>IFERROR(__xludf.DUMMYFUNCTION("""COMPUTED_VALUE"""),3694.73)</f>
        <v>3694.73</v>
      </c>
      <c r="C8836" s="1">
        <f>IFERROR(__xludf.DUMMYFUNCTION("""COMPUTED_VALUE"""),3697.41)</f>
        <v>3697.41</v>
      </c>
      <c r="D8836" s="1">
        <f>IFERROR(__xludf.DUMMYFUNCTION("""COMPUTED_VALUE"""),3678.88)</f>
        <v>3678.88</v>
      </c>
      <c r="E8836" s="1">
        <f>IFERROR(__xludf.DUMMYFUNCTION("""COMPUTED_VALUE"""),3691.96)</f>
        <v>3691.96</v>
      </c>
      <c r="F8836" s="1">
        <f>IFERROR(__xludf.DUMMYFUNCTION("""COMPUTED_VALUE"""),0.0)</f>
        <v>0</v>
      </c>
    </row>
    <row r="8837">
      <c r="A8837" s="2">
        <f>IFERROR(__xludf.DUMMYFUNCTION("""COMPUTED_VALUE"""),44173.66666666667)</f>
        <v>44173.66667</v>
      </c>
      <c r="B8837" s="1">
        <f>IFERROR(__xludf.DUMMYFUNCTION("""COMPUTED_VALUE"""),3683.05)</f>
        <v>3683.05</v>
      </c>
      <c r="C8837" s="1">
        <f>IFERROR(__xludf.DUMMYFUNCTION("""COMPUTED_VALUE"""),3708.45)</f>
        <v>3708.45</v>
      </c>
      <c r="D8837" s="1">
        <f>IFERROR(__xludf.DUMMYFUNCTION("""COMPUTED_VALUE"""),3678.83)</f>
        <v>3678.83</v>
      </c>
      <c r="E8837" s="1">
        <f>IFERROR(__xludf.DUMMYFUNCTION("""COMPUTED_VALUE"""),3702.25)</f>
        <v>3702.25</v>
      </c>
      <c r="F8837" s="1">
        <f>IFERROR(__xludf.DUMMYFUNCTION("""COMPUTED_VALUE"""),0.0)</f>
        <v>0</v>
      </c>
    </row>
    <row r="8838">
      <c r="A8838" s="2">
        <f>IFERROR(__xludf.DUMMYFUNCTION("""COMPUTED_VALUE"""),44174.66666666667)</f>
        <v>44174.66667</v>
      </c>
      <c r="B8838" s="1">
        <f>IFERROR(__xludf.DUMMYFUNCTION("""COMPUTED_VALUE"""),3705.98)</f>
        <v>3705.98</v>
      </c>
      <c r="C8838" s="1">
        <f>IFERROR(__xludf.DUMMYFUNCTION("""COMPUTED_VALUE"""),3712.39)</f>
        <v>3712.39</v>
      </c>
      <c r="D8838" s="1">
        <f>IFERROR(__xludf.DUMMYFUNCTION("""COMPUTED_VALUE"""),3660.54)</f>
        <v>3660.54</v>
      </c>
      <c r="E8838" s="1">
        <f>IFERROR(__xludf.DUMMYFUNCTION("""COMPUTED_VALUE"""),3672.82)</f>
        <v>3672.82</v>
      </c>
      <c r="F8838" s="1">
        <f>IFERROR(__xludf.DUMMYFUNCTION("""COMPUTED_VALUE"""),0.0)</f>
        <v>0</v>
      </c>
    </row>
    <row r="8839">
      <c r="A8839" s="2">
        <f>IFERROR(__xludf.DUMMYFUNCTION("""COMPUTED_VALUE"""),44175.66666666667)</f>
        <v>44175.66667</v>
      </c>
      <c r="B8839" s="1">
        <f>IFERROR(__xludf.DUMMYFUNCTION("""COMPUTED_VALUE"""),3659.13)</f>
        <v>3659.13</v>
      </c>
      <c r="C8839" s="1">
        <f>IFERROR(__xludf.DUMMYFUNCTION("""COMPUTED_VALUE"""),3678.49)</f>
        <v>3678.49</v>
      </c>
      <c r="D8839" s="1">
        <f>IFERROR(__xludf.DUMMYFUNCTION("""COMPUTED_VALUE"""),3645.18)</f>
        <v>3645.18</v>
      </c>
      <c r="E8839" s="1">
        <f>IFERROR(__xludf.DUMMYFUNCTION("""COMPUTED_VALUE"""),3668.1)</f>
        <v>3668.1</v>
      </c>
      <c r="F8839" s="1">
        <f>IFERROR(__xludf.DUMMYFUNCTION("""COMPUTED_VALUE"""),0.0)</f>
        <v>0</v>
      </c>
    </row>
    <row r="8840">
      <c r="A8840" s="2">
        <f>IFERROR(__xludf.DUMMYFUNCTION("""COMPUTED_VALUE"""),44176.66666666667)</f>
        <v>44176.66667</v>
      </c>
      <c r="B8840" s="1">
        <f>IFERROR(__xludf.DUMMYFUNCTION("""COMPUTED_VALUE"""),3656.08)</f>
        <v>3656.08</v>
      </c>
      <c r="C8840" s="1">
        <f>IFERROR(__xludf.DUMMYFUNCTION("""COMPUTED_VALUE"""),3665.91)</f>
        <v>3665.91</v>
      </c>
      <c r="D8840" s="1">
        <f>IFERROR(__xludf.DUMMYFUNCTION("""COMPUTED_VALUE"""),3633.4)</f>
        <v>3633.4</v>
      </c>
      <c r="E8840" s="1">
        <f>IFERROR(__xludf.DUMMYFUNCTION("""COMPUTED_VALUE"""),3663.46)</f>
        <v>3663.46</v>
      </c>
      <c r="F8840" s="1">
        <f>IFERROR(__xludf.DUMMYFUNCTION("""COMPUTED_VALUE"""),0.0)</f>
        <v>0</v>
      </c>
    </row>
    <row r="8841">
      <c r="A8841" s="2">
        <f>IFERROR(__xludf.DUMMYFUNCTION("""COMPUTED_VALUE"""),44179.66666666667)</f>
        <v>44179.66667</v>
      </c>
      <c r="B8841" s="1">
        <f>IFERROR(__xludf.DUMMYFUNCTION("""COMPUTED_VALUE"""),3675.27)</f>
        <v>3675.27</v>
      </c>
      <c r="C8841" s="1">
        <f>IFERROR(__xludf.DUMMYFUNCTION("""COMPUTED_VALUE"""),3697.61)</f>
        <v>3697.61</v>
      </c>
      <c r="D8841" s="1">
        <f>IFERROR(__xludf.DUMMYFUNCTION("""COMPUTED_VALUE"""),3645.84)</f>
        <v>3645.84</v>
      </c>
      <c r="E8841" s="1">
        <f>IFERROR(__xludf.DUMMYFUNCTION("""COMPUTED_VALUE"""),3647.49)</f>
        <v>3647.49</v>
      </c>
      <c r="F8841" s="1">
        <f>IFERROR(__xludf.DUMMYFUNCTION("""COMPUTED_VALUE"""),0.0)</f>
        <v>0</v>
      </c>
    </row>
    <row r="8842">
      <c r="A8842" s="2">
        <f>IFERROR(__xludf.DUMMYFUNCTION("""COMPUTED_VALUE"""),44180.66666666667)</f>
        <v>44180.66667</v>
      </c>
      <c r="B8842" s="1">
        <f>IFERROR(__xludf.DUMMYFUNCTION("""COMPUTED_VALUE"""),3666.41)</f>
        <v>3666.41</v>
      </c>
      <c r="C8842" s="1">
        <f>IFERROR(__xludf.DUMMYFUNCTION("""COMPUTED_VALUE"""),3695.29)</f>
        <v>3695.29</v>
      </c>
      <c r="D8842" s="1">
        <f>IFERROR(__xludf.DUMMYFUNCTION("""COMPUTED_VALUE"""),3659.62)</f>
        <v>3659.62</v>
      </c>
      <c r="E8842" s="1">
        <f>IFERROR(__xludf.DUMMYFUNCTION("""COMPUTED_VALUE"""),3694.62)</f>
        <v>3694.62</v>
      </c>
      <c r="F8842" s="1">
        <f>IFERROR(__xludf.DUMMYFUNCTION("""COMPUTED_VALUE"""),0.0)</f>
        <v>0</v>
      </c>
    </row>
    <row r="8843">
      <c r="A8843" s="2">
        <f>IFERROR(__xludf.DUMMYFUNCTION("""COMPUTED_VALUE"""),44181.66666666667)</f>
        <v>44181.66667</v>
      </c>
      <c r="B8843" s="1">
        <f>IFERROR(__xludf.DUMMYFUNCTION("""COMPUTED_VALUE"""),3696.25)</f>
        <v>3696.25</v>
      </c>
      <c r="C8843" s="1">
        <f>IFERROR(__xludf.DUMMYFUNCTION("""COMPUTED_VALUE"""),3711.27)</f>
        <v>3711.27</v>
      </c>
      <c r="D8843" s="1">
        <f>IFERROR(__xludf.DUMMYFUNCTION("""COMPUTED_VALUE"""),3688.57)</f>
        <v>3688.57</v>
      </c>
      <c r="E8843" s="1">
        <f>IFERROR(__xludf.DUMMYFUNCTION("""COMPUTED_VALUE"""),3701.17)</f>
        <v>3701.17</v>
      </c>
      <c r="F8843" s="1">
        <f>IFERROR(__xludf.DUMMYFUNCTION("""COMPUTED_VALUE"""),0.0)</f>
        <v>0</v>
      </c>
    </row>
    <row r="8844">
      <c r="A8844" s="2">
        <f>IFERROR(__xludf.DUMMYFUNCTION("""COMPUTED_VALUE"""),44182.66666666667)</f>
        <v>44182.66667</v>
      </c>
      <c r="B8844" s="1">
        <f>IFERROR(__xludf.DUMMYFUNCTION("""COMPUTED_VALUE"""),3713.65)</f>
        <v>3713.65</v>
      </c>
      <c r="C8844" s="1">
        <f>IFERROR(__xludf.DUMMYFUNCTION("""COMPUTED_VALUE"""),3725.12)</f>
        <v>3725.12</v>
      </c>
      <c r="D8844" s="1">
        <f>IFERROR(__xludf.DUMMYFUNCTION("""COMPUTED_VALUE"""),3710.87)</f>
        <v>3710.87</v>
      </c>
      <c r="E8844" s="1">
        <f>IFERROR(__xludf.DUMMYFUNCTION("""COMPUTED_VALUE"""),3722.48)</f>
        <v>3722.48</v>
      </c>
      <c r="F8844" s="1">
        <f>IFERROR(__xludf.DUMMYFUNCTION("""COMPUTED_VALUE"""),0.0)</f>
        <v>0</v>
      </c>
    </row>
    <row r="8845">
      <c r="A8845" s="2">
        <f>IFERROR(__xludf.DUMMYFUNCTION("""COMPUTED_VALUE"""),44183.66666666667)</f>
        <v>44183.66667</v>
      </c>
      <c r="B8845" s="1">
        <f>IFERROR(__xludf.DUMMYFUNCTION("""COMPUTED_VALUE"""),3722.39)</f>
        <v>3722.39</v>
      </c>
      <c r="C8845" s="1">
        <f>IFERROR(__xludf.DUMMYFUNCTION("""COMPUTED_VALUE"""),3726.7)</f>
        <v>3726.7</v>
      </c>
      <c r="D8845" s="1">
        <f>IFERROR(__xludf.DUMMYFUNCTION("""COMPUTED_VALUE"""),3685.84)</f>
        <v>3685.84</v>
      </c>
      <c r="E8845" s="1">
        <f>IFERROR(__xludf.DUMMYFUNCTION("""COMPUTED_VALUE"""),3709.41)</f>
        <v>3709.41</v>
      </c>
      <c r="F8845" s="1">
        <f>IFERROR(__xludf.DUMMYFUNCTION("""COMPUTED_VALUE"""),0.0)</f>
        <v>0</v>
      </c>
    </row>
    <row r="8846">
      <c r="A8846" s="2">
        <f>IFERROR(__xludf.DUMMYFUNCTION("""COMPUTED_VALUE"""),44186.66666666667)</f>
        <v>44186.66667</v>
      </c>
      <c r="B8846" s="1">
        <f>IFERROR(__xludf.DUMMYFUNCTION("""COMPUTED_VALUE"""),3684.28)</f>
        <v>3684.28</v>
      </c>
      <c r="C8846" s="1">
        <f>IFERROR(__xludf.DUMMYFUNCTION("""COMPUTED_VALUE"""),3702.9)</f>
        <v>3702.9</v>
      </c>
      <c r="D8846" s="1">
        <f>IFERROR(__xludf.DUMMYFUNCTION("""COMPUTED_VALUE"""),3636.48)</f>
        <v>3636.48</v>
      </c>
      <c r="E8846" s="1">
        <f>IFERROR(__xludf.DUMMYFUNCTION("""COMPUTED_VALUE"""),3694.92)</f>
        <v>3694.92</v>
      </c>
      <c r="F8846" s="1">
        <f>IFERROR(__xludf.DUMMYFUNCTION("""COMPUTED_VALUE"""),0.0)</f>
        <v>0</v>
      </c>
    </row>
    <row r="8847">
      <c r="A8847" s="2">
        <f>IFERROR(__xludf.DUMMYFUNCTION("""COMPUTED_VALUE"""),44187.66666666667)</f>
        <v>44187.66667</v>
      </c>
      <c r="B8847" s="1">
        <f>IFERROR(__xludf.DUMMYFUNCTION("""COMPUTED_VALUE"""),3698.08)</f>
        <v>3698.08</v>
      </c>
      <c r="C8847" s="1">
        <f>IFERROR(__xludf.DUMMYFUNCTION("""COMPUTED_VALUE"""),3698.26)</f>
        <v>3698.26</v>
      </c>
      <c r="D8847" s="1">
        <f>IFERROR(__xludf.DUMMYFUNCTION("""COMPUTED_VALUE"""),3676.16)</f>
        <v>3676.16</v>
      </c>
      <c r="E8847" s="1">
        <f>IFERROR(__xludf.DUMMYFUNCTION("""COMPUTED_VALUE"""),3687.26)</f>
        <v>3687.26</v>
      </c>
      <c r="F8847" s="1">
        <f>IFERROR(__xludf.DUMMYFUNCTION("""COMPUTED_VALUE"""),0.0)</f>
        <v>0</v>
      </c>
    </row>
    <row r="8848">
      <c r="A8848" s="2">
        <f>IFERROR(__xludf.DUMMYFUNCTION("""COMPUTED_VALUE"""),44188.66666666667)</f>
        <v>44188.66667</v>
      </c>
      <c r="B8848" s="1">
        <f>IFERROR(__xludf.DUMMYFUNCTION("""COMPUTED_VALUE"""),3693.42)</f>
        <v>3693.42</v>
      </c>
      <c r="C8848" s="1">
        <f>IFERROR(__xludf.DUMMYFUNCTION("""COMPUTED_VALUE"""),3711.24)</f>
        <v>3711.24</v>
      </c>
      <c r="D8848" s="1">
        <f>IFERROR(__xludf.DUMMYFUNCTION("""COMPUTED_VALUE"""),3689.28)</f>
        <v>3689.28</v>
      </c>
      <c r="E8848" s="1">
        <f>IFERROR(__xludf.DUMMYFUNCTION("""COMPUTED_VALUE"""),3690.01)</f>
        <v>3690.01</v>
      </c>
      <c r="F8848" s="1">
        <f>IFERROR(__xludf.DUMMYFUNCTION("""COMPUTED_VALUE"""),0.0)</f>
        <v>0</v>
      </c>
    </row>
    <row r="8849">
      <c r="A8849" s="2">
        <f>IFERROR(__xludf.DUMMYFUNCTION("""COMPUTED_VALUE"""),44189.54166666667)</f>
        <v>44189.54167</v>
      </c>
      <c r="B8849" s="1">
        <f>IFERROR(__xludf.DUMMYFUNCTION("""COMPUTED_VALUE"""),3694.03)</f>
        <v>3694.03</v>
      </c>
      <c r="C8849" s="1">
        <f>IFERROR(__xludf.DUMMYFUNCTION("""COMPUTED_VALUE"""),3703.82)</f>
        <v>3703.82</v>
      </c>
      <c r="D8849" s="1">
        <f>IFERROR(__xludf.DUMMYFUNCTION("""COMPUTED_VALUE"""),3689.32)</f>
        <v>3689.32</v>
      </c>
      <c r="E8849" s="1">
        <f>IFERROR(__xludf.DUMMYFUNCTION("""COMPUTED_VALUE"""),3703.06)</f>
        <v>3703.06</v>
      </c>
      <c r="F8849" s="1">
        <f>IFERROR(__xludf.DUMMYFUNCTION("""COMPUTED_VALUE"""),0.0)</f>
        <v>0</v>
      </c>
    </row>
    <row r="8850">
      <c r="A8850" s="2">
        <f>IFERROR(__xludf.DUMMYFUNCTION("""COMPUTED_VALUE"""),44193.66666666667)</f>
        <v>44193.66667</v>
      </c>
      <c r="B8850" s="1">
        <f>IFERROR(__xludf.DUMMYFUNCTION("""COMPUTED_VALUE"""),3694.03)</f>
        <v>3694.03</v>
      </c>
      <c r="C8850" s="1">
        <f>IFERROR(__xludf.DUMMYFUNCTION("""COMPUTED_VALUE"""),3740.51)</f>
        <v>3740.51</v>
      </c>
      <c r="D8850" s="1">
        <f>IFERROR(__xludf.DUMMYFUNCTION("""COMPUTED_VALUE"""),3689.32)</f>
        <v>3689.32</v>
      </c>
      <c r="E8850" s="1">
        <f>IFERROR(__xludf.DUMMYFUNCTION("""COMPUTED_VALUE"""),3735.36)</f>
        <v>3735.36</v>
      </c>
      <c r="F8850" s="1">
        <f>IFERROR(__xludf.DUMMYFUNCTION("""COMPUTED_VALUE"""),0.0)</f>
        <v>0</v>
      </c>
    </row>
    <row r="8851">
      <c r="A8851" s="2">
        <f>IFERROR(__xludf.DUMMYFUNCTION("""COMPUTED_VALUE"""),44194.66666666667)</f>
        <v>44194.66667</v>
      </c>
      <c r="B8851" s="1">
        <f>IFERROR(__xludf.DUMMYFUNCTION("""COMPUTED_VALUE"""),3750.01)</f>
        <v>3750.01</v>
      </c>
      <c r="C8851" s="1">
        <f>IFERROR(__xludf.DUMMYFUNCTION("""COMPUTED_VALUE"""),3756.12)</f>
        <v>3756.12</v>
      </c>
      <c r="D8851" s="1">
        <f>IFERROR(__xludf.DUMMYFUNCTION("""COMPUTED_VALUE"""),3723.31)</f>
        <v>3723.31</v>
      </c>
      <c r="E8851" s="1">
        <f>IFERROR(__xludf.DUMMYFUNCTION("""COMPUTED_VALUE"""),3727.04)</f>
        <v>3727.04</v>
      </c>
      <c r="F8851" s="1">
        <f>IFERROR(__xludf.DUMMYFUNCTION("""COMPUTED_VALUE"""),0.0)</f>
        <v>0</v>
      </c>
    </row>
    <row r="8852">
      <c r="A8852" s="2">
        <f>IFERROR(__xludf.DUMMYFUNCTION("""COMPUTED_VALUE"""),44195.66666666667)</f>
        <v>44195.66667</v>
      </c>
      <c r="B8852" s="1">
        <f>IFERROR(__xludf.DUMMYFUNCTION("""COMPUTED_VALUE"""),3736.19)</f>
        <v>3736.19</v>
      </c>
      <c r="C8852" s="1">
        <f>IFERROR(__xludf.DUMMYFUNCTION("""COMPUTED_VALUE"""),3744.63)</f>
        <v>3744.63</v>
      </c>
      <c r="D8852" s="1">
        <f>IFERROR(__xludf.DUMMYFUNCTION("""COMPUTED_VALUE"""),3730.21)</f>
        <v>3730.21</v>
      </c>
      <c r="E8852" s="1">
        <f>IFERROR(__xludf.DUMMYFUNCTION("""COMPUTED_VALUE"""),3732.04)</f>
        <v>3732.04</v>
      </c>
      <c r="F8852" s="1">
        <f>IFERROR(__xludf.DUMMYFUNCTION("""COMPUTED_VALUE"""),0.0)</f>
        <v>0</v>
      </c>
    </row>
    <row r="8853">
      <c r="A8853" s="2">
        <f>IFERROR(__xludf.DUMMYFUNCTION("""COMPUTED_VALUE"""),44196.66666666667)</f>
        <v>44196.66667</v>
      </c>
      <c r="B8853" s="1">
        <f>IFERROR(__xludf.DUMMYFUNCTION("""COMPUTED_VALUE"""),3733.27)</f>
        <v>3733.27</v>
      </c>
      <c r="C8853" s="1">
        <f>IFERROR(__xludf.DUMMYFUNCTION("""COMPUTED_VALUE"""),3760.2)</f>
        <v>3760.2</v>
      </c>
      <c r="D8853" s="1">
        <f>IFERROR(__xludf.DUMMYFUNCTION("""COMPUTED_VALUE"""),3726.88)</f>
        <v>3726.88</v>
      </c>
      <c r="E8853" s="1">
        <f>IFERROR(__xludf.DUMMYFUNCTION("""COMPUTED_VALUE"""),3756.07)</f>
        <v>3756.07</v>
      </c>
      <c r="F8853" s="1">
        <f>IFERROR(__xludf.DUMMYFUNCTION("""COMPUTED_VALUE"""),0.0)</f>
        <v>0</v>
      </c>
    </row>
    <row r="8854">
      <c r="A8854" s="2">
        <f>IFERROR(__xludf.DUMMYFUNCTION("""COMPUTED_VALUE"""),44200.66666666667)</f>
        <v>44200.66667</v>
      </c>
      <c r="B8854" s="1">
        <f>IFERROR(__xludf.DUMMYFUNCTION("""COMPUTED_VALUE"""),3764.61)</f>
        <v>3764.61</v>
      </c>
      <c r="C8854" s="1">
        <f>IFERROR(__xludf.DUMMYFUNCTION("""COMPUTED_VALUE"""),3769.99)</f>
        <v>3769.99</v>
      </c>
      <c r="D8854" s="1">
        <f>IFERROR(__xludf.DUMMYFUNCTION("""COMPUTED_VALUE"""),3662.71)</f>
        <v>3662.71</v>
      </c>
      <c r="E8854" s="1">
        <f>IFERROR(__xludf.DUMMYFUNCTION("""COMPUTED_VALUE"""),3700.65)</f>
        <v>3700.65</v>
      </c>
      <c r="F8854" s="1">
        <f>IFERROR(__xludf.DUMMYFUNCTION("""COMPUTED_VALUE"""),0.0)</f>
        <v>0</v>
      </c>
    </row>
    <row r="8855">
      <c r="A8855" s="2">
        <f>IFERROR(__xludf.DUMMYFUNCTION("""COMPUTED_VALUE"""),44201.66666666667)</f>
        <v>44201.66667</v>
      </c>
      <c r="B8855" s="1">
        <f>IFERROR(__xludf.DUMMYFUNCTION("""COMPUTED_VALUE"""),3698.02)</f>
        <v>3698.02</v>
      </c>
      <c r="C8855" s="1">
        <f>IFERROR(__xludf.DUMMYFUNCTION("""COMPUTED_VALUE"""),3737.83)</f>
        <v>3737.83</v>
      </c>
      <c r="D8855" s="1">
        <f>IFERROR(__xludf.DUMMYFUNCTION("""COMPUTED_VALUE"""),3695.07)</f>
        <v>3695.07</v>
      </c>
      <c r="E8855" s="1">
        <f>IFERROR(__xludf.DUMMYFUNCTION("""COMPUTED_VALUE"""),3726.86)</f>
        <v>3726.86</v>
      </c>
      <c r="F8855" s="1">
        <f>IFERROR(__xludf.DUMMYFUNCTION("""COMPUTED_VALUE"""),0.0)</f>
        <v>0</v>
      </c>
    </row>
    <row r="8856">
      <c r="A8856" s="2">
        <f>IFERROR(__xludf.DUMMYFUNCTION("""COMPUTED_VALUE"""),44202.66666666667)</f>
        <v>44202.66667</v>
      </c>
      <c r="B8856" s="1">
        <f>IFERROR(__xludf.DUMMYFUNCTION("""COMPUTED_VALUE"""),3712.2)</f>
        <v>3712.2</v>
      </c>
      <c r="C8856" s="1">
        <f>IFERROR(__xludf.DUMMYFUNCTION("""COMPUTED_VALUE"""),3783.04)</f>
        <v>3783.04</v>
      </c>
      <c r="D8856" s="1">
        <f>IFERROR(__xludf.DUMMYFUNCTION("""COMPUTED_VALUE"""),3705.34)</f>
        <v>3705.34</v>
      </c>
      <c r="E8856" s="1">
        <f>IFERROR(__xludf.DUMMYFUNCTION("""COMPUTED_VALUE"""),3748.14)</f>
        <v>3748.14</v>
      </c>
      <c r="F8856" s="1">
        <f>IFERROR(__xludf.DUMMYFUNCTION("""COMPUTED_VALUE"""),0.0)</f>
        <v>0</v>
      </c>
    </row>
    <row r="8857">
      <c r="A8857" s="2">
        <f>IFERROR(__xludf.DUMMYFUNCTION("""COMPUTED_VALUE"""),44203.66666666667)</f>
        <v>44203.66667</v>
      </c>
      <c r="B8857" s="1">
        <f>IFERROR(__xludf.DUMMYFUNCTION("""COMPUTED_VALUE"""),3764.71)</f>
        <v>3764.71</v>
      </c>
      <c r="C8857" s="1">
        <f>IFERROR(__xludf.DUMMYFUNCTION("""COMPUTED_VALUE"""),3811.55)</f>
        <v>3811.55</v>
      </c>
      <c r="D8857" s="1">
        <f>IFERROR(__xludf.DUMMYFUNCTION("""COMPUTED_VALUE"""),3764.71)</f>
        <v>3764.71</v>
      </c>
      <c r="E8857" s="1">
        <f>IFERROR(__xludf.DUMMYFUNCTION("""COMPUTED_VALUE"""),3803.79)</f>
        <v>3803.79</v>
      </c>
      <c r="F8857" s="1">
        <f>IFERROR(__xludf.DUMMYFUNCTION("""COMPUTED_VALUE"""),0.0)</f>
        <v>0</v>
      </c>
    </row>
    <row r="8858">
      <c r="A8858" s="2">
        <f>IFERROR(__xludf.DUMMYFUNCTION("""COMPUTED_VALUE"""),44204.66666666667)</f>
        <v>44204.66667</v>
      </c>
      <c r="B8858" s="1">
        <f>IFERROR(__xludf.DUMMYFUNCTION("""COMPUTED_VALUE"""),3815.05)</f>
        <v>3815.05</v>
      </c>
      <c r="C8858" s="1">
        <f>IFERROR(__xludf.DUMMYFUNCTION("""COMPUTED_VALUE"""),3826.69)</f>
        <v>3826.69</v>
      </c>
      <c r="D8858" s="1">
        <f>IFERROR(__xludf.DUMMYFUNCTION("""COMPUTED_VALUE"""),3783.6)</f>
        <v>3783.6</v>
      </c>
      <c r="E8858" s="1">
        <f>IFERROR(__xludf.DUMMYFUNCTION("""COMPUTED_VALUE"""),3824.68)</f>
        <v>3824.68</v>
      </c>
      <c r="F8858" s="1">
        <f>IFERROR(__xludf.DUMMYFUNCTION("""COMPUTED_VALUE"""),0.0)</f>
        <v>0</v>
      </c>
    </row>
    <row r="8859">
      <c r="A8859" s="2">
        <f>IFERROR(__xludf.DUMMYFUNCTION("""COMPUTED_VALUE"""),44207.66666666667)</f>
        <v>44207.66667</v>
      </c>
      <c r="B8859" s="1">
        <f>IFERROR(__xludf.DUMMYFUNCTION("""COMPUTED_VALUE"""),3803.14)</f>
        <v>3803.14</v>
      </c>
      <c r="C8859" s="1">
        <f>IFERROR(__xludf.DUMMYFUNCTION("""COMPUTED_VALUE"""),3817.86)</f>
        <v>3817.86</v>
      </c>
      <c r="D8859" s="1">
        <f>IFERROR(__xludf.DUMMYFUNCTION("""COMPUTED_VALUE"""),3789.02)</f>
        <v>3789.02</v>
      </c>
      <c r="E8859" s="1">
        <f>IFERROR(__xludf.DUMMYFUNCTION("""COMPUTED_VALUE"""),3799.61)</f>
        <v>3799.61</v>
      </c>
      <c r="F8859" s="1">
        <f>IFERROR(__xludf.DUMMYFUNCTION("""COMPUTED_VALUE"""),0.0)</f>
        <v>0</v>
      </c>
    </row>
    <row r="8860">
      <c r="A8860" s="2">
        <f>IFERROR(__xludf.DUMMYFUNCTION("""COMPUTED_VALUE"""),44208.66666666667)</f>
        <v>44208.66667</v>
      </c>
      <c r="B8860" s="1">
        <f>IFERROR(__xludf.DUMMYFUNCTION("""COMPUTED_VALUE"""),3801.62)</f>
        <v>3801.62</v>
      </c>
      <c r="C8860" s="1">
        <f>IFERROR(__xludf.DUMMYFUNCTION("""COMPUTED_VALUE"""),3810.78)</f>
        <v>3810.78</v>
      </c>
      <c r="D8860" s="1">
        <f>IFERROR(__xludf.DUMMYFUNCTION("""COMPUTED_VALUE"""),3776.51)</f>
        <v>3776.51</v>
      </c>
      <c r="E8860" s="1">
        <f>IFERROR(__xludf.DUMMYFUNCTION("""COMPUTED_VALUE"""),3801.19)</f>
        <v>3801.19</v>
      </c>
      <c r="F8860" s="1">
        <f>IFERROR(__xludf.DUMMYFUNCTION("""COMPUTED_VALUE"""),0.0)</f>
        <v>0</v>
      </c>
    </row>
    <row r="8861">
      <c r="A8861" s="2">
        <f>IFERROR(__xludf.DUMMYFUNCTION("""COMPUTED_VALUE"""),44209.66666666667)</f>
        <v>44209.66667</v>
      </c>
      <c r="B8861" s="1">
        <f>IFERROR(__xludf.DUMMYFUNCTION("""COMPUTED_VALUE"""),3802.23)</f>
        <v>3802.23</v>
      </c>
      <c r="C8861" s="1">
        <f>IFERROR(__xludf.DUMMYFUNCTION("""COMPUTED_VALUE"""),3820.96)</f>
        <v>3820.96</v>
      </c>
      <c r="D8861" s="1">
        <f>IFERROR(__xludf.DUMMYFUNCTION("""COMPUTED_VALUE"""),3791.5)</f>
        <v>3791.5</v>
      </c>
      <c r="E8861" s="1">
        <f>IFERROR(__xludf.DUMMYFUNCTION("""COMPUTED_VALUE"""),3809.84)</f>
        <v>3809.84</v>
      </c>
      <c r="F8861" s="1">
        <f>IFERROR(__xludf.DUMMYFUNCTION("""COMPUTED_VALUE"""),0.0)</f>
        <v>0</v>
      </c>
    </row>
    <row r="8862">
      <c r="A8862" s="2">
        <f>IFERROR(__xludf.DUMMYFUNCTION("""COMPUTED_VALUE"""),44210.66666666667)</f>
        <v>44210.66667</v>
      </c>
      <c r="B8862" s="1">
        <f>IFERROR(__xludf.DUMMYFUNCTION("""COMPUTED_VALUE"""),3814.98)</f>
        <v>3814.98</v>
      </c>
      <c r="C8862" s="1">
        <f>IFERROR(__xludf.DUMMYFUNCTION("""COMPUTED_VALUE"""),3823.6)</f>
        <v>3823.6</v>
      </c>
      <c r="D8862" s="1">
        <f>IFERROR(__xludf.DUMMYFUNCTION("""COMPUTED_VALUE"""),3792.86)</f>
        <v>3792.86</v>
      </c>
      <c r="E8862" s="1">
        <f>IFERROR(__xludf.DUMMYFUNCTION("""COMPUTED_VALUE"""),3795.54)</f>
        <v>3795.54</v>
      </c>
      <c r="F8862" s="1">
        <f>IFERROR(__xludf.DUMMYFUNCTION("""COMPUTED_VALUE"""),0.0)</f>
        <v>0</v>
      </c>
    </row>
    <row r="8863">
      <c r="A8863" s="2">
        <f>IFERROR(__xludf.DUMMYFUNCTION("""COMPUTED_VALUE"""),44211.66666666667)</f>
        <v>44211.66667</v>
      </c>
      <c r="B8863" s="1">
        <f>IFERROR(__xludf.DUMMYFUNCTION("""COMPUTED_VALUE"""),3788.73)</f>
        <v>3788.73</v>
      </c>
      <c r="C8863" s="1">
        <f>IFERROR(__xludf.DUMMYFUNCTION("""COMPUTED_VALUE"""),3788.73)</f>
        <v>3788.73</v>
      </c>
      <c r="D8863" s="1">
        <f>IFERROR(__xludf.DUMMYFUNCTION("""COMPUTED_VALUE"""),3749.62)</f>
        <v>3749.62</v>
      </c>
      <c r="E8863" s="1">
        <f>IFERROR(__xludf.DUMMYFUNCTION("""COMPUTED_VALUE"""),3768.25)</f>
        <v>3768.25</v>
      </c>
      <c r="F8863" s="1">
        <f>IFERROR(__xludf.DUMMYFUNCTION("""COMPUTED_VALUE"""),0.0)</f>
        <v>0</v>
      </c>
    </row>
    <row r="8864">
      <c r="A8864" s="2">
        <f>IFERROR(__xludf.DUMMYFUNCTION("""COMPUTED_VALUE"""),44215.66666666667)</f>
        <v>44215.66667</v>
      </c>
      <c r="B8864" s="1">
        <f>IFERROR(__xludf.DUMMYFUNCTION("""COMPUTED_VALUE"""),3781.88)</f>
        <v>3781.88</v>
      </c>
      <c r="C8864" s="1">
        <f>IFERROR(__xludf.DUMMYFUNCTION("""COMPUTED_VALUE"""),3804.53)</f>
        <v>3804.53</v>
      </c>
      <c r="D8864" s="1">
        <f>IFERROR(__xludf.DUMMYFUNCTION("""COMPUTED_VALUE"""),3780.37)</f>
        <v>3780.37</v>
      </c>
      <c r="E8864" s="1">
        <f>IFERROR(__xludf.DUMMYFUNCTION("""COMPUTED_VALUE"""),3798.91)</f>
        <v>3798.91</v>
      </c>
      <c r="F8864" s="1">
        <f>IFERROR(__xludf.DUMMYFUNCTION("""COMPUTED_VALUE"""),0.0)</f>
        <v>0</v>
      </c>
    </row>
    <row r="8865">
      <c r="A8865" s="2">
        <f>IFERROR(__xludf.DUMMYFUNCTION("""COMPUTED_VALUE"""),44216.66666666667)</f>
        <v>44216.66667</v>
      </c>
      <c r="B8865" s="1">
        <f>IFERROR(__xludf.DUMMYFUNCTION("""COMPUTED_VALUE"""),3816.22)</f>
        <v>3816.22</v>
      </c>
      <c r="C8865" s="1">
        <f>IFERROR(__xludf.DUMMYFUNCTION("""COMPUTED_VALUE"""),3859.75)</f>
        <v>3859.75</v>
      </c>
      <c r="D8865" s="1">
        <f>IFERROR(__xludf.DUMMYFUNCTION("""COMPUTED_VALUE"""),3816.22)</f>
        <v>3816.22</v>
      </c>
      <c r="E8865" s="1">
        <f>IFERROR(__xludf.DUMMYFUNCTION("""COMPUTED_VALUE"""),3851.85)</f>
        <v>3851.85</v>
      </c>
      <c r="F8865" s="1">
        <f>IFERROR(__xludf.DUMMYFUNCTION("""COMPUTED_VALUE"""),0.0)</f>
        <v>0</v>
      </c>
    </row>
    <row r="8866">
      <c r="A8866" s="2">
        <f>IFERROR(__xludf.DUMMYFUNCTION("""COMPUTED_VALUE"""),44217.66666666667)</f>
        <v>44217.66667</v>
      </c>
      <c r="B8866" s="1">
        <f>IFERROR(__xludf.DUMMYFUNCTION("""COMPUTED_VALUE"""),3857.46)</f>
        <v>3857.46</v>
      </c>
      <c r="C8866" s="1">
        <f>IFERROR(__xludf.DUMMYFUNCTION("""COMPUTED_VALUE"""),3861.45)</f>
        <v>3861.45</v>
      </c>
      <c r="D8866" s="1">
        <f>IFERROR(__xludf.DUMMYFUNCTION("""COMPUTED_VALUE"""),3845.05)</f>
        <v>3845.05</v>
      </c>
      <c r="E8866" s="1">
        <f>IFERROR(__xludf.DUMMYFUNCTION("""COMPUTED_VALUE"""),3853.07)</f>
        <v>3853.07</v>
      </c>
      <c r="F8866" s="1">
        <f>IFERROR(__xludf.DUMMYFUNCTION("""COMPUTED_VALUE"""),0.0)</f>
        <v>0</v>
      </c>
    </row>
    <row r="8867">
      <c r="A8867" s="2">
        <f>IFERROR(__xludf.DUMMYFUNCTION("""COMPUTED_VALUE"""),44218.66666666667)</f>
        <v>44218.66667</v>
      </c>
      <c r="B8867" s="1">
        <f>IFERROR(__xludf.DUMMYFUNCTION("""COMPUTED_VALUE"""),3844.24)</f>
        <v>3844.24</v>
      </c>
      <c r="C8867" s="1">
        <f>IFERROR(__xludf.DUMMYFUNCTION("""COMPUTED_VALUE"""),3852.31)</f>
        <v>3852.31</v>
      </c>
      <c r="D8867" s="1">
        <f>IFERROR(__xludf.DUMMYFUNCTION("""COMPUTED_VALUE"""),3830.41)</f>
        <v>3830.41</v>
      </c>
      <c r="E8867" s="1">
        <f>IFERROR(__xludf.DUMMYFUNCTION("""COMPUTED_VALUE"""),3841.47)</f>
        <v>3841.47</v>
      </c>
      <c r="F8867" s="1">
        <f>IFERROR(__xludf.DUMMYFUNCTION("""COMPUTED_VALUE"""),0.0)</f>
        <v>0</v>
      </c>
    </row>
    <row r="8868">
      <c r="A8868" s="2">
        <f>IFERROR(__xludf.DUMMYFUNCTION("""COMPUTED_VALUE"""),44221.66666666667)</f>
        <v>44221.66667</v>
      </c>
      <c r="B8868" s="1">
        <f>IFERROR(__xludf.DUMMYFUNCTION("""COMPUTED_VALUE"""),3851.68)</f>
        <v>3851.68</v>
      </c>
      <c r="C8868" s="1">
        <f>IFERROR(__xludf.DUMMYFUNCTION("""COMPUTED_VALUE"""),3859.23)</f>
        <v>3859.23</v>
      </c>
      <c r="D8868" s="1">
        <f>IFERROR(__xludf.DUMMYFUNCTION("""COMPUTED_VALUE"""),3797.16)</f>
        <v>3797.16</v>
      </c>
      <c r="E8868" s="1">
        <f>IFERROR(__xludf.DUMMYFUNCTION("""COMPUTED_VALUE"""),3855.36)</f>
        <v>3855.36</v>
      </c>
      <c r="F8868" s="1">
        <f>IFERROR(__xludf.DUMMYFUNCTION("""COMPUTED_VALUE"""),0.0)</f>
        <v>0</v>
      </c>
    </row>
    <row r="8869">
      <c r="A8869" s="2">
        <f>IFERROR(__xludf.DUMMYFUNCTION("""COMPUTED_VALUE"""),44222.66666666667)</f>
        <v>44222.66667</v>
      </c>
      <c r="B8869" s="1">
        <f>IFERROR(__xludf.DUMMYFUNCTION("""COMPUTED_VALUE"""),3862.96)</f>
        <v>3862.96</v>
      </c>
      <c r="C8869" s="1">
        <f>IFERROR(__xludf.DUMMYFUNCTION("""COMPUTED_VALUE"""),3870.9)</f>
        <v>3870.9</v>
      </c>
      <c r="D8869" s="1">
        <f>IFERROR(__xludf.DUMMYFUNCTION("""COMPUTED_VALUE"""),3847.78)</f>
        <v>3847.78</v>
      </c>
      <c r="E8869" s="1">
        <f>IFERROR(__xludf.DUMMYFUNCTION("""COMPUTED_VALUE"""),3849.62)</f>
        <v>3849.62</v>
      </c>
      <c r="F8869" s="1">
        <f>IFERROR(__xludf.DUMMYFUNCTION("""COMPUTED_VALUE"""),0.0)</f>
        <v>0</v>
      </c>
    </row>
    <row r="8870">
      <c r="A8870" s="2">
        <f>IFERROR(__xludf.DUMMYFUNCTION("""COMPUTED_VALUE"""),44223.66666666667)</f>
        <v>44223.66667</v>
      </c>
      <c r="B8870" s="1">
        <f>IFERROR(__xludf.DUMMYFUNCTION("""COMPUTED_VALUE"""),3836.83)</f>
        <v>3836.83</v>
      </c>
      <c r="C8870" s="1">
        <f>IFERROR(__xludf.DUMMYFUNCTION("""COMPUTED_VALUE"""),3836.83)</f>
        <v>3836.83</v>
      </c>
      <c r="D8870" s="1">
        <f>IFERROR(__xludf.DUMMYFUNCTION("""COMPUTED_VALUE"""),3732.48)</f>
        <v>3732.48</v>
      </c>
      <c r="E8870" s="1">
        <f>IFERROR(__xludf.DUMMYFUNCTION("""COMPUTED_VALUE"""),3750.77)</f>
        <v>3750.77</v>
      </c>
      <c r="F8870" s="1">
        <f>IFERROR(__xludf.DUMMYFUNCTION("""COMPUTED_VALUE"""),0.0)</f>
        <v>0</v>
      </c>
    </row>
    <row r="8871">
      <c r="A8871" s="2">
        <f>IFERROR(__xludf.DUMMYFUNCTION("""COMPUTED_VALUE"""),44224.66666666667)</f>
        <v>44224.66667</v>
      </c>
      <c r="B8871" s="1">
        <f>IFERROR(__xludf.DUMMYFUNCTION("""COMPUTED_VALUE"""),3755.75)</f>
        <v>3755.75</v>
      </c>
      <c r="C8871" s="1">
        <f>IFERROR(__xludf.DUMMYFUNCTION("""COMPUTED_VALUE"""),3830.5)</f>
        <v>3830.5</v>
      </c>
      <c r="D8871" s="1">
        <f>IFERROR(__xludf.DUMMYFUNCTION("""COMPUTED_VALUE"""),3755.75)</f>
        <v>3755.75</v>
      </c>
      <c r="E8871" s="1">
        <f>IFERROR(__xludf.DUMMYFUNCTION("""COMPUTED_VALUE"""),3787.38)</f>
        <v>3787.38</v>
      </c>
      <c r="F8871" s="1">
        <f>IFERROR(__xludf.DUMMYFUNCTION("""COMPUTED_VALUE"""),0.0)</f>
        <v>0</v>
      </c>
    </row>
    <row r="8872">
      <c r="A8872" s="2">
        <f>IFERROR(__xludf.DUMMYFUNCTION("""COMPUTED_VALUE"""),44225.66666666667)</f>
        <v>44225.66667</v>
      </c>
      <c r="B8872" s="1">
        <f>IFERROR(__xludf.DUMMYFUNCTION("""COMPUTED_VALUE"""),3778.05)</f>
        <v>3778.05</v>
      </c>
      <c r="C8872" s="1">
        <f>IFERROR(__xludf.DUMMYFUNCTION("""COMPUTED_VALUE"""),3778.05)</f>
        <v>3778.05</v>
      </c>
      <c r="D8872" s="1">
        <f>IFERROR(__xludf.DUMMYFUNCTION("""COMPUTED_VALUE"""),3694.12)</f>
        <v>3694.12</v>
      </c>
      <c r="E8872" s="1">
        <f>IFERROR(__xludf.DUMMYFUNCTION("""COMPUTED_VALUE"""),3714.24)</f>
        <v>3714.24</v>
      </c>
      <c r="F8872" s="1">
        <f>IFERROR(__xludf.DUMMYFUNCTION("""COMPUTED_VALUE"""),0.0)</f>
        <v>0</v>
      </c>
    </row>
    <row r="8873">
      <c r="A8873" s="2">
        <f>IFERROR(__xludf.DUMMYFUNCTION("""COMPUTED_VALUE"""),44228.66666666667)</f>
        <v>44228.66667</v>
      </c>
      <c r="B8873" s="1">
        <f>IFERROR(__xludf.DUMMYFUNCTION("""COMPUTED_VALUE"""),3731.17)</f>
        <v>3731.17</v>
      </c>
      <c r="C8873" s="1">
        <f>IFERROR(__xludf.DUMMYFUNCTION("""COMPUTED_VALUE"""),3784.32)</f>
        <v>3784.32</v>
      </c>
      <c r="D8873" s="1">
        <f>IFERROR(__xludf.DUMMYFUNCTION("""COMPUTED_VALUE"""),3725.62)</f>
        <v>3725.62</v>
      </c>
      <c r="E8873" s="1">
        <f>IFERROR(__xludf.DUMMYFUNCTION("""COMPUTED_VALUE"""),3773.86)</f>
        <v>3773.86</v>
      </c>
      <c r="F8873" s="1">
        <f>IFERROR(__xludf.DUMMYFUNCTION("""COMPUTED_VALUE"""),0.0)</f>
        <v>0</v>
      </c>
    </row>
    <row r="8874">
      <c r="A8874" s="2">
        <f>IFERROR(__xludf.DUMMYFUNCTION("""COMPUTED_VALUE"""),44229.66666666667)</f>
        <v>44229.66667</v>
      </c>
      <c r="B8874" s="1">
        <f>IFERROR(__xludf.DUMMYFUNCTION("""COMPUTED_VALUE"""),3791.84)</f>
        <v>3791.84</v>
      </c>
      <c r="C8874" s="1">
        <f>IFERROR(__xludf.DUMMYFUNCTION("""COMPUTED_VALUE"""),3843.09)</f>
        <v>3843.09</v>
      </c>
      <c r="D8874" s="1">
        <f>IFERROR(__xludf.DUMMYFUNCTION("""COMPUTED_VALUE"""),3791.84)</f>
        <v>3791.84</v>
      </c>
      <c r="E8874" s="1">
        <f>IFERROR(__xludf.DUMMYFUNCTION("""COMPUTED_VALUE"""),3826.31)</f>
        <v>3826.31</v>
      </c>
      <c r="F8874" s="1">
        <f>IFERROR(__xludf.DUMMYFUNCTION("""COMPUTED_VALUE"""),0.0)</f>
        <v>0</v>
      </c>
    </row>
    <row r="8875">
      <c r="A8875" s="2">
        <f>IFERROR(__xludf.DUMMYFUNCTION("""COMPUTED_VALUE"""),44230.66666666667)</f>
        <v>44230.66667</v>
      </c>
      <c r="B8875" s="1">
        <f>IFERROR(__xludf.DUMMYFUNCTION("""COMPUTED_VALUE"""),3840.27)</f>
        <v>3840.27</v>
      </c>
      <c r="C8875" s="1">
        <f>IFERROR(__xludf.DUMMYFUNCTION("""COMPUTED_VALUE"""),3847.51)</f>
        <v>3847.51</v>
      </c>
      <c r="D8875" s="1">
        <f>IFERROR(__xludf.DUMMYFUNCTION("""COMPUTED_VALUE"""),3816.68)</f>
        <v>3816.68</v>
      </c>
      <c r="E8875" s="1">
        <f>IFERROR(__xludf.DUMMYFUNCTION("""COMPUTED_VALUE"""),3830.17)</f>
        <v>3830.17</v>
      </c>
      <c r="F8875" s="1">
        <f>IFERROR(__xludf.DUMMYFUNCTION("""COMPUTED_VALUE"""),0.0)</f>
        <v>0</v>
      </c>
    </row>
    <row r="8876">
      <c r="A8876" s="2">
        <f>IFERROR(__xludf.DUMMYFUNCTION("""COMPUTED_VALUE"""),44231.66666666667)</f>
        <v>44231.66667</v>
      </c>
      <c r="B8876" s="1">
        <f>IFERROR(__xludf.DUMMYFUNCTION("""COMPUTED_VALUE"""),3836.66)</f>
        <v>3836.66</v>
      </c>
      <c r="C8876" s="1">
        <f>IFERROR(__xludf.DUMMYFUNCTION("""COMPUTED_VALUE"""),3872.42)</f>
        <v>3872.42</v>
      </c>
      <c r="D8876" s="1">
        <f>IFERROR(__xludf.DUMMYFUNCTION("""COMPUTED_VALUE"""),3836.66)</f>
        <v>3836.66</v>
      </c>
      <c r="E8876" s="1">
        <f>IFERROR(__xludf.DUMMYFUNCTION("""COMPUTED_VALUE"""),3871.74)</f>
        <v>3871.74</v>
      </c>
      <c r="F8876" s="1">
        <f>IFERROR(__xludf.DUMMYFUNCTION("""COMPUTED_VALUE"""),0.0)</f>
        <v>0</v>
      </c>
    </row>
    <row r="8877">
      <c r="A8877" s="2">
        <f>IFERROR(__xludf.DUMMYFUNCTION("""COMPUTED_VALUE"""),44232.66666666667)</f>
        <v>44232.66667</v>
      </c>
      <c r="B8877" s="1">
        <f>IFERROR(__xludf.DUMMYFUNCTION("""COMPUTED_VALUE"""),3878.3)</f>
        <v>3878.3</v>
      </c>
      <c r="C8877" s="1">
        <f>IFERROR(__xludf.DUMMYFUNCTION("""COMPUTED_VALUE"""),3894.56)</f>
        <v>3894.56</v>
      </c>
      <c r="D8877" s="1">
        <f>IFERROR(__xludf.DUMMYFUNCTION("""COMPUTED_VALUE"""),3874.93)</f>
        <v>3874.93</v>
      </c>
      <c r="E8877" s="1">
        <f>IFERROR(__xludf.DUMMYFUNCTION("""COMPUTED_VALUE"""),3886.83)</f>
        <v>3886.83</v>
      </c>
      <c r="F8877" s="1">
        <f>IFERROR(__xludf.DUMMYFUNCTION("""COMPUTED_VALUE"""),0.0)</f>
        <v>0</v>
      </c>
    </row>
    <row r="8878">
      <c r="A8878" s="2">
        <f>IFERROR(__xludf.DUMMYFUNCTION("""COMPUTED_VALUE"""),44235.66666666667)</f>
        <v>44235.66667</v>
      </c>
      <c r="B8878" s="1">
        <f>IFERROR(__xludf.DUMMYFUNCTION("""COMPUTED_VALUE"""),3892.59)</f>
        <v>3892.59</v>
      </c>
      <c r="C8878" s="1">
        <f>IFERROR(__xludf.DUMMYFUNCTION("""COMPUTED_VALUE"""),3915.77)</f>
        <v>3915.77</v>
      </c>
      <c r="D8878" s="1">
        <f>IFERROR(__xludf.DUMMYFUNCTION("""COMPUTED_VALUE"""),3892.59)</f>
        <v>3892.59</v>
      </c>
      <c r="E8878" s="1">
        <f>IFERROR(__xludf.DUMMYFUNCTION("""COMPUTED_VALUE"""),3915.59)</f>
        <v>3915.59</v>
      </c>
      <c r="F8878" s="1">
        <f>IFERROR(__xludf.DUMMYFUNCTION("""COMPUTED_VALUE"""),0.0)</f>
        <v>0</v>
      </c>
    </row>
    <row r="8879">
      <c r="A8879" s="2">
        <f>IFERROR(__xludf.DUMMYFUNCTION("""COMPUTED_VALUE"""),44236.66666666667)</f>
        <v>44236.66667</v>
      </c>
      <c r="B8879" s="1">
        <f>IFERROR(__xludf.DUMMYFUNCTION("""COMPUTED_VALUE"""),3910.49)</f>
        <v>3910.49</v>
      </c>
      <c r="C8879" s="1">
        <f>IFERROR(__xludf.DUMMYFUNCTION("""COMPUTED_VALUE"""),3918.35)</f>
        <v>3918.35</v>
      </c>
      <c r="D8879" s="1">
        <f>IFERROR(__xludf.DUMMYFUNCTION("""COMPUTED_VALUE"""),3902.64)</f>
        <v>3902.64</v>
      </c>
      <c r="E8879" s="1">
        <f>IFERROR(__xludf.DUMMYFUNCTION("""COMPUTED_VALUE"""),3911.23)</f>
        <v>3911.23</v>
      </c>
      <c r="F8879" s="1">
        <f>IFERROR(__xludf.DUMMYFUNCTION("""COMPUTED_VALUE"""),0.0)</f>
        <v>0</v>
      </c>
    </row>
    <row r="8880">
      <c r="A8880" s="2">
        <f>IFERROR(__xludf.DUMMYFUNCTION("""COMPUTED_VALUE"""),44237.66666666667)</f>
        <v>44237.66667</v>
      </c>
      <c r="B8880" s="1">
        <f>IFERROR(__xludf.DUMMYFUNCTION("""COMPUTED_VALUE"""),3920.78)</f>
        <v>3920.78</v>
      </c>
      <c r="C8880" s="1">
        <f>IFERROR(__xludf.DUMMYFUNCTION("""COMPUTED_VALUE"""),3931.5)</f>
        <v>3931.5</v>
      </c>
      <c r="D8880" s="1">
        <f>IFERROR(__xludf.DUMMYFUNCTION("""COMPUTED_VALUE"""),3884.94)</f>
        <v>3884.94</v>
      </c>
      <c r="E8880" s="1">
        <f>IFERROR(__xludf.DUMMYFUNCTION("""COMPUTED_VALUE"""),3909.88)</f>
        <v>3909.88</v>
      </c>
      <c r="F8880" s="1">
        <f>IFERROR(__xludf.DUMMYFUNCTION("""COMPUTED_VALUE"""),0.0)</f>
        <v>0</v>
      </c>
    </row>
    <row r="8881">
      <c r="A8881" s="2">
        <f>IFERROR(__xludf.DUMMYFUNCTION("""COMPUTED_VALUE"""),44238.66666666667)</f>
        <v>44238.66667</v>
      </c>
      <c r="B8881" s="1">
        <f>IFERROR(__xludf.DUMMYFUNCTION("""COMPUTED_VALUE"""),3916.4)</f>
        <v>3916.4</v>
      </c>
      <c r="C8881" s="1">
        <f>IFERROR(__xludf.DUMMYFUNCTION("""COMPUTED_VALUE"""),3925.99)</f>
        <v>3925.99</v>
      </c>
      <c r="D8881" s="1">
        <f>IFERROR(__xludf.DUMMYFUNCTION("""COMPUTED_VALUE"""),3890.39)</f>
        <v>3890.39</v>
      </c>
      <c r="E8881" s="1">
        <f>IFERROR(__xludf.DUMMYFUNCTION("""COMPUTED_VALUE"""),3916.38)</f>
        <v>3916.38</v>
      </c>
      <c r="F8881" s="1">
        <f>IFERROR(__xludf.DUMMYFUNCTION("""COMPUTED_VALUE"""),0.0)</f>
        <v>0</v>
      </c>
    </row>
    <row r="8882">
      <c r="A8882" s="2">
        <f>IFERROR(__xludf.DUMMYFUNCTION("""COMPUTED_VALUE"""),44239.66666666667)</f>
        <v>44239.66667</v>
      </c>
      <c r="B8882" s="1">
        <f>IFERROR(__xludf.DUMMYFUNCTION("""COMPUTED_VALUE"""),3911.65)</f>
        <v>3911.65</v>
      </c>
      <c r="C8882" s="1">
        <f>IFERROR(__xludf.DUMMYFUNCTION("""COMPUTED_VALUE"""),3937.23)</f>
        <v>3937.23</v>
      </c>
      <c r="D8882" s="1">
        <f>IFERROR(__xludf.DUMMYFUNCTION("""COMPUTED_VALUE"""),3905.78)</f>
        <v>3905.78</v>
      </c>
      <c r="E8882" s="1">
        <f>IFERROR(__xludf.DUMMYFUNCTION("""COMPUTED_VALUE"""),3934.83)</f>
        <v>3934.83</v>
      </c>
      <c r="F8882" s="1">
        <f>IFERROR(__xludf.DUMMYFUNCTION("""COMPUTED_VALUE"""),0.0)</f>
        <v>0</v>
      </c>
    </row>
    <row r="8883">
      <c r="A8883" s="2">
        <f>IFERROR(__xludf.DUMMYFUNCTION("""COMPUTED_VALUE"""),44243.66666666667)</f>
        <v>44243.66667</v>
      </c>
      <c r="B8883" s="1">
        <f>IFERROR(__xludf.DUMMYFUNCTION("""COMPUTED_VALUE"""),3939.61)</f>
        <v>3939.61</v>
      </c>
      <c r="C8883" s="1">
        <f>IFERROR(__xludf.DUMMYFUNCTION("""COMPUTED_VALUE"""),3950.43)</f>
        <v>3950.43</v>
      </c>
      <c r="D8883" s="1">
        <f>IFERROR(__xludf.DUMMYFUNCTION("""COMPUTED_VALUE"""),3923.85)</f>
        <v>3923.85</v>
      </c>
      <c r="E8883" s="1">
        <f>IFERROR(__xludf.DUMMYFUNCTION("""COMPUTED_VALUE"""),3932.59)</f>
        <v>3932.59</v>
      </c>
      <c r="F8883" s="1">
        <f>IFERROR(__xludf.DUMMYFUNCTION("""COMPUTED_VALUE"""),0.0)</f>
        <v>0</v>
      </c>
    </row>
    <row r="8884">
      <c r="A8884" s="2">
        <f>IFERROR(__xludf.DUMMYFUNCTION("""COMPUTED_VALUE"""),44244.66666666667)</f>
        <v>44244.66667</v>
      </c>
      <c r="B8884" s="1">
        <f>IFERROR(__xludf.DUMMYFUNCTION("""COMPUTED_VALUE"""),3918.5)</f>
        <v>3918.5</v>
      </c>
      <c r="C8884" s="1">
        <f>IFERROR(__xludf.DUMMYFUNCTION("""COMPUTED_VALUE"""),3933.61)</f>
        <v>3933.61</v>
      </c>
      <c r="D8884" s="1">
        <f>IFERROR(__xludf.DUMMYFUNCTION("""COMPUTED_VALUE"""),3900.43)</f>
        <v>3900.43</v>
      </c>
      <c r="E8884" s="1">
        <f>IFERROR(__xludf.DUMMYFUNCTION("""COMPUTED_VALUE"""),3931.33)</f>
        <v>3931.33</v>
      </c>
      <c r="F8884" s="1">
        <f>IFERROR(__xludf.DUMMYFUNCTION("""COMPUTED_VALUE"""),0.0)</f>
        <v>0</v>
      </c>
    </row>
    <row r="8885">
      <c r="A8885" s="2">
        <f>IFERROR(__xludf.DUMMYFUNCTION("""COMPUTED_VALUE"""),44245.66666666667)</f>
        <v>44245.66667</v>
      </c>
      <c r="B8885" s="1">
        <f>IFERROR(__xludf.DUMMYFUNCTION("""COMPUTED_VALUE"""),3915.86)</f>
        <v>3915.86</v>
      </c>
      <c r="C8885" s="1">
        <f>IFERROR(__xludf.DUMMYFUNCTION("""COMPUTED_VALUE"""),3921.98)</f>
        <v>3921.98</v>
      </c>
      <c r="D8885" s="1">
        <f>IFERROR(__xludf.DUMMYFUNCTION("""COMPUTED_VALUE"""),3885.03)</f>
        <v>3885.03</v>
      </c>
      <c r="E8885" s="1">
        <f>IFERROR(__xludf.DUMMYFUNCTION("""COMPUTED_VALUE"""),3913.97)</f>
        <v>3913.97</v>
      </c>
      <c r="F8885" s="1">
        <f>IFERROR(__xludf.DUMMYFUNCTION("""COMPUTED_VALUE"""),0.0)</f>
        <v>0</v>
      </c>
    </row>
    <row r="8886">
      <c r="A8886" s="2">
        <f>IFERROR(__xludf.DUMMYFUNCTION("""COMPUTED_VALUE"""),44246.66666666667)</f>
        <v>44246.66667</v>
      </c>
      <c r="B8886" s="1">
        <f>IFERROR(__xludf.DUMMYFUNCTION("""COMPUTED_VALUE"""),3921.16)</f>
        <v>3921.16</v>
      </c>
      <c r="C8886" s="1">
        <f>IFERROR(__xludf.DUMMYFUNCTION("""COMPUTED_VALUE"""),3930.41)</f>
        <v>3930.41</v>
      </c>
      <c r="D8886" s="1">
        <f>IFERROR(__xludf.DUMMYFUNCTION("""COMPUTED_VALUE"""),3903.07)</f>
        <v>3903.07</v>
      </c>
      <c r="E8886" s="1">
        <f>IFERROR(__xludf.DUMMYFUNCTION("""COMPUTED_VALUE"""),3906.71)</f>
        <v>3906.71</v>
      </c>
      <c r="F8886" s="1">
        <f>IFERROR(__xludf.DUMMYFUNCTION("""COMPUTED_VALUE"""),0.0)</f>
        <v>0</v>
      </c>
    </row>
    <row r="8887">
      <c r="A8887" s="2">
        <f>IFERROR(__xludf.DUMMYFUNCTION("""COMPUTED_VALUE"""),44249.66666666667)</f>
        <v>44249.66667</v>
      </c>
      <c r="B8887" s="1">
        <f>IFERROR(__xludf.DUMMYFUNCTION("""COMPUTED_VALUE"""),3885.55)</f>
        <v>3885.55</v>
      </c>
      <c r="C8887" s="1">
        <f>IFERROR(__xludf.DUMMYFUNCTION("""COMPUTED_VALUE"""),3902.92)</f>
        <v>3902.92</v>
      </c>
      <c r="D8887" s="1">
        <f>IFERROR(__xludf.DUMMYFUNCTION("""COMPUTED_VALUE"""),3874.71)</f>
        <v>3874.71</v>
      </c>
      <c r="E8887" s="1">
        <f>IFERROR(__xludf.DUMMYFUNCTION("""COMPUTED_VALUE"""),3876.5)</f>
        <v>3876.5</v>
      </c>
      <c r="F8887" s="1">
        <f>IFERROR(__xludf.DUMMYFUNCTION("""COMPUTED_VALUE"""),0.0)</f>
        <v>0</v>
      </c>
    </row>
    <row r="8888">
      <c r="A8888" s="2">
        <f>IFERROR(__xludf.DUMMYFUNCTION("""COMPUTED_VALUE"""),44250.66666666667)</f>
        <v>44250.66667</v>
      </c>
      <c r="B8888" s="1">
        <f>IFERROR(__xludf.DUMMYFUNCTION("""COMPUTED_VALUE"""),3857.07)</f>
        <v>3857.07</v>
      </c>
      <c r="C8888" s="1">
        <f>IFERROR(__xludf.DUMMYFUNCTION("""COMPUTED_VALUE"""),3895.98)</f>
        <v>3895.98</v>
      </c>
      <c r="D8888" s="1">
        <f>IFERROR(__xludf.DUMMYFUNCTION("""COMPUTED_VALUE"""),3805.59)</f>
        <v>3805.59</v>
      </c>
      <c r="E8888" s="1">
        <f>IFERROR(__xludf.DUMMYFUNCTION("""COMPUTED_VALUE"""),3881.37)</f>
        <v>3881.37</v>
      </c>
      <c r="F8888" s="1">
        <f>IFERROR(__xludf.DUMMYFUNCTION("""COMPUTED_VALUE"""),0.0)</f>
        <v>0</v>
      </c>
    </row>
    <row r="8889">
      <c r="A8889" s="2">
        <f>IFERROR(__xludf.DUMMYFUNCTION("""COMPUTED_VALUE"""),44251.66666666667)</f>
        <v>44251.66667</v>
      </c>
      <c r="B8889" s="1">
        <f>IFERROR(__xludf.DUMMYFUNCTION("""COMPUTED_VALUE"""),3873.71)</f>
        <v>3873.71</v>
      </c>
      <c r="C8889" s="1">
        <f>IFERROR(__xludf.DUMMYFUNCTION("""COMPUTED_VALUE"""),3928.65)</f>
        <v>3928.65</v>
      </c>
      <c r="D8889" s="1">
        <f>IFERROR(__xludf.DUMMYFUNCTION("""COMPUTED_VALUE"""),3859.6)</f>
        <v>3859.6</v>
      </c>
      <c r="E8889" s="1">
        <f>IFERROR(__xludf.DUMMYFUNCTION("""COMPUTED_VALUE"""),3925.43)</f>
        <v>3925.43</v>
      </c>
      <c r="F8889" s="1">
        <f>IFERROR(__xludf.DUMMYFUNCTION("""COMPUTED_VALUE"""),0.0)</f>
        <v>0</v>
      </c>
    </row>
    <row r="8890">
      <c r="A8890" s="2">
        <f>IFERROR(__xludf.DUMMYFUNCTION("""COMPUTED_VALUE"""),44252.66666666667)</f>
        <v>44252.66667</v>
      </c>
      <c r="B8890" s="1">
        <f>IFERROR(__xludf.DUMMYFUNCTION("""COMPUTED_VALUE"""),3915.8)</f>
        <v>3915.8</v>
      </c>
      <c r="C8890" s="1">
        <f>IFERROR(__xludf.DUMMYFUNCTION("""COMPUTED_VALUE"""),3925.02)</f>
        <v>3925.02</v>
      </c>
      <c r="D8890" s="1">
        <f>IFERROR(__xludf.DUMMYFUNCTION("""COMPUTED_VALUE"""),3814.04)</f>
        <v>3814.04</v>
      </c>
      <c r="E8890" s="1">
        <f>IFERROR(__xludf.DUMMYFUNCTION("""COMPUTED_VALUE"""),3829.34)</f>
        <v>3829.34</v>
      </c>
      <c r="F8890" s="1">
        <f>IFERROR(__xludf.DUMMYFUNCTION("""COMPUTED_VALUE"""),0.0)</f>
        <v>0</v>
      </c>
    </row>
    <row r="8891">
      <c r="A8891" s="2">
        <f>IFERROR(__xludf.DUMMYFUNCTION("""COMPUTED_VALUE"""),44253.66666666667)</f>
        <v>44253.66667</v>
      </c>
      <c r="B8891" s="1">
        <f>IFERROR(__xludf.DUMMYFUNCTION("""COMPUTED_VALUE"""),3839.66)</f>
        <v>3839.66</v>
      </c>
      <c r="C8891" s="1">
        <f>IFERROR(__xludf.DUMMYFUNCTION("""COMPUTED_VALUE"""),3861.08)</f>
        <v>3861.08</v>
      </c>
      <c r="D8891" s="1">
        <f>IFERROR(__xludf.DUMMYFUNCTION("""COMPUTED_VALUE"""),3789.75)</f>
        <v>3789.75</v>
      </c>
      <c r="E8891" s="1">
        <f>IFERROR(__xludf.DUMMYFUNCTION("""COMPUTED_VALUE"""),3811.15)</f>
        <v>3811.15</v>
      </c>
      <c r="F8891" s="1">
        <f>IFERROR(__xludf.DUMMYFUNCTION("""COMPUTED_VALUE"""),0.0)</f>
        <v>0</v>
      </c>
    </row>
    <row r="8892">
      <c r="A8892" s="2">
        <f>IFERROR(__xludf.DUMMYFUNCTION("""COMPUTED_VALUE"""),44256.66666666667)</f>
        <v>44256.66667</v>
      </c>
      <c r="B8892" s="1">
        <f>IFERROR(__xludf.DUMMYFUNCTION("""COMPUTED_VALUE"""),3842.51)</f>
        <v>3842.51</v>
      </c>
      <c r="C8892" s="1">
        <f>IFERROR(__xludf.DUMMYFUNCTION("""COMPUTED_VALUE"""),3914.5)</f>
        <v>3914.5</v>
      </c>
      <c r="D8892" s="1">
        <f>IFERROR(__xludf.DUMMYFUNCTION("""COMPUTED_VALUE"""),3842.51)</f>
        <v>3842.51</v>
      </c>
      <c r="E8892" s="1">
        <f>IFERROR(__xludf.DUMMYFUNCTION("""COMPUTED_VALUE"""),3901.82)</f>
        <v>3901.82</v>
      </c>
      <c r="F8892" s="1">
        <f>IFERROR(__xludf.DUMMYFUNCTION("""COMPUTED_VALUE"""),0.0)</f>
        <v>0</v>
      </c>
    </row>
    <row r="8893">
      <c r="A8893" s="2">
        <f>IFERROR(__xludf.DUMMYFUNCTION("""COMPUTED_VALUE"""),44257.66666666667)</f>
        <v>44257.66667</v>
      </c>
      <c r="B8893" s="1">
        <f>IFERROR(__xludf.DUMMYFUNCTION("""COMPUTED_VALUE"""),3903.64)</f>
        <v>3903.64</v>
      </c>
      <c r="C8893" s="1">
        <f>IFERROR(__xludf.DUMMYFUNCTION("""COMPUTED_VALUE"""),3906.41)</f>
        <v>3906.41</v>
      </c>
      <c r="D8893" s="1">
        <f>IFERROR(__xludf.DUMMYFUNCTION("""COMPUTED_VALUE"""),3868.57)</f>
        <v>3868.57</v>
      </c>
      <c r="E8893" s="1">
        <f>IFERROR(__xludf.DUMMYFUNCTION("""COMPUTED_VALUE"""),3870.29)</f>
        <v>3870.29</v>
      </c>
      <c r="F8893" s="1">
        <f>IFERROR(__xludf.DUMMYFUNCTION("""COMPUTED_VALUE"""),0.0)</f>
        <v>0</v>
      </c>
    </row>
    <row r="8894">
      <c r="A8894" s="2">
        <f>IFERROR(__xludf.DUMMYFUNCTION("""COMPUTED_VALUE"""),44258.66666666667)</f>
        <v>44258.66667</v>
      </c>
      <c r="B8894" s="1">
        <f>IFERROR(__xludf.DUMMYFUNCTION("""COMPUTED_VALUE"""),3863.99)</f>
        <v>3863.99</v>
      </c>
      <c r="C8894" s="1">
        <f>IFERROR(__xludf.DUMMYFUNCTION("""COMPUTED_VALUE"""),3874.47)</f>
        <v>3874.47</v>
      </c>
      <c r="D8894" s="1">
        <f>IFERROR(__xludf.DUMMYFUNCTION("""COMPUTED_VALUE"""),3818.86)</f>
        <v>3818.86</v>
      </c>
      <c r="E8894" s="1">
        <f>IFERROR(__xludf.DUMMYFUNCTION("""COMPUTED_VALUE"""),3819.72)</f>
        <v>3819.72</v>
      </c>
      <c r="F8894" s="1">
        <f>IFERROR(__xludf.DUMMYFUNCTION("""COMPUTED_VALUE"""),0.0)</f>
        <v>0</v>
      </c>
    </row>
    <row r="8895">
      <c r="A8895" s="2">
        <f>IFERROR(__xludf.DUMMYFUNCTION("""COMPUTED_VALUE"""),44259.66666666667)</f>
        <v>44259.66667</v>
      </c>
      <c r="B8895" s="1">
        <f>IFERROR(__xludf.DUMMYFUNCTION("""COMPUTED_VALUE"""),3818.53)</f>
        <v>3818.53</v>
      </c>
      <c r="C8895" s="1">
        <f>IFERROR(__xludf.DUMMYFUNCTION("""COMPUTED_VALUE"""),3843.67)</f>
        <v>3843.67</v>
      </c>
      <c r="D8895" s="1">
        <f>IFERROR(__xludf.DUMMYFUNCTION("""COMPUTED_VALUE"""),3723.34)</f>
        <v>3723.34</v>
      </c>
      <c r="E8895" s="1">
        <f>IFERROR(__xludf.DUMMYFUNCTION("""COMPUTED_VALUE"""),3768.47)</f>
        <v>3768.47</v>
      </c>
      <c r="F8895" s="1">
        <f>IFERROR(__xludf.DUMMYFUNCTION("""COMPUTED_VALUE"""),0.0)</f>
        <v>0</v>
      </c>
    </row>
    <row r="8896">
      <c r="A8896" s="2">
        <f>IFERROR(__xludf.DUMMYFUNCTION("""COMPUTED_VALUE"""),44260.66666666667)</f>
        <v>44260.66667</v>
      </c>
      <c r="B8896" s="1">
        <f>IFERROR(__xludf.DUMMYFUNCTION("""COMPUTED_VALUE"""),3793.58)</f>
        <v>3793.58</v>
      </c>
      <c r="C8896" s="1">
        <f>IFERROR(__xludf.DUMMYFUNCTION("""COMPUTED_VALUE"""),3851.69)</f>
        <v>3851.69</v>
      </c>
      <c r="D8896" s="1">
        <f>IFERROR(__xludf.DUMMYFUNCTION("""COMPUTED_VALUE"""),3730.19)</f>
        <v>3730.19</v>
      </c>
      <c r="E8896" s="1">
        <f>IFERROR(__xludf.DUMMYFUNCTION("""COMPUTED_VALUE"""),3841.94)</f>
        <v>3841.94</v>
      </c>
      <c r="F8896" s="1">
        <f>IFERROR(__xludf.DUMMYFUNCTION("""COMPUTED_VALUE"""),0.0)</f>
        <v>0</v>
      </c>
    </row>
    <row r="8897">
      <c r="A8897" s="2">
        <f>IFERROR(__xludf.DUMMYFUNCTION("""COMPUTED_VALUE"""),44263.66666666667)</f>
        <v>44263.66667</v>
      </c>
      <c r="B8897" s="1">
        <f>IFERROR(__xludf.DUMMYFUNCTION("""COMPUTED_VALUE"""),3844.39)</f>
        <v>3844.39</v>
      </c>
      <c r="C8897" s="1">
        <f>IFERROR(__xludf.DUMMYFUNCTION("""COMPUTED_VALUE"""),3881.06)</f>
        <v>3881.06</v>
      </c>
      <c r="D8897" s="1">
        <f>IFERROR(__xludf.DUMMYFUNCTION("""COMPUTED_VALUE"""),3819.25)</f>
        <v>3819.25</v>
      </c>
      <c r="E8897" s="1">
        <f>IFERROR(__xludf.DUMMYFUNCTION("""COMPUTED_VALUE"""),3821.35)</f>
        <v>3821.35</v>
      </c>
      <c r="F8897" s="1">
        <f>IFERROR(__xludf.DUMMYFUNCTION("""COMPUTED_VALUE"""),0.0)</f>
        <v>0</v>
      </c>
    </row>
    <row r="8898">
      <c r="A8898" s="2">
        <f>IFERROR(__xludf.DUMMYFUNCTION("""COMPUTED_VALUE"""),44264.66666666667)</f>
        <v>44264.66667</v>
      </c>
      <c r="B8898" s="1">
        <f>IFERROR(__xludf.DUMMYFUNCTION("""COMPUTED_VALUE"""),3851.93)</f>
        <v>3851.93</v>
      </c>
      <c r="C8898" s="1">
        <f>IFERROR(__xludf.DUMMYFUNCTION("""COMPUTED_VALUE"""),3903.76)</f>
        <v>3903.76</v>
      </c>
      <c r="D8898" s="1">
        <f>IFERROR(__xludf.DUMMYFUNCTION("""COMPUTED_VALUE"""),3851.93)</f>
        <v>3851.93</v>
      </c>
      <c r="E8898" s="1">
        <f>IFERROR(__xludf.DUMMYFUNCTION("""COMPUTED_VALUE"""),3875.44)</f>
        <v>3875.44</v>
      </c>
      <c r="F8898" s="1">
        <f>IFERROR(__xludf.DUMMYFUNCTION("""COMPUTED_VALUE"""),0.0)</f>
        <v>0</v>
      </c>
    </row>
    <row r="8899">
      <c r="A8899" s="2">
        <f>IFERROR(__xludf.DUMMYFUNCTION("""COMPUTED_VALUE"""),44265.66666666667)</f>
        <v>44265.66667</v>
      </c>
      <c r="B8899" s="1">
        <f>IFERROR(__xludf.DUMMYFUNCTION("""COMPUTED_VALUE"""),3891.99)</f>
        <v>3891.99</v>
      </c>
      <c r="C8899" s="1">
        <f>IFERROR(__xludf.DUMMYFUNCTION("""COMPUTED_VALUE"""),3917.35)</f>
        <v>3917.35</v>
      </c>
      <c r="D8899" s="1">
        <f>IFERROR(__xludf.DUMMYFUNCTION("""COMPUTED_VALUE"""),3885.73)</f>
        <v>3885.73</v>
      </c>
      <c r="E8899" s="1">
        <f>IFERROR(__xludf.DUMMYFUNCTION("""COMPUTED_VALUE"""),3898.81)</f>
        <v>3898.81</v>
      </c>
      <c r="F8899" s="1">
        <f>IFERROR(__xludf.DUMMYFUNCTION("""COMPUTED_VALUE"""),0.0)</f>
        <v>0</v>
      </c>
    </row>
    <row r="8900">
      <c r="A8900" s="2">
        <f>IFERROR(__xludf.DUMMYFUNCTION("""COMPUTED_VALUE"""),44266.66666666667)</f>
        <v>44266.66667</v>
      </c>
      <c r="B8900" s="1">
        <f>IFERROR(__xludf.DUMMYFUNCTION("""COMPUTED_VALUE"""),3915.54)</f>
        <v>3915.54</v>
      </c>
      <c r="C8900" s="1">
        <f>IFERROR(__xludf.DUMMYFUNCTION("""COMPUTED_VALUE"""),3960.27)</f>
        <v>3960.27</v>
      </c>
      <c r="D8900" s="1">
        <f>IFERROR(__xludf.DUMMYFUNCTION("""COMPUTED_VALUE"""),3915.54)</f>
        <v>3915.54</v>
      </c>
      <c r="E8900" s="1">
        <f>IFERROR(__xludf.DUMMYFUNCTION("""COMPUTED_VALUE"""),3939.34)</f>
        <v>3939.34</v>
      </c>
      <c r="F8900" s="1">
        <f>IFERROR(__xludf.DUMMYFUNCTION("""COMPUTED_VALUE"""),0.0)</f>
        <v>0</v>
      </c>
    </row>
    <row r="8901">
      <c r="A8901" s="2">
        <f>IFERROR(__xludf.DUMMYFUNCTION("""COMPUTED_VALUE"""),44267.66666666667)</f>
        <v>44267.66667</v>
      </c>
      <c r="B8901" s="1">
        <f>IFERROR(__xludf.DUMMYFUNCTION("""COMPUTED_VALUE"""),3924.52)</f>
        <v>3924.52</v>
      </c>
      <c r="C8901" s="1">
        <f>IFERROR(__xludf.DUMMYFUNCTION("""COMPUTED_VALUE"""),3944.99)</f>
        <v>3944.99</v>
      </c>
      <c r="D8901" s="1">
        <f>IFERROR(__xludf.DUMMYFUNCTION("""COMPUTED_VALUE"""),3915.21)</f>
        <v>3915.21</v>
      </c>
      <c r="E8901" s="1">
        <f>IFERROR(__xludf.DUMMYFUNCTION("""COMPUTED_VALUE"""),3943.34)</f>
        <v>3943.34</v>
      </c>
      <c r="F8901" s="1">
        <f>IFERROR(__xludf.DUMMYFUNCTION("""COMPUTED_VALUE"""),0.0)</f>
        <v>0</v>
      </c>
    </row>
    <row r="8902">
      <c r="A8902" s="2">
        <f>IFERROR(__xludf.DUMMYFUNCTION("""COMPUTED_VALUE"""),44270.66666666667)</f>
        <v>44270.66667</v>
      </c>
      <c r="B8902" s="1">
        <f>IFERROR(__xludf.DUMMYFUNCTION("""COMPUTED_VALUE"""),3942.96)</f>
        <v>3942.96</v>
      </c>
      <c r="C8902" s="1">
        <f>IFERROR(__xludf.DUMMYFUNCTION("""COMPUTED_VALUE"""),3970.08)</f>
        <v>3970.08</v>
      </c>
      <c r="D8902" s="1">
        <f>IFERROR(__xludf.DUMMYFUNCTION("""COMPUTED_VALUE"""),3923.54)</f>
        <v>3923.54</v>
      </c>
      <c r="E8902" s="1">
        <f>IFERROR(__xludf.DUMMYFUNCTION("""COMPUTED_VALUE"""),3968.94)</f>
        <v>3968.94</v>
      </c>
      <c r="F8902" s="1">
        <f>IFERROR(__xludf.DUMMYFUNCTION("""COMPUTED_VALUE"""),0.0)</f>
        <v>0</v>
      </c>
    </row>
    <row r="8903">
      <c r="A8903" s="2">
        <f>IFERROR(__xludf.DUMMYFUNCTION("""COMPUTED_VALUE"""),44271.66666666667)</f>
        <v>44271.66667</v>
      </c>
      <c r="B8903" s="1">
        <f>IFERROR(__xludf.DUMMYFUNCTION("""COMPUTED_VALUE"""),3973.59)</f>
        <v>3973.59</v>
      </c>
      <c r="C8903" s="1">
        <f>IFERROR(__xludf.DUMMYFUNCTION("""COMPUTED_VALUE"""),3981.04)</f>
        <v>3981.04</v>
      </c>
      <c r="D8903" s="1">
        <f>IFERROR(__xludf.DUMMYFUNCTION("""COMPUTED_VALUE"""),3953.44)</f>
        <v>3953.44</v>
      </c>
      <c r="E8903" s="1">
        <f>IFERROR(__xludf.DUMMYFUNCTION("""COMPUTED_VALUE"""),3962.71)</f>
        <v>3962.71</v>
      </c>
      <c r="F8903" s="1">
        <f>IFERROR(__xludf.DUMMYFUNCTION("""COMPUTED_VALUE"""),0.0)</f>
        <v>0</v>
      </c>
    </row>
    <row r="8904">
      <c r="A8904" s="2">
        <f>IFERROR(__xludf.DUMMYFUNCTION("""COMPUTED_VALUE"""),44272.66666666667)</f>
        <v>44272.66667</v>
      </c>
      <c r="B8904" s="1">
        <f>IFERROR(__xludf.DUMMYFUNCTION("""COMPUTED_VALUE"""),3949.57)</f>
        <v>3949.57</v>
      </c>
      <c r="C8904" s="1">
        <f>IFERROR(__xludf.DUMMYFUNCTION("""COMPUTED_VALUE"""),3983.87)</f>
        <v>3983.87</v>
      </c>
      <c r="D8904" s="1">
        <f>IFERROR(__xludf.DUMMYFUNCTION("""COMPUTED_VALUE"""),3935.74)</f>
        <v>3935.74</v>
      </c>
      <c r="E8904" s="1">
        <f>IFERROR(__xludf.DUMMYFUNCTION("""COMPUTED_VALUE"""),3974.12)</f>
        <v>3974.12</v>
      </c>
      <c r="F8904" s="1">
        <f>IFERROR(__xludf.DUMMYFUNCTION("""COMPUTED_VALUE"""),0.0)</f>
        <v>0</v>
      </c>
    </row>
    <row r="8905">
      <c r="A8905" s="2">
        <f>IFERROR(__xludf.DUMMYFUNCTION("""COMPUTED_VALUE"""),44273.66666666667)</f>
        <v>44273.66667</v>
      </c>
      <c r="B8905" s="1">
        <f>IFERROR(__xludf.DUMMYFUNCTION("""COMPUTED_VALUE"""),3953.5)</f>
        <v>3953.5</v>
      </c>
      <c r="C8905" s="1">
        <f>IFERROR(__xludf.DUMMYFUNCTION("""COMPUTED_VALUE"""),3969.62)</f>
        <v>3969.62</v>
      </c>
      <c r="D8905" s="1">
        <f>IFERROR(__xludf.DUMMYFUNCTION("""COMPUTED_VALUE"""),3910.86)</f>
        <v>3910.86</v>
      </c>
      <c r="E8905" s="1">
        <f>IFERROR(__xludf.DUMMYFUNCTION("""COMPUTED_VALUE"""),3915.46)</f>
        <v>3915.46</v>
      </c>
      <c r="F8905" s="1">
        <f>IFERROR(__xludf.DUMMYFUNCTION("""COMPUTED_VALUE"""),0.0)</f>
        <v>0</v>
      </c>
    </row>
    <row r="8906">
      <c r="A8906" s="2">
        <f>IFERROR(__xludf.DUMMYFUNCTION("""COMPUTED_VALUE"""),44274.66666666667)</f>
        <v>44274.66667</v>
      </c>
      <c r="B8906" s="1">
        <f>IFERROR(__xludf.DUMMYFUNCTION("""COMPUTED_VALUE"""),3913.14)</f>
        <v>3913.14</v>
      </c>
      <c r="C8906" s="1">
        <f>IFERROR(__xludf.DUMMYFUNCTION("""COMPUTED_VALUE"""),3930.12)</f>
        <v>3930.12</v>
      </c>
      <c r="D8906" s="1">
        <f>IFERROR(__xludf.DUMMYFUNCTION("""COMPUTED_VALUE"""),3886.75)</f>
        <v>3886.75</v>
      </c>
      <c r="E8906" s="1">
        <f>IFERROR(__xludf.DUMMYFUNCTION("""COMPUTED_VALUE"""),3913.1)</f>
        <v>3913.1</v>
      </c>
      <c r="F8906" s="1">
        <f>IFERROR(__xludf.DUMMYFUNCTION("""COMPUTED_VALUE"""),0.0)</f>
        <v>0</v>
      </c>
    </row>
    <row r="8907">
      <c r="A8907" s="2">
        <f>IFERROR(__xludf.DUMMYFUNCTION("""COMPUTED_VALUE"""),44277.66666666667)</f>
        <v>44277.66667</v>
      </c>
      <c r="B8907" s="1">
        <f>IFERROR(__xludf.DUMMYFUNCTION("""COMPUTED_VALUE"""),3916.48)</f>
        <v>3916.48</v>
      </c>
      <c r="C8907" s="1">
        <f>IFERROR(__xludf.DUMMYFUNCTION("""COMPUTED_VALUE"""),3955.31)</f>
        <v>3955.31</v>
      </c>
      <c r="D8907" s="1">
        <f>IFERROR(__xludf.DUMMYFUNCTION("""COMPUTED_VALUE"""),3914.16)</f>
        <v>3914.16</v>
      </c>
      <c r="E8907" s="1">
        <f>IFERROR(__xludf.DUMMYFUNCTION("""COMPUTED_VALUE"""),3940.59)</f>
        <v>3940.59</v>
      </c>
      <c r="F8907" s="1">
        <f>IFERROR(__xludf.DUMMYFUNCTION("""COMPUTED_VALUE"""),0.0)</f>
        <v>0</v>
      </c>
    </row>
    <row r="8908">
      <c r="A8908" s="2">
        <f>IFERROR(__xludf.DUMMYFUNCTION("""COMPUTED_VALUE"""),44278.66666666667)</f>
        <v>44278.66667</v>
      </c>
      <c r="B8908" s="1">
        <f>IFERROR(__xludf.DUMMYFUNCTION("""COMPUTED_VALUE"""),3937.6)</f>
        <v>3937.6</v>
      </c>
      <c r="C8908" s="1">
        <f>IFERROR(__xludf.DUMMYFUNCTION("""COMPUTED_VALUE"""),3949.13)</f>
        <v>3949.13</v>
      </c>
      <c r="D8908" s="1">
        <f>IFERROR(__xludf.DUMMYFUNCTION("""COMPUTED_VALUE"""),3901.57)</f>
        <v>3901.57</v>
      </c>
      <c r="E8908" s="1">
        <f>IFERROR(__xludf.DUMMYFUNCTION("""COMPUTED_VALUE"""),3910.52)</f>
        <v>3910.52</v>
      </c>
      <c r="F8908" s="1">
        <f>IFERROR(__xludf.DUMMYFUNCTION("""COMPUTED_VALUE"""),0.0)</f>
        <v>0</v>
      </c>
    </row>
    <row r="8909">
      <c r="A8909" s="2">
        <f>IFERROR(__xludf.DUMMYFUNCTION("""COMPUTED_VALUE"""),44279.66666666667)</f>
        <v>44279.66667</v>
      </c>
      <c r="B8909" s="1">
        <f>IFERROR(__xludf.DUMMYFUNCTION("""COMPUTED_VALUE"""),3919.93)</f>
        <v>3919.93</v>
      </c>
      <c r="C8909" s="1">
        <f>IFERROR(__xludf.DUMMYFUNCTION("""COMPUTED_VALUE"""),3942.08)</f>
        <v>3942.08</v>
      </c>
      <c r="D8909" s="1">
        <f>IFERROR(__xludf.DUMMYFUNCTION("""COMPUTED_VALUE"""),3889.07)</f>
        <v>3889.07</v>
      </c>
      <c r="E8909" s="1">
        <f>IFERROR(__xludf.DUMMYFUNCTION("""COMPUTED_VALUE"""),3889.14)</f>
        <v>3889.14</v>
      </c>
      <c r="F8909" s="1">
        <f>IFERROR(__xludf.DUMMYFUNCTION("""COMPUTED_VALUE"""),0.0)</f>
        <v>0</v>
      </c>
    </row>
    <row r="8910">
      <c r="A8910" s="2">
        <f>IFERROR(__xludf.DUMMYFUNCTION("""COMPUTED_VALUE"""),44280.66666666667)</f>
        <v>44280.66667</v>
      </c>
      <c r="B8910" s="1">
        <f>IFERROR(__xludf.DUMMYFUNCTION("""COMPUTED_VALUE"""),3879.34)</f>
        <v>3879.34</v>
      </c>
      <c r="C8910" s="1">
        <f>IFERROR(__xludf.DUMMYFUNCTION("""COMPUTED_VALUE"""),3919.54)</f>
        <v>3919.54</v>
      </c>
      <c r="D8910" s="1">
        <f>IFERROR(__xludf.DUMMYFUNCTION("""COMPUTED_VALUE"""),3853.5)</f>
        <v>3853.5</v>
      </c>
      <c r="E8910" s="1">
        <f>IFERROR(__xludf.DUMMYFUNCTION("""COMPUTED_VALUE"""),3909.52)</f>
        <v>3909.52</v>
      </c>
      <c r="F8910" s="1">
        <f>IFERROR(__xludf.DUMMYFUNCTION("""COMPUTED_VALUE"""),0.0)</f>
        <v>0</v>
      </c>
    </row>
    <row r="8911">
      <c r="A8911" s="2">
        <f>IFERROR(__xludf.DUMMYFUNCTION("""COMPUTED_VALUE"""),44281.66666666667)</f>
        <v>44281.66667</v>
      </c>
      <c r="B8911" s="1">
        <f>IFERROR(__xludf.DUMMYFUNCTION("""COMPUTED_VALUE"""),3917.12)</f>
        <v>3917.12</v>
      </c>
      <c r="C8911" s="1">
        <f>IFERROR(__xludf.DUMMYFUNCTION("""COMPUTED_VALUE"""),3978.19)</f>
        <v>3978.19</v>
      </c>
      <c r="D8911" s="1">
        <f>IFERROR(__xludf.DUMMYFUNCTION("""COMPUTED_VALUE"""),3917.12)</f>
        <v>3917.12</v>
      </c>
      <c r="E8911" s="1">
        <f>IFERROR(__xludf.DUMMYFUNCTION("""COMPUTED_VALUE"""),3974.54)</f>
        <v>3974.54</v>
      </c>
      <c r="F8911" s="1">
        <f>IFERROR(__xludf.DUMMYFUNCTION("""COMPUTED_VALUE"""),0.0)</f>
        <v>0</v>
      </c>
    </row>
    <row r="8912">
      <c r="A8912" s="2">
        <f>IFERROR(__xludf.DUMMYFUNCTION("""COMPUTED_VALUE"""),44284.66666666667)</f>
        <v>44284.66667</v>
      </c>
      <c r="B8912" s="1">
        <f>IFERROR(__xludf.DUMMYFUNCTION("""COMPUTED_VALUE"""),3969.31)</f>
        <v>3969.31</v>
      </c>
      <c r="C8912" s="1">
        <f>IFERROR(__xludf.DUMMYFUNCTION("""COMPUTED_VALUE"""),3981.83)</f>
        <v>3981.83</v>
      </c>
      <c r="D8912" s="1">
        <f>IFERROR(__xludf.DUMMYFUNCTION("""COMPUTED_VALUE"""),3943.25)</f>
        <v>3943.25</v>
      </c>
      <c r="E8912" s="1">
        <f>IFERROR(__xludf.DUMMYFUNCTION("""COMPUTED_VALUE"""),3971.09)</f>
        <v>3971.09</v>
      </c>
      <c r="F8912" s="1">
        <f>IFERROR(__xludf.DUMMYFUNCTION("""COMPUTED_VALUE"""),0.0)</f>
        <v>0</v>
      </c>
    </row>
    <row r="8913">
      <c r="A8913" s="2">
        <f>IFERROR(__xludf.DUMMYFUNCTION("""COMPUTED_VALUE"""),44285.66666666667)</f>
        <v>44285.66667</v>
      </c>
      <c r="B8913" s="1">
        <f>IFERROR(__xludf.DUMMYFUNCTION("""COMPUTED_VALUE"""),3963.34)</f>
        <v>3963.34</v>
      </c>
      <c r="C8913" s="1">
        <f>IFERROR(__xludf.DUMMYFUNCTION("""COMPUTED_VALUE"""),3968.01)</f>
        <v>3968.01</v>
      </c>
      <c r="D8913" s="1">
        <f>IFERROR(__xludf.DUMMYFUNCTION("""COMPUTED_VALUE"""),3944.35)</f>
        <v>3944.35</v>
      </c>
      <c r="E8913" s="1">
        <f>IFERROR(__xludf.DUMMYFUNCTION("""COMPUTED_VALUE"""),3958.55)</f>
        <v>3958.55</v>
      </c>
      <c r="F8913" s="1">
        <f>IFERROR(__xludf.DUMMYFUNCTION("""COMPUTED_VALUE"""),0.0)</f>
        <v>0</v>
      </c>
    </row>
    <row r="8914">
      <c r="A8914" s="2">
        <f>IFERROR(__xludf.DUMMYFUNCTION("""COMPUTED_VALUE"""),44286.66666666667)</f>
        <v>44286.66667</v>
      </c>
      <c r="B8914" s="1">
        <f>IFERROR(__xludf.DUMMYFUNCTION("""COMPUTED_VALUE"""),3967.25)</f>
        <v>3967.25</v>
      </c>
      <c r="C8914" s="1">
        <f>IFERROR(__xludf.DUMMYFUNCTION("""COMPUTED_VALUE"""),3994.41)</f>
        <v>3994.41</v>
      </c>
      <c r="D8914" s="1">
        <f>IFERROR(__xludf.DUMMYFUNCTION("""COMPUTED_VALUE"""),3966.98)</f>
        <v>3966.98</v>
      </c>
      <c r="E8914" s="1">
        <f>IFERROR(__xludf.DUMMYFUNCTION("""COMPUTED_VALUE"""),3972.89)</f>
        <v>3972.89</v>
      </c>
      <c r="F8914" s="1">
        <f>IFERROR(__xludf.DUMMYFUNCTION("""COMPUTED_VALUE"""),0.0)</f>
        <v>0</v>
      </c>
    </row>
    <row r="8915">
      <c r="A8915" s="2">
        <f>IFERROR(__xludf.DUMMYFUNCTION("""COMPUTED_VALUE"""),44287.66666666667)</f>
        <v>44287.66667</v>
      </c>
      <c r="B8915" s="1">
        <f>IFERROR(__xludf.DUMMYFUNCTION("""COMPUTED_VALUE"""),3992.78)</f>
        <v>3992.78</v>
      </c>
      <c r="C8915" s="1">
        <f>IFERROR(__xludf.DUMMYFUNCTION("""COMPUTED_VALUE"""),4020.63)</f>
        <v>4020.63</v>
      </c>
      <c r="D8915" s="1">
        <f>IFERROR(__xludf.DUMMYFUNCTION("""COMPUTED_VALUE"""),3992.78)</f>
        <v>3992.78</v>
      </c>
      <c r="E8915" s="1">
        <f>IFERROR(__xludf.DUMMYFUNCTION("""COMPUTED_VALUE"""),4019.87)</f>
        <v>4019.87</v>
      </c>
      <c r="F8915" s="1">
        <f>IFERROR(__xludf.DUMMYFUNCTION("""COMPUTED_VALUE"""),0.0)</f>
        <v>0</v>
      </c>
    </row>
    <row r="8916">
      <c r="A8916" s="2">
        <f>IFERROR(__xludf.DUMMYFUNCTION("""COMPUTED_VALUE"""),44291.66666666667)</f>
        <v>44291.66667</v>
      </c>
      <c r="B8916" s="1">
        <f>IFERROR(__xludf.DUMMYFUNCTION("""COMPUTED_VALUE"""),4034.44)</f>
        <v>4034.44</v>
      </c>
      <c r="C8916" s="1">
        <f>IFERROR(__xludf.DUMMYFUNCTION("""COMPUTED_VALUE"""),4083.42)</f>
        <v>4083.42</v>
      </c>
      <c r="D8916" s="1">
        <f>IFERROR(__xludf.DUMMYFUNCTION("""COMPUTED_VALUE"""),4034.44)</f>
        <v>4034.44</v>
      </c>
      <c r="E8916" s="1">
        <f>IFERROR(__xludf.DUMMYFUNCTION("""COMPUTED_VALUE"""),4077.91)</f>
        <v>4077.91</v>
      </c>
      <c r="F8916" s="1">
        <f>IFERROR(__xludf.DUMMYFUNCTION("""COMPUTED_VALUE"""),0.0)</f>
        <v>0</v>
      </c>
    </row>
    <row r="8917">
      <c r="A8917" s="2">
        <f>IFERROR(__xludf.DUMMYFUNCTION("""COMPUTED_VALUE"""),44292.66666666667)</f>
        <v>44292.66667</v>
      </c>
      <c r="B8917" s="1">
        <f>IFERROR(__xludf.DUMMYFUNCTION("""COMPUTED_VALUE"""),4075.57)</f>
        <v>4075.57</v>
      </c>
      <c r="C8917" s="1">
        <f>IFERROR(__xludf.DUMMYFUNCTION("""COMPUTED_VALUE"""),4086.23)</f>
        <v>4086.23</v>
      </c>
      <c r="D8917" s="1">
        <f>IFERROR(__xludf.DUMMYFUNCTION("""COMPUTED_VALUE"""),4068.14)</f>
        <v>4068.14</v>
      </c>
      <c r="E8917" s="1">
        <f>IFERROR(__xludf.DUMMYFUNCTION("""COMPUTED_VALUE"""),4073.94)</f>
        <v>4073.94</v>
      </c>
      <c r="F8917" s="1">
        <f>IFERROR(__xludf.DUMMYFUNCTION("""COMPUTED_VALUE"""),0.0)</f>
        <v>0</v>
      </c>
    </row>
    <row r="8918">
      <c r="A8918" s="2">
        <f>IFERROR(__xludf.DUMMYFUNCTION("""COMPUTED_VALUE"""),44293.66666666667)</f>
        <v>44293.66667</v>
      </c>
      <c r="B8918" s="1">
        <f>IFERROR(__xludf.DUMMYFUNCTION("""COMPUTED_VALUE"""),4074.29)</f>
        <v>4074.29</v>
      </c>
      <c r="C8918" s="1">
        <f>IFERROR(__xludf.DUMMYFUNCTION("""COMPUTED_VALUE"""),4083.13)</f>
        <v>4083.13</v>
      </c>
      <c r="D8918" s="1">
        <f>IFERROR(__xludf.DUMMYFUNCTION("""COMPUTED_VALUE"""),4068.31)</f>
        <v>4068.31</v>
      </c>
      <c r="E8918" s="1">
        <f>IFERROR(__xludf.DUMMYFUNCTION("""COMPUTED_VALUE"""),4079.95)</f>
        <v>4079.95</v>
      </c>
      <c r="F8918" s="1">
        <f>IFERROR(__xludf.DUMMYFUNCTION("""COMPUTED_VALUE"""),0.0)</f>
        <v>0</v>
      </c>
    </row>
    <row r="8919">
      <c r="A8919" s="2">
        <f>IFERROR(__xludf.DUMMYFUNCTION("""COMPUTED_VALUE"""),44294.66666666667)</f>
        <v>44294.66667</v>
      </c>
      <c r="B8919" s="1">
        <f>IFERROR(__xludf.DUMMYFUNCTION("""COMPUTED_VALUE"""),4089.95)</f>
        <v>4089.95</v>
      </c>
      <c r="C8919" s="1">
        <f>IFERROR(__xludf.DUMMYFUNCTION("""COMPUTED_VALUE"""),4098.19)</f>
        <v>4098.19</v>
      </c>
      <c r="D8919" s="1">
        <f>IFERROR(__xludf.DUMMYFUNCTION("""COMPUTED_VALUE"""),4082.54)</f>
        <v>4082.54</v>
      </c>
      <c r="E8919" s="1">
        <f>IFERROR(__xludf.DUMMYFUNCTION("""COMPUTED_VALUE"""),4097.17)</f>
        <v>4097.17</v>
      </c>
      <c r="F8919" s="1">
        <f>IFERROR(__xludf.DUMMYFUNCTION("""COMPUTED_VALUE"""),0.0)</f>
        <v>0</v>
      </c>
    </row>
    <row r="8920">
      <c r="A8920" s="2">
        <f>IFERROR(__xludf.DUMMYFUNCTION("""COMPUTED_VALUE"""),44295.66666666667)</f>
        <v>44295.66667</v>
      </c>
      <c r="B8920" s="1">
        <f>IFERROR(__xludf.DUMMYFUNCTION("""COMPUTED_VALUE"""),4096.11)</f>
        <v>4096.11</v>
      </c>
      <c r="C8920" s="1">
        <f>IFERROR(__xludf.DUMMYFUNCTION("""COMPUTED_VALUE"""),4129.48)</f>
        <v>4129.48</v>
      </c>
      <c r="D8920" s="1">
        <f>IFERROR(__xludf.DUMMYFUNCTION("""COMPUTED_VALUE"""),4095.51)</f>
        <v>4095.51</v>
      </c>
      <c r="E8920" s="1">
        <f>IFERROR(__xludf.DUMMYFUNCTION("""COMPUTED_VALUE"""),4128.8)</f>
        <v>4128.8</v>
      </c>
      <c r="F8920" s="1">
        <f>IFERROR(__xludf.DUMMYFUNCTION("""COMPUTED_VALUE"""),0.0)</f>
        <v>0</v>
      </c>
    </row>
    <row r="8921">
      <c r="A8921" s="2">
        <f>IFERROR(__xludf.DUMMYFUNCTION("""COMPUTED_VALUE"""),44298.66666666667)</f>
        <v>44298.66667</v>
      </c>
      <c r="B8921" s="1">
        <f>IFERROR(__xludf.DUMMYFUNCTION("""COMPUTED_VALUE"""),4124.71)</f>
        <v>4124.71</v>
      </c>
      <c r="C8921" s="1">
        <f>IFERROR(__xludf.DUMMYFUNCTION("""COMPUTED_VALUE"""),4131.76)</f>
        <v>4131.76</v>
      </c>
      <c r="D8921" s="1">
        <f>IFERROR(__xludf.DUMMYFUNCTION("""COMPUTED_VALUE"""),4114.82)</f>
        <v>4114.82</v>
      </c>
      <c r="E8921" s="1">
        <f>IFERROR(__xludf.DUMMYFUNCTION("""COMPUTED_VALUE"""),4127.99)</f>
        <v>4127.99</v>
      </c>
      <c r="F8921" s="1">
        <f>IFERROR(__xludf.DUMMYFUNCTION("""COMPUTED_VALUE"""),0.0)</f>
        <v>0</v>
      </c>
    </row>
    <row r="8922">
      <c r="A8922" s="2">
        <f>IFERROR(__xludf.DUMMYFUNCTION("""COMPUTED_VALUE"""),44299.66666666667)</f>
        <v>44299.66667</v>
      </c>
      <c r="B8922" s="1">
        <f>IFERROR(__xludf.DUMMYFUNCTION("""COMPUTED_VALUE"""),4130.1)</f>
        <v>4130.1</v>
      </c>
      <c r="C8922" s="1">
        <f>IFERROR(__xludf.DUMMYFUNCTION("""COMPUTED_VALUE"""),4148.0)</f>
        <v>4148</v>
      </c>
      <c r="D8922" s="1">
        <f>IFERROR(__xludf.DUMMYFUNCTION("""COMPUTED_VALUE"""),4124.43)</f>
        <v>4124.43</v>
      </c>
      <c r="E8922" s="1">
        <f>IFERROR(__xludf.DUMMYFUNCTION("""COMPUTED_VALUE"""),4141.59)</f>
        <v>4141.59</v>
      </c>
      <c r="F8922" s="1">
        <f>IFERROR(__xludf.DUMMYFUNCTION("""COMPUTED_VALUE"""),0.0)</f>
        <v>0</v>
      </c>
    </row>
    <row r="8923">
      <c r="A8923" s="2">
        <f>IFERROR(__xludf.DUMMYFUNCTION("""COMPUTED_VALUE"""),44300.66666666667)</f>
        <v>44300.66667</v>
      </c>
      <c r="B8923" s="1">
        <f>IFERROR(__xludf.DUMMYFUNCTION("""COMPUTED_VALUE"""),4141.58)</f>
        <v>4141.58</v>
      </c>
      <c r="C8923" s="1">
        <f>IFERROR(__xludf.DUMMYFUNCTION("""COMPUTED_VALUE"""),4151.69)</f>
        <v>4151.69</v>
      </c>
      <c r="D8923" s="1">
        <f>IFERROR(__xludf.DUMMYFUNCTION("""COMPUTED_VALUE"""),4120.87)</f>
        <v>4120.87</v>
      </c>
      <c r="E8923" s="1">
        <f>IFERROR(__xludf.DUMMYFUNCTION("""COMPUTED_VALUE"""),4124.66)</f>
        <v>4124.66</v>
      </c>
      <c r="F8923" s="1">
        <f>IFERROR(__xludf.DUMMYFUNCTION("""COMPUTED_VALUE"""),0.0)</f>
        <v>0</v>
      </c>
    </row>
    <row r="8924">
      <c r="A8924" s="2">
        <f>IFERROR(__xludf.DUMMYFUNCTION("""COMPUTED_VALUE"""),44301.66666666667)</f>
        <v>44301.66667</v>
      </c>
      <c r="B8924" s="1">
        <f>IFERROR(__xludf.DUMMYFUNCTION("""COMPUTED_VALUE"""),4139.76)</f>
        <v>4139.76</v>
      </c>
      <c r="C8924" s="1">
        <f>IFERROR(__xludf.DUMMYFUNCTION("""COMPUTED_VALUE"""),4173.49)</f>
        <v>4173.49</v>
      </c>
      <c r="D8924" s="1">
        <f>IFERROR(__xludf.DUMMYFUNCTION("""COMPUTED_VALUE"""),4139.76)</f>
        <v>4139.76</v>
      </c>
      <c r="E8924" s="1">
        <f>IFERROR(__xludf.DUMMYFUNCTION("""COMPUTED_VALUE"""),4170.42)</f>
        <v>4170.42</v>
      </c>
      <c r="F8924" s="1">
        <f>IFERROR(__xludf.DUMMYFUNCTION("""COMPUTED_VALUE"""),0.0)</f>
        <v>0</v>
      </c>
    </row>
    <row r="8925">
      <c r="A8925" s="2">
        <f>IFERROR(__xludf.DUMMYFUNCTION("""COMPUTED_VALUE"""),44302.66666666667)</f>
        <v>44302.66667</v>
      </c>
      <c r="B8925" s="1">
        <f>IFERROR(__xludf.DUMMYFUNCTION("""COMPUTED_VALUE"""),4174.14)</f>
        <v>4174.14</v>
      </c>
      <c r="C8925" s="1">
        <f>IFERROR(__xludf.DUMMYFUNCTION("""COMPUTED_VALUE"""),4191.31)</f>
        <v>4191.31</v>
      </c>
      <c r="D8925" s="1">
        <f>IFERROR(__xludf.DUMMYFUNCTION("""COMPUTED_VALUE"""),4170.75)</f>
        <v>4170.75</v>
      </c>
      <c r="E8925" s="1">
        <f>IFERROR(__xludf.DUMMYFUNCTION("""COMPUTED_VALUE"""),4185.47)</f>
        <v>4185.47</v>
      </c>
      <c r="F8925" s="1">
        <f>IFERROR(__xludf.DUMMYFUNCTION("""COMPUTED_VALUE"""),0.0)</f>
        <v>0</v>
      </c>
    </row>
    <row r="8926">
      <c r="A8926" s="2">
        <f>IFERROR(__xludf.DUMMYFUNCTION("""COMPUTED_VALUE"""),44305.66666666667)</f>
        <v>44305.66667</v>
      </c>
      <c r="B8926" s="1">
        <f>IFERROR(__xludf.DUMMYFUNCTION("""COMPUTED_VALUE"""),4179.8)</f>
        <v>4179.8</v>
      </c>
      <c r="C8926" s="1">
        <f>IFERROR(__xludf.DUMMYFUNCTION("""COMPUTED_VALUE"""),4180.81)</f>
        <v>4180.81</v>
      </c>
      <c r="D8926" s="1">
        <f>IFERROR(__xludf.DUMMYFUNCTION("""COMPUTED_VALUE"""),4150.47)</f>
        <v>4150.47</v>
      </c>
      <c r="E8926" s="1">
        <f>IFERROR(__xludf.DUMMYFUNCTION("""COMPUTED_VALUE"""),4163.26)</f>
        <v>4163.26</v>
      </c>
      <c r="F8926" s="1">
        <f>IFERROR(__xludf.DUMMYFUNCTION("""COMPUTED_VALUE"""),0.0)</f>
        <v>0</v>
      </c>
    </row>
    <row r="8927">
      <c r="A8927" s="2">
        <f>IFERROR(__xludf.DUMMYFUNCTION("""COMPUTED_VALUE"""),44306.66666666667)</f>
        <v>44306.66667</v>
      </c>
      <c r="B8927" s="1">
        <f>IFERROR(__xludf.DUMMYFUNCTION("""COMPUTED_VALUE"""),4159.18)</f>
        <v>4159.18</v>
      </c>
      <c r="C8927" s="1">
        <f>IFERROR(__xludf.DUMMYFUNCTION("""COMPUTED_VALUE"""),4159.18)</f>
        <v>4159.18</v>
      </c>
      <c r="D8927" s="1">
        <f>IFERROR(__xludf.DUMMYFUNCTION("""COMPUTED_VALUE"""),4118.38)</f>
        <v>4118.38</v>
      </c>
      <c r="E8927" s="1">
        <f>IFERROR(__xludf.DUMMYFUNCTION("""COMPUTED_VALUE"""),4134.94)</f>
        <v>4134.94</v>
      </c>
      <c r="F8927" s="1">
        <f>IFERROR(__xludf.DUMMYFUNCTION("""COMPUTED_VALUE"""),0.0)</f>
        <v>0</v>
      </c>
    </row>
    <row r="8928">
      <c r="A8928" s="2">
        <f>IFERROR(__xludf.DUMMYFUNCTION("""COMPUTED_VALUE"""),44307.66666666667)</f>
        <v>44307.66667</v>
      </c>
      <c r="B8928" s="1">
        <f>IFERROR(__xludf.DUMMYFUNCTION("""COMPUTED_VALUE"""),4128.42)</f>
        <v>4128.42</v>
      </c>
      <c r="C8928" s="1">
        <f>IFERROR(__xludf.DUMMYFUNCTION("""COMPUTED_VALUE"""),4175.02)</f>
        <v>4175.02</v>
      </c>
      <c r="D8928" s="1">
        <f>IFERROR(__xludf.DUMMYFUNCTION("""COMPUTED_VALUE"""),4126.35)</f>
        <v>4126.35</v>
      </c>
      <c r="E8928" s="1">
        <f>IFERROR(__xludf.DUMMYFUNCTION("""COMPUTED_VALUE"""),4173.42)</f>
        <v>4173.42</v>
      </c>
      <c r="F8928" s="1">
        <f>IFERROR(__xludf.DUMMYFUNCTION("""COMPUTED_VALUE"""),0.0)</f>
        <v>0</v>
      </c>
    </row>
    <row r="8929">
      <c r="A8929" s="2">
        <f>IFERROR(__xludf.DUMMYFUNCTION("""COMPUTED_VALUE"""),44308.66666666667)</f>
        <v>44308.66667</v>
      </c>
      <c r="B8929" s="1">
        <f>IFERROR(__xludf.DUMMYFUNCTION("""COMPUTED_VALUE"""),4170.46)</f>
        <v>4170.46</v>
      </c>
      <c r="C8929" s="1">
        <f>IFERROR(__xludf.DUMMYFUNCTION("""COMPUTED_VALUE"""),4179.57)</f>
        <v>4179.57</v>
      </c>
      <c r="D8929" s="1">
        <f>IFERROR(__xludf.DUMMYFUNCTION("""COMPUTED_VALUE"""),4123.69)</f>
        <v>4123.69</v>
      </c>
      <c r="E8929" s="1">
        <f>IFERROR(__xludf.DUMMYFUNCTION("""COMPUTED_VALUE"""),4134.98)</f>
        <v>4134.98</v>
      </c>
      <c r="F8929" s="1">
        <f>IFERROR(__xludf.DUMMYFUNCTION("""COMPUTED_VALUE"""),0.0)</f>
        <v>0</v>
      </c>
    </row>
    <row r="8930">
      <c r="A8930" s="2">
        <f>IFERROR(__xludf.DUMMYFUNCTION("""COMPUTED_VALUE"""),44309.66666666667)</f>
        <v>44309.66667</v>
      </c>
      <c r="B8930" s="1">
        <f>IFERROR(__xludf.DUMMYFUNCTION("""COMPUTED_VALUE"""),4138.78)</f>
        <v>4138.78</v>
      </c>
      <c r="C8930" s="1">
        <f>IFERROR(__xludf.DUMMYFUNCTION("""COMPUTED_VALUE"""),4194.17)</f>
        <v>4194.17</v>
      </c>
      <c r="D8930" s="1">
        <f>IFERROR(__xludf.DUMMYFUNCTION("""COMPUTED_VALUE"""),4138.78)</f>
        <v>4138.78</v>
      </c>
      <c r="E8930" s="1">
        <f>IFERROR(__xludf.DUMMYFUNCTION("""COMPUTED_VALUE"""),4180.17)</f>
        <v>4180.17</v>
      </c>
      <c r="F8930" s="1">
        <f>IFERROR(__xludf.DUMMYFUNCTION("""COMPUTED_VALUE"""),0.0)</f>
        <v>0</v>
      </c>
    </row>
    <row r="8931">
      <c r="A8931" s="2">
        <f>IFERROR(__xludf.DUMMYFUNCTION("""COMPUTED_VALUE"""),44312.66666666667)</f>
        <v>44312.66667</v>
      </c>
      <c r="B8931" s="1">
        <f>IFERROR(__xludf.DUMMYFUNCTION("""COMPUTED_VALUE"""),4185.03)</f>
        <v>4185.03</v>
      </c>
      <c r="C8931" s="1">
        <f>IFERROR(__xludf.DUMMYFUNCTION("""COMPUTED_VALUE"""),4194.19)</f>
        <v>4194.19</v>
      </c>
      <c r="D8931" s="1">
        <f>IFERROR(__xludf.DUMMYFUNCTION("""COMPUTED_VALUE"""),4182.36)</f>
        <v>4182.36</v>
      </c>
      <c r="E8931" s="1">
        <f>IFERROR(__xludf.DUMMYFUNCTION("""COMPUTED_VALUE"""),4187.62)</f>
        <v>4187.62</v>
      </c>
      <c r="F8931" s="1">
        <f>IFERROR(__xludf.DUMMYFUNCTION("""COMPUTED_VALUE"""),0.0)</f>
        <v>0</v>
      </c>
    </row>
    <row r="8932">
      <c r="A8932" s="2">
        <f>IFERROR(__xludf.DUMMYFUNCTION("""COMPUTED_VALUE"""),44313.66666666667)</f>
        <v>44313.66667</v>
      </c>
      <c r="B8932" s="1">
        <f>IFERROR(__xludf.DUMMYFUNCTION("""COMPUTED_VALUE"""),4188.25)</f>
        <v>4188.25</v>
      </c>
      <c r="C8932" s="1">
        <f>IFERROR(__xludf.DUMMYFUNCTION("""COMPUTED_VALUE"""),4193.35)</f>
        <v>4193.35</v>
      </c>
      <c r="D8932" s="1">
        <f>IFERROR(__xludf.DUMMYFUNCTION("""COMPUTED_VALUE"""),4176.22)</f>
        <v>4176.22</v>
      </c>
      <c r="E8932" s="1">
        <f>IFERROR(__xludf.DUMMYFUNCTION("""COMPUTED_VALUE"""),4186.72)</f>
        <v>4186.72</v>
      </c>
      <c r="F8932" s="1">
        <f>IFERROR(__xludf.DUMMYFUNCTION("""COMPUTED_VALUE"""),0.0)</f>
        <v>0</v>
      </c>
    </row>
    <row r="8933">
      <c r="A8933" s="2">
        <f>IFERROR(__xludf.DUMMYFUNCTION("""COMPUTED_VALUE"""),44314.66666666667)</f>
        <v>44314.66667</v>
      </c>
      <c r="B8933" s="1">
        <f>IFERROR(__xludf.DUMMYFUNCTION("""COMPUTED_VALUE"""),4185.14)</f>
        <v>4185.14</v>
      </c>
      <c r="C8933" s="1">
        <f>IFERROR(__xludf.DUMMYFUNCTION("""COMPUTED_VALUE"""),4201.53)</f>
        <v>4201.53</v>
      </c>
      <c r="D8933" s="1">
        <f>IFERROR(__xludf.DUMMYFUNCTION("""COMPUTED_VALUE"""),4181.78)</f>
        <v>4181.78</v>
      </c>
      <c r="E8933" s="1">
        <f>IFERROR(__xludf.DUMMYFUNCTION("""COMPUTED_VALUE"""),4183.18)</f>
        <v>4183.18</v>
      </c>
      <c r="F8933" s="1">
        <f>IFERROR(__xludf.DUMMYFUNCTION("""COMPUTED_VALUE"""),0.0)</f>
        <v>0</v>
      </c>
    </row>
    <row r="8934">
      <c r="A8934" s="2">
        <f>IFERROR(__xludf.DUMMYFUNCTION("""COMPUTED_VALUE"""),44315.66666666667)</f>
        <v>44315.66667</v>
      </c>
      <c r="B8934" s="1">
        <f>IFERROR(__xludf.DUMMYFUNCTION("""COMPUTED_VALUE"""),4206.14)</f>
        <v>4206.14</v>
      </c>
      <c r="C8934" s="1">
        <f>IFERROR(__xludf.DUMMYFUNCTION("""COMPUTED_VALUE"""),4218.78)</f>
        <v>4218.78</v>
      </c>
      <c r="D8934" s="1">
        <f>IFERROR(__xludf.DUMMYFUNCTION("""COMPUTED_VALUE"""),4176.81)</f>
        <v>4176.81</v>
      </c>
      <c r="E8934" s="1">
        <f>IFERROR(__xludf.DUMMYFUNCTION("""COMPUTED_VALUE"""),4211.47)</f>
        <v>4211.47</v>
      </c>
      <c r="F8934" s="1">
        <f>IFERROR(__xludf.DUMMYFUNCTION("""COMPUTED_VALUE"""),0.0)</f>
        <v>0</v>
      </c>
    </row>
    <row r="8935">
      <c r="A8935" s="2">
        <f>IFERROR(__xludf.DUMMYFUNCTION("""COMPUTED_VALUE"""),44316.66666666667)</f>
        <v>44316.66667</v>
      </c>
      <c r="B8935" s="1">
        <f>IFERROR(__xludf.DUMMYFUNCTION("""COMPUTED_VALUE"""),4198.1)</f>
        <v>4198.1</v>
      </c>
      <c r="C8935" s="1">
        <f>IFERROR(__xludf.DUMMYFUNCTION("""COMPUTED_VALUE"""),4198.1)</f>
        <v>4198.1</v>
      </c>
      <c r="D8935" s="1">
        <f>IFERROR(__xludf.DUMMYFUNCTION("""COMPUTED_VALUE"""),4174.85)</f>
        <v>4174.85</v>
      </c>
      <c r="E8935" s="1">
        <f>IFERROR(__xludf.DUMMYFUNCTION("""COMPUTED_VALUE"""),4181.17)</f>
        <v>4181.17</v>
      </c>
      <c r="F8935" s="1">
        <f>IFERROR(__xludf.DUMMYFUNCTION("""COMPUTED_VALUE"""),0.0)</f>
        <v>0</v>
      </c>
    </row>
    <row r="8936">
      <c r="A8936" s="2">
        <f>IFERROR(__xludf.DUMMYFUNCTION("""COMPUTED_VALUE"""),44319.66666666667)</f>
        <v>44319.66667</v>
      </c>
      <c r="B8936" s="1">
        <f>IFERROR(__xludf.DUMMYFUNCTION("""COMPUTED_VALUE"""),4191.98)</f>
        <v>4191.98</v>
      </c>
      <c r="C8936" s="1">
        <f>IFERROR(__xludf.DUMMYFUNCTION("""COMPUTED_VALUE"""),4209.39)</f>
        <v>4209.39</v>
      </c>
      <c r="D8936" s="1">
        <f>IFERROR(__xludf.DUMMYFUNCTION("""COMPUTED_VALUE"""),4188.03)</f>
        <v>4188.03</v>
      </c>
      <c r="E8936" s="1">
        <f>IFERROR(__xludf.DUMMYFUNCTION("""COMPUTED_VALUE"""),4192.66)</f>
        <v>4192.66</v>
      </c>
      <c r="F8936" s="1">
        <f>IFERROR(__xludf.DUMMYFUNCTION("""COMPUTED_VALUE"""),0.0)</f>
        <v>0</v>
      </c>
    </row>
    <row r="8937">
      <c r="A8937" s="2">
        <f>IFERROR(__xludf.DUMMYFUNCTION("""COMPUTED_VALUE"""),44320.66666666667)</f>
        <v>44320.66667</v>
      </c>
      <c r="B8937" s="1">
        <f>IFERROR(__xludf.DUMMYFUNCTION("""COMPUTED_VALUE"""),4179.04)</f>
        <v>4179.04</v>
      </c>
      <c r="C8937" s="1">
        <f>IFERROR(__xludf.DUMMYFUNCTION("""COMPUTED_VALUE"""),4179.04)</f>
        <v>4179.04</v>
      </c>
      <c r="D8937" s="1">
        <f>IFERROR(__xludf.DUMMYFUNCTION("""COMPUTED_VALUE"""),4128.59)</f>
        <v>4128.59</v>
      </c>
      <c r="E8937" s="1">
        <f>IFERROR(__xludf.DUMMYFUNCTION("""COMPUTED_VALUE"""),4164.66)</f>
        <v>4164.66</v>
      </c>
      <c r="F8937" s="1">
        <f>IFERROR(__xludf.DUMMYFUNCTION("""COMPUTED_VALUE"""),0.0)</f>
        <v>0</v>
      </c>
    </row>
    <row r="8938">
      <c r="A8938" s="2">
        <f>IFERROR(__xludf.DUMMYFUNCTION("""COMPUTED_VALUE"""),44321.66666666667)</f>
        <v>44321.66667</v>
      </c>
      <c r="B8938" s="1">
        <f>IFERROR(__xludf.DUMMYFUNCTION("""COMPUTED_VALUE"""),4177.06)</f>
        <v>4177.06</v>
      </c>
      <c r="C8938" s="1">
        <f>IFERROR(__xludf.DUMMYFUNCTION("""COMPUTED_VALUE"""),4187.72)</f>
        <v>4187.72</v>
      </c>
      <c r="D8938" s="1">
        <f>IFERROR(__xludf.DUMMYFUNCTION("""COMPUTED_VALUE"""),4160.94)</f>
        <v>4160.94</v>
      </c>
      <c r="E8938" s="1">
        <f>IFERROR(__xludf.DUMMYFUNCTION("""COMPUTED_VALUE"""),4167.59)</f>
        <v>4167.59</v>
      </c>
      <c r="F8938" s="1">
        <f>IFERROR(__xludf.DUMMYFUNCTION("""COMPUTED_VALUE"""),0.0)</f>
        <v>0</v>
      </c>
    </row>
    <row r="8939">
      <c r="A8939" s="2">
        <f>IFERROR(__xludf.DUMMYFUNCTION("""COMPUTED_VALUE"""),44322.66666666667)</f>
        <v>44322.66667</v>
      </c>
      <c r="B8939" s="1">
        <f>IFERROR(__xludf.DUMMYFUNCTION("""COMPUTED_VALUE"""),4169.14)</f>
        <v>4169.14</v>
      </c>
      <c r="C8939" s="1">
        <f>IFERROR(__xludf.DUMMYFUNCTION("""COMPUTED_VALUE"""),4202.7)</f>
        <v>4202.7</v>
      </c>
      <c r="D8939" s="1">
        <f>IFERROR(__xludf.DUMMYFUNCTION("""COMPUTED_VALUE"""),4147.33)</f>
        <v>4147.33</v>
      </c>
      <c r="E8939" s="1">
        <f>IFERROR(__xludf.DUMMYFUNCTION("""COMPUTED_VALUE"""),4201.62)</f>
        <v>4201.62</v>
      </c>
      <c r="F8939" s="1">
        <f>IFERROR(__xludf.DUMMYFUNCTION("""COMPUTED_VALUE"""),0.0)</f>
        <v>0</v>
      </c>
    </row>
    <row r="8940">
      <c r="A8940" s="2">
        <f>IFERROR(__xludf.DUMMYFUNCTION("""COMPUTED_VALUE"""),44323.66666666667)</f>
        <v>44323.66667</v>
      </c>
      <c r="B8940" s="1">
        <f>IFERROR(__xludf.DUMMYFUNCTION("""COMPUTED_VALUE"""),4210.34)</f>
        <v>4210.34</v>
      </c>
      <c r="C8940" s="1">
        <f>IFERROR(__xludf.DUMMYFUNCTION("""COMPUTED_VALUE"""),4238.04)</f>
        <v>4238.04</v>
      </c>
      <c r="D8940" s="1">
        <f>IFERROR(__xludf.DUMMYFUNCTION("""COMPUTED_VALUE"""),4201.64)</f>
        <v>4201.64</v>
      </c>
      <c r="E8940" s="1">
        <f>IFERROR(__xludf.DUMMYFUNCTION("""COMPUTED_VALUE"""),4232.6)</f>
        <v>4232.6</v>
      </c>
      <c r="F8940" s="1">
        <f>IFERROR(__xludf.DUMMYFUNCTION("""COMPUTED_VALUE"""),0.0)</f>
        <v>0</v>
      </c>
    </row>
    <row r="8941">
      <c r="A8941" s="2">
        <f>IFERROR(__xludf.DUMMYFUNCTION("""COMPUTED_VALUE"""),44326.66666666667)</f>
        <v>44326.66667</v>
      </c>
      <c r="B8941" s="1">
        <f>IFERROR(__xludf.DUMMYFUNCTION("""COMPUTED_VALUE"""),4228.29)</f>
        <v>4228.29</v>
      </c>
      <c r="C8941" s="1">
        <f>IFERROR(__xludf.DUMMYFUNCTION("""COMPUTED_VALUE"""),4236.39)</f>
        <v>4236.39</v>
      </c>
      <c r="D8941" s="1">
        <f>IFERROR(__xludf.DUMMYFUNCTION("""COMPUTED_VALUE"""),4188.13)</f>
        <v>4188.13</v>
      </c>
      <c r="E8941" s="1">
        <f>IFERROR(__xludf.DUMMYFUNCTION("""COMPUTED_VALUE"""),4188.43)</f>
        <v>4188.43</v>
      </c>
      <c r="F8941" s="1">
        <f>IFERROR(__xludf.DUMMYFUNCTION("""COMPUTED_VALUE"""),0.0)</f>
        <v>0</v>
      </c>
    </row>
    <row r="8942">
      <c r="A8942" s="2">
        <f>IFERROR(__xludf.DUMMYFUNCTION("""COMPUTED_VALUE"""),44327.66666666667)</f>
        <v>44327.66667</v>
      </c>
      <c r="B8942" s="1">
        <f>IFERROR(__xludf.DUMMYFUNCTION("""COMPUTED_VALUE"""),4150.34)</f>
        <v>4150.34</v>
      </c>
      <c r="C8942" s="1">
        <f>IFERROR(__xludf.DUMMYFUNCTION("""COMPUTED_VALUE"""),4162.04)</f>
        <v>4162.04</v>
      </c>
      <c r="D8942" s="1">
        <f>IFERROR(__xludf.DUMMYFUNCTION("""COMPUTED_VALUE"""),4111.53)</f>
        <v>4111.53</v>
      </c>
      <c r="E8942" s="1">
        <f>IFERROR(__xludf.DUMMYFUNCTION("""COMPUTED_VALUE"""),4152.1)</f>
        <v>4152.1</v>
      </c>
      <c r="F8942" s="1">
        <f>IFERROR(__xludf.DUMMYFUNCTION("""COMPUTED_VALUE"""),0.0)</f>
        <v>0</v>
      </c>
    </row>
    <row r="8943">
      <c r="A8943" s="2">
        <f>IFERROR(__xludf.DUMMYFUNCTION("""COMPUTED_VALUE"""),44328.66666666667)</f>
        <v>44328.66667</v>
      </c>
      <c r="B8943" s="1">
        <f>IFERROR(__xludf.DUMMYFUNCTION("""COMPUTED_VALUE"""),4130.55)</f>
        <v>4130.55</v>
      </c>
      <c r="C8943" s="1">
        <f>IFERROR(__xludf.DUMMYFUNCTION("""COMPUTED_VALUE"""),4134.59)</f>
        <v>4134.59</v>
      </c>
      <c r="D8943" s="1">
        <f>IFERROR(__xludf.DUMMYFUNCTION("""COMPUTED_VALUE"""),4056.88)</f>
        <v>4056.88</v>
      </c>
      <c r="E8943" s="1">
        <f>IFERROR(__xludf.DUMMYFUNCTION("""COMPUTED_VALUE"""),4063.04)</f>
        <v>4063.04</v>
      </c>
      <c r="F8943" s="1">
        <f>IFERROR(__xludf.DUMMYFUNCTION("""COMPUTED_VALUE"""),0.0)</f>
        <v>0</v>
      </c>
    </row>
    <row r="8944">
      <c r="A8944" s="2">
        <f>IFERROR(__xludf.DUMMYFUNCTION("""COMPUTED_VALUE"""),44329.66666666667)</f>
        <v>44329.66667</v>
      </c>
      <c r="B8944" s="1">
        <f>IFERROR(__xludf.DUMMYFUNCTION("""COMPUTED_VALUE"""),4074.99)</f>
        <v>4074.99</v>
      </c>
      <c r="C8944" s="1">
        <f>IFERROR(__xludf.DUMMYFUNCTION("""COMPUTED_VALUE"""),4131.58)</f>
        <v>4131.58</v>
      </c>
      <c r="D8944" s="1">
        <f>IFERROR(__xludf.DUMMYFUNCTION("""COMPUTED_VALUE"""),4074.99)</f>
        <v>4074.99</v>
      </c>
      <c r="E8944" s="1">
        <f>IFERROR(__xludf.DUMMYFUNCTION("""COMPUTED_VALUE"""),4112.5)</f>
        <v>4112.5</v>
      </c>
      <c r="F8944" s="1">
        <f>IFERROR(__xludf.DUMMYFUNCTION("""COMPUTED_VALUE"""),0.0)</f>
        <v>0</v>
      </c>
    </row>
    <row r="8945">
      <c r="A8945" s="2">
        <f>IFERROR(__xludf.DUMMYFUNCTION("""COMPUTED_VALUE"""),44330.66666666667)</f>
        <v>44330.66667</v>
      </c>
      <c r="B8945" s="1">
        <f>IFERROR(__xludf.DUMMYFUNCTION("""COMPUTED_VALUE"""),4129.58)</f>
        <v>4129.58</v>
      </c>
      <c r="C8945" s="1">
        <f>IFERROR(__xludf.DUMMYFUNCTION("""COMPUTED_VALUE"""),4183.13)</f>
        <v>4183.13</v>
      </c>
      <c r="D8945" s="1">
        <f>IFERROR(__xludf.DUMMYFUNCTION("""COMPUTED_VALUE"""),4129.58)</f>
        <v>4129.58</v>
      </c>
      <c r="E8945" s="1">
        <f>IFERROR(__xludf.DUMMYFUNCTION("""COMPUTED_VALUE"""),4173.85)</f>
        <v>4173.85</v>
      </c>
      <c r="F8945" s="1">
        <f>IFERROR(__xludf.DUMMYFUNCTION("""COMPUTED_VALUE"""),0.0)</f>
        <v>0</v>
      </c>
    </row>
    <row r="8946">
      <c r="A8946" s="2">
        <f>IFERROR(__xludf.DUMMYFUNCTION("""COMPUTED_VALUE"""),44333.66666666667)</f>
        <v>44333.66667</v>
      </c>
      <c r="B8946" s="1">
        <f>IFERROR(__xludf.DUMMYFUNCTION("""COMPUTED_VALUE"""),4169.92)</f>
        <v>4169.92</v>
      </c>
      <c r="C8946" s="1">
        <f>IFERROR(__xludf.DUMMYFUNCTION("""COMPUTED_VALUE"""),4171.92)</f>
        <v>4171.92</v>
      </c>
      <c r="D8946" s="1">
        <f>IFERROR(__xludf.DUMMYFUNCTION("""COMPUTED_VALUE"""),4142.69)</f>
        <v>4142.69</v>
      </c>
      <c r="E8946" s="1">
        <f>IFERROR(__xludf.DUMMYFUNCTION("""COMPUTED_VALUE"""),4163.29)</f>
        <v>4163.29</v>
      </c>
      <c r="F8946" s="1">
        <f>IFERROR(__xludf.DUMMYFUNCTION("""COMPUTED_VALUE"""),0.0)</f>
        <v>0</v>
      </c>
    </row>
    <row r="8947">
      <c r="A8947" s="2">
        <f>IFERROR(__xludf.DUMMYFUNCTION("""COMPUTED_VALUE"""),44334.66666666667)</f>
        <v>44334.66667</v>
      </c>
      <c r="B8947" s="1">
        <f>IFERROR(__xludf.DUMMYFUNCTION("""COMPUTED_VALUE"""),4165.94)</f>
        <v>4165.94</v>
      </c>
      <c r="C8947" s="1">
        <f>IFERROR(__xludf.DUMMYFUNCTION("""COMPUTED_VALUE"""),4169.15)</f>
        <v>4169.15</v>
      </c>
      <c r="D8947" s="1">
        <f>IFERROR(__xludf.DUMMYFUNCTION("""COMPUTED_VALUE"""),4125.99)</f>
        <v>4125.99</v>
      </c>
      <c r="E8947" s="1">
        <f>IFERROR(__xludf.DUMMYFUNCTION("""COMPUTED_VALUE"""),4127.83)</f>
        <v>4127.83</v>
      </c>
      <c r="F8947" s="1">
        <f>IFERROR(__xludf.DUMMYFUNCTION("""COMPUTED_VALUE"""),0.0)</f>
        <v>0</v>
      </c>
    </row>
    <row r="8948">
      <c r="A8948" s="2">
        <f>IFERROR(__xludf.DUMMYFUNCTION("""COMPUTED_VALUE"""),44335.66666666667)</f>
        <v>44335.66667</v>
      </c>
      <c r="B8948" s="1">
        <f>IFERROR(__xludf.DUMMYFUNCTION("""COMPUTED_VALUE"""),4098.45)</f>
        <v>4098.45</v>
      </c>
      <c r="C8948" s="1">
        <f>IFERROR(__xludf.DUMMYFUNCTION("""COMPUTED_VALUE"""),4116.93)</f>
        <v>4116.93</v>
      </c>
      <c r="D8948" s="1">
        <f>IFERROR(__xludf.DUMMYFUNCTION("""COMPUTED_VALUE"""),4061.41)</f>
        <v>4061.41</v>
      </c>
      <c r="E8948" s="1">
        <f>IFERROR(__xludf.DUMMYFUNCTION("""COMPUTED_VALUE"""),4115.68)</f>
        <v>4115.68</v>
      </c>
      <c r="F8948" s="1">
        <f>IFERROR(__xludf.DUMMYFUNCTION("""COMPUTED_VALUE"""),0.0)</f>
        <v>0</v>
      </c>
    </row>
    <row r="8949">
      <c r="A8949" s="2">
        <f>IFERROR(__xludf.DUMMYFUNCTION("""COMPUTED_VALUE"""),44336.66666666667)</f>
        <v>44336.66667</v>
      </c>
      <c r="B8949" s="1">
        <f>IFERROR(__xludf.DUMMYFUNCTION("""COMPUTED_VALUE"""),4121.97)</f>
        <v>4121.97</v>
      </c>
      <c r="C8949" s="1">
        <f>IFERROR(__xludf.DUMMYFUNCTION("""COMPUTED_VALUE"""),4172.8)</f>
        <v>4172.8</v>
      </c>
      <c r="D8949" s="1">
        <f>IFERROR(__xludf.DUMMYFUNCTION("""COMPUTED_VALUE"""),4121.97)</f>
        <v>4121.97</v>
      </c>
      <c r="E8949" s="1">
        <f>IFERROR(__xludf.DUMMYFUNCTION("""COMPUTED_VALUE"""),4159.12)</f>
        <v>4159.12</v>
      </c>
      <c r="F8949" s="1">
        <f>IFERROR(__xludf.DUMMYFUNCTION("""COMPUTED_VALUE"""),0.0)</f>
        <v>0</v>
      </c>
    </row>
    <row r="8950">
      <c r="A8950" s="2">
        <f>IFERROR(__xludf.DUMMYFUNCTION("""COMPUTED_VALUE"""),44337.66666666667)</f>
        <v>44337.66667</v>
      </c>
      <c r="B8950" s="1">
        <f>IFERROR(__xludf.DUMMYFUNCTION("""COMPUTED_VALUE"""),4168.61)</f>
        <v>4168.61</v>
      </c>
      <c r="C8950" s="1">
        <f>IFERROR(__xludf.DUMMYFUNCTION("""COMPUTED_VALUE"""),4188.72)</f>
        <v>4188.72</v>
      </c>
      <c r="D8950" s="1">
        <f>IFERROR(__xludf.DUMMYFUNCTION("""COMPUTED_VALUE"""),4151.72)</f>
        <v>4151.72</v>
      </c>
      <c r="E8950" s="1">
        <f>IFERROR(__xludf.DUMMYFUNCTION("""COMPUTED_VALUE"""),4155.86)</f>
        <v>4155.86</v>
      </c>
      <c r="F8950" s="1">
        <f>IFERROR(__xludf.DUMMYFUNCTION("""COMPUTED_VALUE"""),0.0)</f>
        <v>0</v>
      </c>
    </row>
    <row r="8951">
      <c r="A8951" s="2">
        <f>IFERROR(__xludf.DUMMYFUNCTION("""COMPUTED_VALUE"""),44340.66666666667)</f>
        <v>44340.66667</v>
      </c>
      <c r="B8951" s="1">
        <f>IFERROR(__xludf.DUMMYFUNCTION("""COMPUTED_VALUE"""),4170.16)</f>
        <v>4170.16</v>
      </c>
      <c r="C8951" s="1">
        <f>IFERROR(__xludf.DUMMYFUNCTION("""COMPUTED_VALUE"""),4209.52)</f>
        <v>4209.52</v>
      </c>
      <c r="D8951" s="1">
        <f>IFERROR(__xludf.DUMMYFUNCTION("""COMPUTED_VALUE"""),4170.16)</f>
        <v>4170.16</v>
      </c>
      <c r="E8951" s="1">
        <f>IFERROR(__xludf.DUMMYFUNCTION("""COMPUTED_VALUE"""),4197.05)</f>
        <v>4197.05</v>
      </c>
      <c r="F8951" s="1">
        <f>IFERROR(__xludf.DUMMYFUNCTION("""COMPUTED_VALUE"""),0.0)</f>
        <v>0</v>
      </c>
    </row>
    <row r="8952">
      <c r="A8952" s="2">
        <f>IFERROR(__xludf.DUMMYFUNCTION("""COMPUTED_VALUE"""),44341.66666666667)</f>
        <v>44341.66667</v>
      </c>
      <c r="B8952" s="1">
        <f>IFERROR(__xludf.DUMMYFUNCTION("""COMPUTED_VALUE"""),4205.94)</f>
        <v>4205.94</v>
      </c>
      <c r="C8952" s="1">
        <f>IFERROR(__xludf.DUMMYFUNCTION("""COMPUTED_VALUE"""),4213.42)</f>
        <v>4213.42</v>
      </c>
      <c r="D8952" s="1">
        <f>IFERROR(__xludf.DUMMYFUNCTION("""COMPUTED_VALUE"""),4182.52)</f>
        <v>4182.52</v>
      </c>
      <c r="E8952" s="1">
        <f>IFERROR(__xludf.DUMMYFUNCTION("""COMPUTED_VALUE"""),4188.13)</f>
        <v>4188.13</v>
      </c>
      <c r="F8952" s="1">
        <f>IFERROR(__xludf.DUMMYFUNCTION("""COMPUTED_VALUE"""),0.0)</f>
        <v>0</v>
      </c>
    </row>
    <row r="8953">
      <c r="A8953" s="2">
        <f>IFERROR(__xludf.DUMMYFUNCTION("""COMPUTED_VALUE"""),44342.66666666667)</f>
        <v>44342.66667</v>
      </c>
      <c r="B8953" s="1">
        <f>IFERROR(__xludf.DUMMYFUNCTION("""COMPUTED_VALUE"""),4191.59)</f>
        <v>4191.59</v>
      </c>
      <c r="C8953" s="1">
        <f>IFERROR(__xludf.DUMMYFUNCTION("""COMPUTED_VALUE"""),4202.61)</f>
        <v>4202.61</v>
      </c>
      <c r="D8953" s="1">
        <f>IFERROR(__xludf.DUMMYFUNCTION("""COMPUTED_VALUE"""),4184.11)</f>
        <v>4184.11</v>
      </c>
      <c r="E8953" s="1">
        <f>IFERROR(__xludf.DUMMYFUNCTION("""COMPUTED_VALUE"""),4195.99)</f>
        <v>4195.99</v>
      </c>
      <c r="F8953" s="1">
        <f>IFERROR(__xludf.DUMMYFUNCTION("""COMPUTED_VALUE"""),0.0)</f>
        <v>0</v>
      </c>
    </row>
    <row r="8954">
      <c r="A8954" s="2">
        <f>IFERROR(__xludf.DUMMYFUNCTION("""COMPUTED_VALUE"""),44343.66666666667)</f>
        <v>44343.66667</v>
      </c>
      <c r="B8954" s="1">
        <f>IFERROR(__xludf.DUMMYFUNCTION("""COMPUTED_VALUE"""),4201.94)</f>
        <v>4201.94</v>
      </c>
      <c r="C8954" s="1">
        <f>IFERROR(__xludf.DUMMYFUNCTION("""COMPUTED_VALUE"""),4213.38)</f>
        <v>4213.38</v>
      </c>
      <c r="D8954" s="1">
        <f>IFERROR(__xludf.DUMMYFUNCTION("""COMPUTED_VALUE"""),4197.78)</f>
        <v>4197.78</v>
      </c>
      <c r="E8954" s="1">
        <f>IFERROR(__xludf.DUMMYFUNCTION("""COMPUTED_VALUE"""),4200.88)</f>
        <v>4200.88</v>
      </c>
      <c r="F8954" s="1">
        <f>IFERROR(__xludf.DUMMYFUNCTION("""COMPUTED_VALUE"""),0.0)</f>
        <v>0</v>
      </c>
    </row>
    <row r="8955">
      <c r="A8955" s="2">
        <f>IFERROR(__xludf.DUMMYFUNCTION("""COMPUTED_VALUE"""),44344.66666666667)</f>
        <v>44344.66667</v>
      </c>
      <c r="B8955" s="1">
        <f>IFERROR(__xludf.DUMMYFUNCTION("""COMPUTED_VALUE"""),4210.77)</f>
        <v>4210.77</v>
      </c>
      <c r="C8955" s="1">
        <f>IFERROR(__xludf.DUMMYFUNCTION("""COMPUTED_VALUE"""),4218.36)</f>
        <v>4218.36</v>
      </c>
      <c r="D8955" s="1">
        <f>IFERROR(__xludf.DUMMYFUNCTION("""COMPUTED_VALUE"""),4203.57)</f>
        <v>4203.57</v>
      </c>
      <c r="E8955" s="1">
        <f>IFERROR(__xludf.DUMMYFUNCTION("""COMPUTED_VALUE"""),4204.11)</f>
        <v>4204.11</v>
      </c>
      <c r="F8955" s="1">
        <f>IFERROR(__xludf.DUMMYFUNCTION("""COMPUTED_VALUE"""),0.0)</f>
        <v>0</v>
      </c>
    </row>
    <row r="8956">
      <c r="A8956" s="2">
        <f>IFERROR(__xludf.DUMMYFUNCTION("""COMPUTED_VALUE"""),44348.66666666667)</f>
        <v>44348.66667</v>
      </c>
      <c r="B8956" s="1">
        <f>IFERROR(__xludf.DUMMYFUNCTION("""COMPUTED_VALUE"""),4216.52)</f>
        <v>4216.52</v>
      </c>
      <c r="C8956" s="1">
        <f>IFERROR(__xludf.DUMMYFUNCTION("""COMPUTED_VALUE"""),4234.12)</f>
        <v>4234.12</v>
      </c>
      <c r="D8956" s="1">
        <f>IFERROR(__xludf.DUMMYFUNCTION("""COMPUTED_VALUE"""),4197.59)</f>
        <v>4197.59</v>
      </c>
      <c r="E8956" s="1">
        <f>IFERROR(__xludf.DUMMYFUNCTION("""COMPUTED_VALUE"""),4202.04)</f>
        <v>4202.04</v>
      </c>
      <c r="F8956" s="1">
        <f>IFERROR(__xludf.DUMMYFUNCTION("""COMPUTED_VALUE"""),0.0)</f>
        <v>0</v>
      </c>
    </row>
    <row r="8957">
      <c r="A8957" s="2">
        <f>IFERROR(__xludf.DUMMYFUNCTION("""COMPUTED_VALUE"""),44349.66666666667)</f>
        <v>44349.66667</v>
      </c>
      <c r="B8957" s="1">
        <f>IFERROR(__xludf.DUMMYFUNCTION("""COMPUTED_VALUE"""),4206.82)</f>
        <v>4206.82</v>
      </c>
      <c r="C8957" s="1">
        <f>IFERROR(__xludf.DUMMYFUNCTION("""COMPUTED_VALUE"""),4217.37)</f>
        <v>4217.37</v>
      </c>
      <c r="D8957" s="1">
        <f>IFERROR(__xludf.DUMMYFUNCTION("""COMPUTED_VALUE"""),4198.27)</f>
        <v>4198.27</v>
      </c>
      <c r="E8957" s="1">
        <f>IFERROR(__xludf.DUMMYFUNCTION("""COMPUTED_VALUE"""),4208.12)</f>
        <v>4208.12</v>
      </c>
      <c r="F8957" s="1">
        <f>IFERROR(__xludf.DUMMYFUNCTION("""COMPUTED_VALUE"""),0.0)</f>
        <v>0</v>
      </c>
    </row>
    <row r="8958">
      <c r="A8958" s="2">
        <f>IFERROR(__xludf.DUMMYFUNCTION("""COMPUTED_VALUE"""),44350.66666666667)</f>
        <v>44350.66667</v>
      </c>
      <c r="B8958" s="1">
        <f>IFERROR(__xludf.DUMMYFUNCTION("""COMPUTED_VALUE"""),4191.43)</f>
        <v>4191.43</v>
      </c>
      <c r="C8958" s="1">
        <f>IFERROR(__xludf.DUMMYFUNCTION("""COMPUTED_VALUE"""),4204.39)</f>
        <v>4204.39</v>
      </c>
      <c r="D8958" s="1">
        <f>IFERROR(__xludf.DUMMYFUNCTION("""COMPUTED_VALUE"""),4167.93)</f>
        <v>4167.93</v>
      </c>
      <c r="E8958" s="1">
        <f>IFERROR(__xludf.DUMMYFUNCTION("""COMPUTED_VALUE"""),4192.85)</f>
        <v>4192.85</v>
      </c>
      <c r="F8958" s="1">
        <f>IFERROR(__xludf.DUMMYFUNCTION("""COMPUTED_VALUE"""),0.0)</f>
        <v>0</v>
      </c>
    </row>
    <row r="8959">
      <c r="A8959" s="2">
        <f>IFERROR(__xludf.DUMMYFUNCTION("""COMPUTED_VALUE"""),44351.66666666667)</f>
        <v>44351.66667</v>
      </c>
      <c r="B8959" s="1">
        <f>IFERROR(__xludf.DUMMYFUNCTION("""COMPUTED_VALUE"""),4206.05)</f>
        <v>4206.05</v>
      </c>
      <c r="C8959" s="1">
        <f>IFERROR(__xludf.DUMMYFUNCTION("""COMPUTED_VALUE"""),4233.45)</f>
        <v>4233.45</v>
      </c>
      <c r="D8959" s="1">
        <f>IFERROR(__xludf.DUMMYFUNCTION("""COMPUTED_VALUE"""),4206.05)</f>
        <v>4206.05</v>
      </c>
      <c r="E8959" s="1">
        <f>IFERROR(__xludf.DUMMYFUNCTION("""COMPUTED_VALUE"""),4229.89)</f>
        <v>4229.89</v>
      </c>
      <c r="F8959" s="1">
        <f>IFERROR(__xludf.DUMMYFUNCTION("""COMPUTED_VALUE"""),0.0)</f>
        <v>0</v>
      </c>
    </row>
    <row r="8960">
      <c r="A8960" s="2">
        <f>IFERROR(__xludf.DUMMYFUNCTION("""COMPUTED_VALUE"""),44354.66666666667)</f>
        <v>44354.66667</v>
      </c>
      <c r="B8960" s="1">
        <f>IFERROR(__xludf.DUMMYFUNCTION("""COMPUTED_VALUE"""),4229.34)</f>
        <v>4229.34</v>
      </c>
      <c r="C8960" s="1">
        <f>IFERROR(__xludf.DUMMYFUNCTION("""COMPUTED_VALUE"""),4232.34)</f>
        <v>4232.34</v>
      </c>
      <c r="D8960" s="1">
        <f>IFERROR(__xludf.DUMMYFUNCTION("""COMPUTED_VALUE"""),4215.66)</f>
        <v>4215.66</v>
      </c>
      <c r="E8960" s="1">
        <f>IFERROR(__xludf.DUMMYFUNCTION("""COMPUTED_VALUE"""),4226.52)</f>
        <v>4226.52</v>
      </c>
      <c r="F8960" s="1">
        <f>IFERROR(__xludf.DUMMYFUNCTION("""COMPUTED_VALUE"""),0.0)</f>
        <v>0</v>
      </c>
    </row>
    <row r="8961">
      <c r="A8961" s="2">
        <f>IFERROR(__xludf.DUMMYFUNCTION("""COMPUTED_VALUE"""),44355.66666666667)</f>
        <v>44355.66667</v>
      </c>
      <c r="B8961" s="1">
        <f>IFERROR(__xludf.DUMMYFUNCTION("""COMPUTED_VALUE"""),4233.81)</f>
        <v>4233.81</v>
      </c>
      <c r="C8961" s="1">
        <f>IFERROR(__xludf.DUMMYFUNCTION("""COMPUTED_VALUE"""),4236.74)</f>
        <v>4236.74</v>
      </c>
      <c r="D8961" s="1">
        <f>IFERROR(__xludf.DUMMYFUNCTION("""COMPUTED_VALUE"""),4208.41)</f>
        <v>4208.41</v>
      </c>
      <c r="E8961" s="1">
        <f>IFERROR(__xludf.DUMMYFUNCTION("""COMPUTED_VALUE"""),4227.26)</f>
        <v>4227.26</v>
      </c>
      <c r="F8961" s="1">
        <f>IFERROR(__xludf.DUMMYFUNCTION("""COMPUTED_VALUE"""),0.0)</f>
        <v>0</v>
      </c>
    </row>
    <row r="8962">
      <c r="A8962" s="2">
        <f>IFERROR(__xludf.DUMMYFUNCTION("""COMPUTED_VALUE"""),44356.66666666667)</f>
        <v>44356.66667</v>
      </c>
      <c r="B8962" s="1">
        <f>IFERROR(__xludf.DUMMYFUNCTION("""COMPUTED_VALUE"""),4232.99)</f>
        <v>4232.99</v>
      </c>
      <c r="C8962" s="1">
        <f>IFERROR(__xludf.DUMMYFUNCTION("""COMPUTED_VALUE"""),4237.09)</f>
        <v>4237.09</v>
      </c>
      <c r="D8962" s="1">
        <f>IFERROR(__xludf.DUMMYFUNCTION("""COMPUTED_VALUE"""),4218.74)</f>
        <v>4218.74</v>
      </c>
      <c r="E8962" s="1">
        <f>IFERROR(__xludf.DUMMYFUNCTION("""COMPUTED_VALUE"""),4219.55)</f>
        <v>4219.55</v>
      </c>
      <c r="F8962" s="1">
        <f>IFERROR(__xludf.DUMMYFUNCTION("""COMPUTED_VALUE"""),0.0)</f>
        <v>0</v>
      </c>
    </row>
    <row r="8963">
      <c r="A8963" s="2">
        <f>IFERROR(__xludf.DUMMYFUNCTION("""COMPUTED_VALUE"""),44357.66666666667)</f>
        <v>44357.66667</v>
      </c>
      <c r="B8963" s="1">
        <f>IFERROR(__xludf.DUMMYFUNCTION("""COMPUTED_VALUE"""),4228.56)</f>
        <v>4228.56</v>
      </c>
      <c r="C8963" s="1">
        <f>IFERROR(__xludf.DUMMYFUNCTION("""COMPUTED_VALUE"""),4249.74)</f>
        <v>4249.74</v>
      </c>
      <c r="D8963" s="1">
        <f>IFERROR(__xludf.DUMMYFUNCTION("""COMPUTED_VALUE"""),4220.34)</f>
        <v>4220.34</v>
      </c>
      <c r="E8963" s="1">
        <f>IFERROR(__xludf.DUMMYFUNCTION("""COMPUTED_VALUE"""),4239.18)</f>
        <v>4239.18</v>
      </c>
      <c r="F8963" s="1">
        <f>IFERROR(__xludf.DUMMYFUNCTION("""COMPUTED_VALUE"""),0.0)</f>
        <v>0</v>
      </c>
    </row>
    <row r="8964">
      <c r="A8964" s="2">
        <f>IFERROR(__xludf.DUMMYFUNCTION("""COMPUTED_VALUE"""),44358.66666666667)</f>
        <v>44358.66667</v>
      </c>
      <c r="B8964" s="1">
        <f>IFERROR(__xludf.DUMMYFUNCTION("""COMPUTED_VALUE"""),4242.9)</f>
        <v>4242.9</v>
      </c>
      <c r="C8964" s="1">
        <f>IFERROR(__xludf.DUMMYFUNCTION("""COMPUTED_VALUE"""),4248.38)</f>
        <v>4248.38</v>
      </c>
      <c r="D8964" s="1">
        <f>IFERROR(__xludf.DUMMYFUNCTION("""COMPUTED_VALUE"""),4232.25)</f>
        <v>4232.25</v>
      </c>
      <c r="E8964" s="1">
        <f>IFERROR(__xludf.DUMMYFUNCTION("""COMPUTED_VALUE"""),4247.44)</f>
        <v>4247.44</v>
      </c>
      <c r="F8964" s="1">
        <f>IFERROR(__xludf.DUMMYFUNCTION("""COMPUTED_VALUE"""),0.0)</f>
        <v>0</v>
      </c>
    </row>
    <row r="8965">
      <c r="A8965" s="2">
        <f>IFERROR(__xludf.DUMMYFUNCTION("""COMPUTED_VALUE"""),44361.66666666667)</f>
        <v>44361.66667</v>
      </c>
      <c r="B8965" s="1">
        <f>IFERROR(__xludf.DUMMYFUNCTION("""COMPUTED_VALUE"""),4248.31)</f>
        <v>4248.31</v>
      </c>
      <c r="C8965" s="1">
        <f>IFERROR(__xludf.DUMMYFUNCTION("""COMPUTED_VALUE"""),4255.59)</f>
        <v>4255.59</v>
      </c>
      <c r="D8965" s="1">
        <f>IFERROR(__xludf.DUMMYFUNCTION("""COMPUTED_VALUE"""),4234.07)</f>
        <v>4234.07</v>
      </c>
      <c r="E8965" s="1">
        <f>IFERROR(__xludf.DUMMYFUNCTION("""COMPUTED_VALUE"""),4255.15)</f>
        <v>4255.15</v>
      </c>
      <c r="F8965" s="1">
        <f>IFERROR(__xludf.DUMMYFUNCTION("""COMPUTED_VALUE"""),0.0)</f>
        <v>0</v>
      </c>
    </row>
    <row r="8966">
      <c r="A8966" s="2">
        <f>IFERROR(__xludf.DUMMYFUNCTION("""COMPUTED_VALUE"""),44362.66666666667)</f>
        <v>44362.66667</v>
      </c>
      <c r="B8966" s="1">
        <f>IFERROR(__xludf.DUMMYFUNCTION("""COMPUTED_VALUE"""),4255.28)</f>
        <v>4255.28</v>
      </c>
      <c r="C8966" s="1">
        <f>IFERROR(__xludf.DUMMYFUNCTION("""COMPUTED_VALUE"""),4257.16)</f>
        <v>4257.16</v>
      </c>
      <c r="D8966" s="1">
        <f>IFERROR(__xludf.DUMMYFUNCTION("""COMPUTED_VALUE"""),4238.35)</f>
        <v>4238.35</v>
      </c>
      <c r="E8966" s="1">
        <f>IFERROR(__xludf.DUMMYFUNCTION("""COMPUTED_VALUE"""),4246.59)</f>
        <v>4246.59</v>
      </c>
      <c r="F8966" s="1">
        <f>IFERROR(__xludf.DUMMYFUNCTION("""COMPUTED_VALUE"""),0.0)</f>
        <v>0</v>
      </c>
    </row>
    <row r="8967">
      <c r="A8967" s="2">
        <f>IFERROR(__xludf.DUMMYFUNCTION("""COMPUTED_VALUE"""),44363.66666666667)</f>
        <v>44363.66667</v>
      </c>
      <c r="B8967" s="1">
        <f>IFERROR(__xludf.DUMMYFUNCTION("""COMPUTED_VALUE"""),4248.87)</f>
        <v>4248.87</v>
      </c>
      <c r="C8967" s="1">
        <f>IFERROR(__xludf.DUMMYFUNCTION("""COMPUTED_VALUE"""),4251.89)</f>
        <v>4251.89</v>
      </c>
      <c r="D8967" s="1">
        <f>IFERROR(__xludf.DUMMYFUNCTION("""COMPUTED_VALUE"""),4202.45)</f>
        <v>4202.45</v>
      </c>
      <c r="E8967" s="1">
        <f>IFERROR(__xludf.DUMMYFUNCTION("""COMPUTED_VALUE"""),4223.7)</f>
        <v>4223.7</v>
      </c>
      <c r="F8967" s="1">
        <f>IFERROR(__xludf.DUMMYFUNCTION("""COMPUTED_VALUE"""),0.0)</f>
        <v>0</v>
      </c>
    </row>
    <row r="8968">
      <c r="A8968" s="2">
        <f>IFERROR(__xludf.DUMMYFUNCTION("""COMPUTED_VALUE"""),44364.66666666667)</f>
        <v>44364.66667</v>
      </c>
      <c r="B8968" s="1">
        <f>IFERROR(__xludf.DUMMYFUNCTION("""COMPUTED_VALUE"""),4220.37)</f>
        <v>4220.37</v>
      </c>
      <c r="C8968" s="1">
        <f>IFERROR(__xludf.DUMMYFUNCTION("""COMPUTED_VALUE"""),4232.29)</f>
        <v>4232.29</v>
      </c>
      <c r="D8968" s="1">
        <f>IFERROR(__xludf.DUMMYFUNCTION("""COMPUTED_VALUE"""),4196.05)</f>
        <v>4196.05</v>
      </c>
      <c r="E8968" s="1">
        <f>IFERROR(__xludf.DUMMYFUNCTION("""COMPUTED_VALUE"""),4221.86)</f>
        <v>4221.86</v>
      </c>
      <c r="F8968" s="1">
        <f>IFERROR(__xludf.DUMMYFUNCTION("""COMPUTED_VALUE"""),0.0)</f>
        <v>0</v>
      </c>
    </row>
    <row r="8969">
      <c r="A8969" s="2">
        <f>IFERROR(__xludf.DUMMYFUNCTION("""COMPUTED_VALUE"""),44365.66666666667)</f>
        <v>44365.66667</v>
      </c>
      <c r="B8969" s="1">
        <f>IFERROR(__xludf.DUMMYFUNCTION("""COMPUTED_VALUE"""),4204.78)</f>
        <v>4204.78</v>
      </c>
      <c r="C8969" s="1">
        <f>IFERROR(__xludf.DUMMYFUNCTION("""COMPUTED_VALUE"""),4204.78)</f>
        <v>4204.78</v>
      </c>
      <c r="D8969" s="1">
        <f>IFERROR(__xludf.DUMMYFUNCTION("""COMPUTED_VALUE"""),4164.4)</f>
        <v>4164.4</v>
      </c>
      <c r="E8969" s="1">
        <f>IFERROR(__xludf.DUMMYFUNCTION("""COMPUTED_VALUE"""),4166.45)</f>
        <v>4166.45</v>
      </c>
      <c r="F8969" s="1">
        <f>IFERROR(__xludf.DUMMYFUNCTION("""COMPUTED_VALUE"""),0.0)</f>
        <v>0</v>
      </c>
    </row>
    <row r="8970">
      <c r="A8970" s="2">
        <f>IFERROR(__xludf.DUMMYFUNCTION("""COMPUTED_VALUE"""),44368.66666666667)</f>
        <v>44368.66667</v>
      </c>
      <c r="B8970" s="1">
        <f>IFERROR(__xludf.DUMMYFUNCTION("""COMPUTED_VALUE"""),4173.4)</f>
        <v>4173.4</v>
      </c>
      <c r="C8970" s="1">
        <f>IFERROR(__xludf.DUMMYFUNCTION("""COMPUTED_VALUE"""),4226.24)</f>
        <v>4226.24</v>
      </c>
      <c r="D8970" s="1">
        <f>IFERROR(__xludf.DUMMYFUNCTION("""COMPUTED_VALUE"""),4173.4)</f>
        <v>4173.4</v>
      </c>
      <c r="E8970" s="1">
        <f>IFERROR(__xludf.DUMMYFUNCTION("""COMPUTED_VALUE"""),4224.79)</f>
        <v>4224.79</v>
      </c>
      <c r="F8970" s="1">
        <f>IFERROR(__xludf.DUMMYFUNCTION("""COMPUTED_VALUE"""),0.0)</f>
        <v>0</v>
      </c>
    </row>
    <row r="8971">
      <c r="A8971" s="2">
        <f>IFERROR(__xludf.DUMMYFUNCTION("""COMPUTED_VALUE"""),44369.66666666667)</f>
        <v>44369.66667</v>
      </c>
      <c r="B8971" s="1">
        <f>IFERROR(__xludf.DUMMYFUNCTION("""COMPUTED_VALUE"""),4224.61)</f>
        <v>4224.61</v>
      </c>
      <c r="C8971" s="1">
        <f>IFERROR(__xludf.DUMMYFUNCTION("""COMPUTED_VALUE"""),4255.84)</f>
        <v>4255.84</v>
      </c>
      <c r="D8971" s="1">
        <f>IFERROR(__xludf.DUMMYFUNCTION("""COMPUTED_VALUE"""),4217.27)</f>
        <v>4217.27</v>
      </c>
      <c r="E8971" s="1">
        <f>IFERROR(__xludf.DUMMYFUNCTION("""COMPUTED_VALUE"""),4246.44)</f>
        <v>4246.44</v>
      </c>
      <c r="F8971" s="1">
        <f>IFERROR(__xludf.DUMMYFUNCTION("""COMPUTED_VALUE"""),0.0)</f>
        <v>0</v>
      </c>
    </row>
    <row r="8972">
      <c r="A8972" s="2">
        <f>IFERROR(__xludf.DUMMYFUNCTION("""COMPUTED_VALUE"""),44370.66666666667)</f>
        <v>44370.66667</v>
      </c>
      <c r="B8972" s="1">
        <f>IFERROR(__xludf.DUMMYFUNCTION("""COMPUTED_VALUE"""),4249.27)</f>
        <v>4249.27</v>
      </c>
      <c r="C8972" s="1">
        <f>IFERROR(__xludf.DUMMYFUNCTION("""COMPUTED_VALUE"""),4256.6)</f>
        <v>4256.6</v>
      </c>
      <c r="D8972" s="1">
        <f>IFERROR(__xludf.DUMMYFUNCTION("""COMPUTED_VALUE"""),4241.43)</f>
        <v>4241.43</v>
      </c>
      <c r="E8972" s="1">
        <f>IFERROR(__xludf.DUMMYFUNCTION("""COMPUTED_VALUE"""),4241.84)</f>
        <v>4241.84</v>
      </c>
      <c r="F8972" s="1">
        <f>IFERROR(__xludf.DUMMYFUNCTION("""COMPUTED_VALUE"""),0.0)</f>
        <v>0</v>
      </c>
    </row>
    <row r="8973">
      <c r="A8973" s="2">
        <f>IFERROR(__xludf.DUMMYFUNCTION("""COMPUTED_VALUE"""),44371.66666666667)</f>
        <v>44371.66667</v>
      </c>
      <c r="B8973" s="1">
        <f>IFERROR(__xludf.DUMMYFUNCTION("""COMPUTED_VALUE"""),4256.97)</f>
        <v>4256.97</v>
      </c>
      <c r="C8973" s="1">
        <f>IFERROR(__xludf.DUMMYFUNCTION("""COMPUTED_VALUE"""),4271.28)</f>
        <v>4271.28</v>
      </c>
      <c r="D8973" s="1">
        <f>IFERROR(__xludf.DUMMYFUNCTION("""COMPUTED_VALUE"""),4256.97)</f>
        <v>4256.97</v>
      </c>
      <c r="E8973" s="1">
        <f>IFERROR(__xludf.DUMMYFUNCTION("""COMPUTED_VALUE"""),4266.49)</f>
        <v>4266.49</v>
      </c>
      <c r="F8973" s="1">
        <f>IFERROR(__xludf.DUMMYFUNCTION("""COMPUTED_VALUE"""),0.0)</f>
        <v>0</v>
      </c>
    </row>
    <row r="8974">
      <c r="A8974" s="2">
        <f>IFERROR(__xludf.DUMMYFUNCTION("""COMPUTED_VALUE"""),44372.66666666667)</f>
        <v>44372.66667</v>
      </c>
      <c r="B8974" s="1">
        <f>IFERROR(__xludf.DUMMYFUNCTION("""COMPUTED_VALUE"""),4274.45)</f>
        <v>4274.45</v>
      </c>
      <c r="C8974" s="1">
        <f>IFERROR(__xludf.DUMMYFUNCTION("""COMPUTED_VALUE"""),4286.12)</f>
        <v>4286.12</v>
      </c>
      <c r="D8974" s="1">
        <f>IFERROR(__xludf.DUMMYFUNCTION("""COMPUTED_VALUE"""),4271.16)</f>
        <v>4271.16</v>
      </c>
      <c r="E8974" s="1">
        <f>IFERROR(__xludf.DUMMYFUNCTION("""COMPUTED_VALUE"""),4280.7)</f>
        <v>4280.7</v>
      </c>
      <c r="F8974" s="1">
        <f>IFERROR(__xludf.DUMMYFUNCTION("""COMPUTED_VALUE"""),0.0)</f>
        <v>0</v>
      </c>
    </row>
    <row r="8975">
      <c r="A8975" s="2">
        <f>IFERROR(__xludf.DUMMYFUNCTION("""COMPUTED_VALUE"""),44375.66666666667)</f>
        <v>44375.66667</v>
      </c>
      <c r="B8975" s="1">
        <f>IFERROR(__xludf.DUMMYFUNCTION("""COMPUTED_VALUE"""),4284.9)</f>
        <v>4284.9</v>
      </c>
      <c r="C8975" s="1">
        <f>IFERROR(__xludf.DUMMYFUNCTION("""COMPUTED_VALUE"""),4292.14)</f>
        <v>4292.14</v>
      </c>
      <c r="D8975" s="1">
        <f>IFERROR(__xludf.DUMMYFUNCTION("""COMPUTED_VALUE"""),4274.67)</f>
        <v>4274.67</v>
      </c>
      <c r="E8975" s="1">
        <f>IFERROR(__xludf.DUMMYFUNCTION("""COMPUTED_VALUE"""),4290.61)</f>
        <v>4290.61</v>
      </c>
      <c r="F8975" s="1">
        <f>IFERROR(__xludf.DUMMYFUNCTION("""COMPUTED_VALUE"""),0.0)</f>
        <v>0</v>
      </c>
    </row>
    <row r="8976">
      <c r="A8976" s="2">
        <f>IFERROR(__xludf.DUMMYFUNCTION("""COMPUTED_VALUE"""),44376.66666666667)</f>
        <v>44376.66667</v>
      </c>
      <c r="B8976" s="1">
        <f>IFERROR(__xludf.DUMMYFUNCTION("""COMPUTED_VALUE"""),4293.21)</f>
        <v>4293.21</v>
      </c>
      <c r="C8976" s="1">
        <f>IFERROR(__xludf.DUMMYFUNCTION("""COMPUTED_VALUE"""),4300.52)</f>
        <v>4300.52</v>
      </c>
      <c r="D8976" s="1">
        <f>IFERROR(__xludf.DUMMYFUNCTION("""COMPUTED_VALUE"""),4287.04)</f>
        <v>4287.04</v>
      </c>
      <c r="E8976" s="1">
        <f>IFERROR(__xludf.DUMMYFUNCTION("""COMPUTED_VALUE"""),4291.8)</f>
        <v>4291.8</v>
      </c>
      <c r="F8976" s="1">
        <f>IFERROR(__xludf.DUMMYFUNCTION("""COMPUTED_VALUE"""),0.0)</f>
        <v>0</v>
      </c>
    </row>
    <row r="8977">
      <c r="A8977" s="2">
        <f>IFERROR(__xludf.DUMMYFUNCTION("""COMPUTED_VALUE"""),44377.66666666667)</f>
        <v>44377.66667</v>
      </c>
      <c r="B8977" s="1">
        <f>IFERROR(__xludf.DUMMYFUNCTION("""COMPUTED_VALUE"""),4290.65)</f>
        <v>4290.65</v>
      </c>
      <c r="C8977" s="1">
        <f>IFERROR(__xludf.DUMMYFUNCTION("""COMPUTED_VALUE"""),4302.43)</f>
        <v>4302.43</v>
      </c>
      <c r="D8977" s="1">
        <f>IFERROR(__xludf.DUMMYFUNCTION("""COMPUTED_VALUE"""),4287.96)</f>
        <v>4287.96</v>
      </c>
      <c r="E8977" s="1">
        <f>IFERROR(__xludf.DUMMYFUNCTION("""COMPUTED_VALUE"""),4297.5)</f>
        <v>4297.5</v>
      </c>
      <c r="F8977" s="1">
        <f>IFERROR(__xludf.DUMMYFUNCTION("""COMPUTED_VALUE"""),0.0)</f>
        <v>0</v>
      </c>
    </row>
    <row r="8978">
      <c r="A8978" s="2">
        <f>IFERROR(__xludf.DUMMYFUNCTION("""COMPUTED_VALUE"""),44378.66666666667)</f>
        <v>44378.66667</v>
      </c>
      <c r="B8978" s="1">
        <f>IFERROR(__xludf.DUMMYFUNCTION("""COMPUTED_VALUE"""),4300.73)</f>
        <v>4300.73</v>
      </c>
      <c r="C8978" s="1">
        <f>IFERROR(__xludf.DUMMYFUNCTION("""COMPUTED_VALUE"""),4320.66)</f>
        <v>4320.66</v>
      </c>
      <c r="D8978" s="1">
        <f>IFERROR(__xludf.DUMMYFUNCTION("""COMPUTED_VALUE"""),4300.73)</f>
        <v>4300.73</v>
      </c>
      <c r="E8978" s="1">
        <f>IFERROR(__xludf.DUMMYFUNCTION("""COMPUTED_VALUE"""),4319.94)</f>
        <v>4319.94</v>
      </c>
      <c r="F8978" s="1">
        <f>IFERROR(__xludf.DUMMYFUNCTION("""COMPUTED_VALUE"""),0.0)</f>
        <v>0</v>
      </c>
    </row>
    <row r="8979">
      <c r="A8979" s="2">
        <f>IFERROR(__xludf.DUMMYFUNCTION("""COMPUTED_VALUE"""),44379.66666666667)</f>
        <v>44379.66667</v>
      </c>
      <c r="B8979" s="1">
        <f>IFERROR(__xludf.DUMMYFUNCTION("""COMPUTED_VALUE"""),4326.6)</f>
        <v>4326.6</v>
      </c>
      <c r="C8979" s="1">
        <f>IFERROR(__xludf.DUMMYFUNCTION("""COMPUTED_VALUE"""),4355.43)</f>
        <v>4355.43</v>
      </c>
      <c r="D8979" s="1">
        <f>IFERROR(__xludf.DUMMYFUNCTION("""COMPUTED_VALUE"""),4326.6)</f>
        <v>4326.6</v>
      </c>
      <c r="E8979" s="1">
        <f>IFERROR(__xludf.DUMMYFUNCTION("""COMPUTED_VALUE"""),4352.34)</f>
        <v>4352.34</v>
      </c>
      <c r="F8979" s="1">
        <f>IFERROR(__xludf.DUMMYFUNCTION("""COMPUTED_VALUE"""),0.0)</f>
        <v>0</v>
      </c>
    </row>
    <row r="8980">
      <c r="A8980" s="2">
        <f>IFERROR(__xludf.DUMMYFUNCTION("""COMPUTED_VALUE"""),44383.66666666667)</f>
        <v>44383.66667</v>
      </c>
      <c r="B8980" s="1">
        <f>IFERROR(__xludf.DUMMYFUNCTION("""COMPUTED_VALUE"""),4356.46)</f>
        <v>4356.46</v>
      </c>
      <c r="C8980" s="1">
        <f>IFERROR(__xludf.DUMMYFUNCTION("""COMPUTED_VALUE"""),4356.46)</f>
        <v>4356.46</v>
      </c>
      <c r="D8980" s="1">
        <f>IFERROR(__xludf.DUMMYFUNCTION("""COMPUTED_VALUE"""),4314.37)</f>
        <v>4314.37</v>
      </c>
      <c r="E8980" s="1">
        <f>IFERROR(__xludf.DUMMYFUNCTION("""COMPUTED_VALUE"""),4343.54)</f>
        <v>4343.54</v>
      </c>
      <c r="F8980" s="1">
        <f>IFERROR(__xludf.DUMMYFUNCTION("""COMPUTED_VALUE"""),0.0)</f>
        <v>0</v>
      </c>
    </row>
    <row r="8981">
      <c r="A8981" s="2">
        <f>IFERROR(__xludf.DUMMYFUNCTION("""COMPUTED_VALUE"""),44384.66666666667)</f>
        <v>44384.66667</v>
      </c>
      <c r="B8981" s="1">
        <f>IFERROR(__xludf.DUMMYFUNCTION("""COMPUTED_VALUE"""),4351.01)</f>
        <v>4351.01</v>
      </c>
      <c r="C8981" s="1">
        <f>IFERROR(__xludf.DUMMYFUNCTION("""COMPUTED_VALUE"""),4361.88)</f>
        <v>4361.88</v>
      </c>
      <c r="D8981" s="1">
        <f>IFERROR(__xludf.DUMMYFUNCTION("""COMPUTED_VALUE"""),4329.79)</f>
        <v>4329.79</v>
      </c>
      <c r="E8981" s="1">
        <f>IFERROR(__xludf.DUMMYFUNCTION("""COMPUTED_VALUE"""),4358.13)</f>
        <v>4358.13</v>
      </c>
      <c r="F8981" s="1">
        <f>IFERROR(__xludf.DUMMYFUNCTION("""COMPUTED_VALUE"""),0.0)</f>
        <v>0</v>
      </c>
    </row>
    <row r="8982">
      <c r="A8982" s="2">
        <f>IFERROR(__xludf.DUMMYFUNCTION("""COMPUTED_VALUE"""),44385.66666666667)</f>
        <v>44385.66667</v>
      </c>
      <c r="B8982" s="1">
        <f>IFERROR(__xludf.DUMMYFUNCTION("""COMPUTED_VALUE"""),4321.07)</f>
        <v>4321.07</v>
      </c>
      <c r="C8982" s="1">
        <f>IFERROR(__xludf.DUMMYFUNCTION("""COMPUTED_VALUE"""),4330.88)</f>
        <v>4330.88</v>
      </c>
      <c r="D8982" s="1">
        <f>IFERROR(__xludf.DUMMYFUNCTION("""COMPUTED_VALUE"""),4289.37)</f>
        <v>4289.37</v>
      </c>
      <c r="E8982" s="1">
        <f>IFERROR(__xludf.DUMMYFUNCTION("""COMPUTED_VALUE"""),4320.82)</f>
        <v>4320.82</v>
      </c>
      <c r="F8982" s="1">
        <f>IFERROR(__xludf.DUMMYFUNCTION("""COMPUTED_VALUE"""),0.0)</f>
        <v>0</v>
      </c>
    </row>
    <row r="8983">
      <c r="A8983" s="2">
        <f>IFERROR(__xludf.DUMMYFUNCTION("""COMPUTED_VALUE"""),44386.66666666667)</f>
        <v>44386.66667</v>
      </c>
      <c r="B8983" s="1">
        <f>IFERROR(__xludf.DUMMYFUNCTION("""COMPUTED_VALUE"""),4329.38)</f>
        <v>4329.38</v>
      </c>
      <c r="C8983" s="1">
        <f>IFERROR(__xludf.DUMMYFUNCTION("""COMPUTED_VALUE"""),4371.6)</f>
        <v>4371.6</v>
      </c>
      <c r="D8983" s="1">
        <f>IFERROR(__xludf.DUMMYFUNCTION("""COMPUTED_VALUE"""),4329.38)</f>
        <v>4329.38</v>
      </c>
      <c r="E8983" s="1">
        <f>IFERROR(__xludf.DUMMYFUNCTION("""COMPUTED_VALUE"""),4369.55)</f>
        <v>4369.55</v>
      </c>
      <c r="F8983" s="1">
        <f>IFERROR(__xludf.DUMMYFUNCTION("""COMPUTED_VALUE"""),0.0)</f>
        <v>0</v>
      </c>
    </row>
    <row r="8984">
      <c r="A8984" s="2">
        <f>IFERROR(__xludf.DUMMYFUNCTION("""COMPUTED_VALUE"""),44389.66666666667)</f>
        <v>44389.66667</v>
      </c>
      <c r="B8984" s="1">
        <f>IFERROR(__xludf.DUMMYFUNCTION("""COMPUTED_VALUE"""),4372.41)</f>
        <v>4372.41</v>
      </c>
      <c r="C8984" s="1">
        <f>IFERROR(__xludf.DUMMYFUNCTION("""COMPUTED_VALUE"""),4386.68)</f>
        <v>4386.68</v>
      </c>
      <c r="D8984" s="1">
        <f>IFERROR(__xludf.DUMMYFUNCTION("""COMPUTED_VALUE"""),4364.03)</f>
        <v>4364.03</v>
      </c>
      <c r="E8984" s="1">
        <f>IFERROR(__xludf.DUMMYFUNCTION("""COMPUTED_VALUE"""),4384.63)</f>
        <v>4384.63</v>
      </c>
      <c r="F8984" s="1">
        <f>IFERROR(__xludf.DUMMYFUNCTION("""COMPUTED_VALUE"""),0.0)</f>
        <v>0</v>
      </c>
    </row>
    <row r="8985">
      <c r="A8985" s="2">
        <f>IFERROR(__xludf.DUMMYFUNCTION("""COMPUTED_VALUE"""),44390.66666666667)</f>
        <v>44390.66667</v>
      </c>
      <c r="B8985" s="1">
        <f>IFERROR(__xludf.DUMMYFUNCTION("""COMPUTED_VALUE"""),4381.07)</f>
        <v>4381.07</v>
      </c>
      <c r="C8985" s="1">
        <f>IFERROR(__xludf.DUMMYFUNCTION("""COMPUTED_VALUE"""),4392.37)</f>
        <v>4392.37</v>
      </c>
      <c r="D8985" s="1">
        <f>IFERROR(__xludf.DUMMYFUNCTION("""COMPUTED_VALUE"""),4366.92)</f>
        <v>4366.92</v>
      </c>
      <c r="E8985" s="1">
        <f>IFERROR(__xludf.DUMMYFUNCTION("""COMPUTED_VALUE"""),4369.21)</f>
        <v>4369.21</v>
      </c>
      <c r="F8985" s="1">
        <f>IFERROR(__xludf.DUMMYFUNCTION("""COMPUTED_VALUE"""),0.0)</f>
        <v>0</v>
      </c>
    </row>
    <row r="8986">
      <c r="A8986" s="2">
        <f>IFERROR(__xludf.DUMMYFUNCTION("""COMPUTED_VALUE"""),44391.66666666667)</f>
        <v>44391.66667</v>
      </c>
      <c r="B8986" s="1">
        <f>IFERROR(__xludf.DUMMYFUNCTION("""COMPUTED_VALUE"""),4380.11)</f>
        <v>4380.11</v>
      </c>
      <c r="C8986" s="1">
        <f>IFERROR(__xludf.DUMMYFUNCTION("""COMPUTED_VALUE"""),4393.68)</f>
        <v>4393.68</v>
      </c>
      <c r="D8986" s="1">
        <f>IFERROR(__xludf.DUMMYFUNCTION("""COMPUTED_VALUE"""),4362.36)</f>
        <v>4362.36</v>
      </c>
      <c r="E8986" s="1">
        <f>IFERROR(__xludf.DUMMYFUNCTION("""COMPUTED_VALUE"""),4374.3)</f>
        <v>4374.3</v>
      </c>
      <c r="F8986" s="1">
        <f>IFERROR(__xludf.DUMMYFUNCTION("""COMPUTED_VALUE"""),0.0)</f>
        <v>0</v>
      </c>
    </row>
    <row r="8987">
      <c r="A8987" s="2">
        <f>IFERROR(__xludf.DUMMYFUNCTION("""COMPUTED_VALUE"""),44392.66666666667)</f>
        <v>44392.66667</v>
      </c>
      <c r="B8987" s="1">
        <f>IFERROR(__xludf.DUMMYFUNCTION("""COMPUTED_VALUE"""),4369.02)</f>
        <v>4369.02</v>
      </c>
      <c r="C8987" s="1">
        <f>IFERROR(__xludf.DUMMYFUNCTION("""COMPUTED_VALUE"""),4369.02)</f>
        <v>4369.02</v>
      </c>
      <c r="D8987" s="1">
        <f>IFERROR(__xludf.DUMMYFUNCTION("""COMPUTED_VALUE"""),4340.7)</f>
        <v>4340.7</v>
      </c>
      <c r="E8987" s="1">
        <f>IFERROR(__xludf.DUMMYFUNCTION("""COMPUTED_VALUE"""),4360.03)</f>
        <v>4360.03</v>
      </c>
      <c r="F8987" s="1">
        <f>IFERROR(__xludf.DUMMYFUNCTION("""COMPUTED_VALUE"""),0.0)</f>
        <v>0</v>
      </c>
    </row>
    <row r="8988">
      <c r="A8988" s="2">
        <f>IFERROR(__xludf.DUMMYFUNCTION("""COMPUTED_VALUE"""),44393.66666666667)</f>
        <v>44393.66667</v>
      </c>
      <c r="B8988" s="1">
        <f>IFERROR(__xludf.DUMMYFUNCTION("""COMPUTED_VALUE"""),4367.43)</f>
        <v>4367.43</v>
      </c>
      <c r="C8988" s="1">
        <f>IFERROR(__xludf.DUMMYFUNCTION("""COMPUTED_VALUE"""),4375.09)</f>
        <v>4375.09</v>
      </c>
      <c r="D8988" s="1">
        <f>IFERROR(__xludf.DUMMYFUNCTION("""COMPUTED_VALUE"""),4322.53)</f>
        <v>4322.53</v>
      </c>
      <c r="E8988" s="1">
        <f>IFERROR(__xludf.DUMMYFUNCTION("""COMPUTED_VALUE"""),4327.16)</f>
        <v>4327.16</v>
      </c>
      <c r="F8988" s="1">
        <f>IFERROR(__xludf.DUMMYFUNCTION("""COMPUTED_VALUE"""),0.0)</f>
        <v>0</v>
      </c>
    </row>
    <row r="8989">
      <c r="A8989" s="2">
        <f>IFERROR(__xludf.DUMMYFUNCTION("""COMPUTED_VALUE"""),44396.66666666667)</f>
        <v>44396.66667</v>
      </c>
      <c r="B8989" s="1">
        <f>IFERROR(__xludf.DUMMYFUNCTION("""COMPUTED_VALUE"""),4296.4)</f>
        <v>4296.4</v>
      </c>
      <c r="C8989" s="1">
        <f>IFERROR(__xludf.DUMMYFUNCTION("""COMPUTED_VALUE"""),4296.4)</f>
        <v>4296.4</v>
      </c>
      <c r="D8989" s="1">
        <f>IFERROR(__xludf.DUMMYFUNCTION("""COMPUTED_VALUE"""),4233.13)</f>
        <v>4233.13</v>
      </c>
      <c r="E8989" s="1">
        <f>IFERROR(__xludf.DUMMYFUNCTION("""COMPUTED_VALUE"""),4258.49)</f>
        <v>4258.49</v>
      </c>
      <c r="F8989" s="1">
        <f>IFERROR(__xludf.DUMMYFUNCTION("""COMPUTED_VALUE"""),0.0)</f>
        <v>0</v>
      </c>
    </row>
    <row r="8990">
      <c r="A8990" s="2">
        <f>IFERROR(__xludf.DUMMYFUNCTION("""COMPUTED_VALUE"""),44397.66666666667)</f>
        <v>44397.66667</v>
      </c>
      <c r="B8990" s="1">
        <f>IFERROR(__xludf.DUMMYFUNCTION("""COMPUTED_VALUE"""),4265.11)</f>
        <v>4265.11</v>
      </c>
      <c r="C8990" s="1">
        <f>IFERROR(__xludf.DUMMYFUNCTION("""COMPUTED_VALUE"""),4336.84)</f>
        <v>4336.84</v>
      </c>
      <c r="D8990" s="1">
        <f>IFERROR(__xludf.DUMMYFUNCTION("""COMPUTED_VALUE"""),4262.21)</f>
        <v>4262.21</v>
      </c>
      <c r="E8990" s="1">
        <f>IFERROR(__xludf.DUMMYFUNCTION("""COMPUTED_VALUE"""),4323.06)</f>
        <v>4323.06</v>
      </c>
      <c r="F8990" s="1">
        <f>IFERROR(__xludf.DUMMYFUNCTION("""COMPUTED_VALUE"""),0.0)</f>
        <v>0</v>
      </c>
    </row>
    <row r="8991">
      <c r="A8991" s="2">
        <f>IFERROR(__xludf.DUMMYFUNCTION("""COMPUTED_VALUE"""),44398.66666666667)</f>
        <v>44398.66667</v>
      </c>
      <c r="B8991" s="1">
        <f>IFERROR(__xludf.DUMMYFUNCTION("""COMPUTED_VALUE"""),4331.13)</f>
        <v>4331.13</v>
      </c>
      <c r="C8991" s="1">
        <f>IFERROR(__xludf.DUMMYFUNCTION("""COMPUTED_VALUE"""),4359.7)</f>
        <v>4359.7</v>
      </c>
      <c r="D8991" s="1">
        <f>IFERROR(__xludf.DUMMYFUNCTION("""COMPUTED_VALUE"""),4331.13)</f>
        <v>4331.13</v>
      </c>
      <c r="E8991" s="1">
        <f>IFERROR(__xludf.DUMMYFUNCTION("""COMPUTED_VALUE"""),4358.69)</f>
        <v>4358.69</v>
      </c>
      <c r="F8991" s="1">
        <f>IFERROR(__xludf.DUMMYFUNCTION("""COMPUTED_VALUE"""),0.0)</f>
        <v>0</v>
      </c>
    </row>
    <row r="8992">
      <c r="A8992" s="2">
        <f>IFERROR(__xludf.DUMMYFUNCTION("""COMPUTED_VALUE"""),44399.66666666667)</f>
        <v>44399.66667</v>
      </c>
      <c r="B8992" s="1">
        <f>IFERROR(__xludf.DUMMYFUNCTION("""COMPUTED_VALUE"""),4361.27)</f>
        <v>4361.27</v>
      </c>
      <c r="C8992" s="1">
        <f>IFERROR(__xludf.DUMMYFUNCTION("""COMPUTED_VALUE"""),4369.87)</f>
        <v>4369.87</v>
      </c>
      <c r="D8992" s="1">
        <f>IFERROR(__xludf.DUMMYFUNCTION("""COMPUTED_VALUE"""),4350.06)</f>
        <v>4350.06</v>
      </c>
      <c r="E8992" s="1">
        <f>IFERROR(__xludf.DUMMYFUNCTION("""COMPUTED_VALUE"""),4367.48)</f>
        <v>4367.48</v>
      </c>
      <c r="F8992" s="1">
        <f>IFERROR(__xludf.DUMMYFUNCTION("""COMPUTED_VALUE"""),0.0)</f>
        <v>0</v>
      </c>
    </row>
    <row r="8993">
      <c r="A8993" s="2">
        <f>IFERROR(__xludf.DUMMYFUNCTION("""COMPUTED_VALUE"""),44400.66666666667)</f>
        <v>44400.66667</v>
      </c>
      <c r="B8993" s="1">
        <f>IFERROR(__xludf.DUMMYFUNCTION("""COMPUTED_VALUE"""),4381.2)</f>
        <v>4381.2</v>
      </c>
      <c r="C8993" s="1">
        <f>IFERROR(__xludf.DUMMYFUNCTION("""COMPUTED_VALUE"""),4415.18)</f>
        <v>4415.18</v>
      </c>
      <c r="D8993" s="1">
        <f>IFERROR(__xludf.DUMMYFUNCTION("""COMPUTED_VALUE"""),4381.2)</f>
        <v>4381.2</v>
      </c>
      <c r="E8993" s="1">
        <f>IFERROR(__xludf.DUMMYFUNCTION("""COMPUTED_VALUE"""),4411.79)</f>
        <v>4411.79</v>
      </c>
      <c r="F8993" s="1">
        <f>IFERROR(__xludf.DUMMYFUNCTION("""COMPUTED_VALUE"""),0.0)</f>
        <v>0</v>
      </c>
    </row>
    <row r="8994">
      <c r="A8994" s="2">
        <f>IFERROR(__xludf.DUMMYFUNCTION("""COMPUTED_VALUE"""),44403.66666666667)</f>
        <v>44403.66667</v>
      </c>
      <c r="B8994" s="1">
        <f>IFERROR(__xludf.DUMMYFUNCTION("""COMPUTED_VALUE"""),4409.58)</f>
        <v>4409.58</v>
      </c>
      <c r="C8994" s="1">
        <f>IFERROR(__xludf.DUMMYFUNCTION("""COMPUTED_VALUE"""),4422.73)</f>
        <v>4422.73</v>
      </c>
      <c r="D8994" s="1">
        <f>IFERROR(__xludf.DUMMYFUNCTION("""COMPUTED_VALUE"""),4405.45)</f>
        <v>4405.45</v>
      </c>
      <c r="E8994" s="1">
        <f>IFERROR(__xludf.DUMMYFUNCTION("""COMPUTED_VALUE"""),4422.3)</f>
        <v>4422.3</v>
      </c>
      <c r="F8994" s="1">
        <f>IFERROR(__xludf.DUMMYFUNCTION("""COMPUTED_VALUE"""),0.0)</f>
        <v>0</v>
      </c>
    </row>
    <row r="8995">
      <c r="A8995" s="2">
        <f>IFERROR(__xludf.DUMMYFUNCTION("""COMPUTED_VALUE"""),44404.66666666667)</f>
        <v>44404.66667</v>
      </c>
      <c r="B8995" s="1">
        <f>IFERROR(__xludf.DUMMYFUNCTION("""COMPUTED_VALUE"""),4416.38)</f>
        <v>4416.38</v>
      </c>
      <c r="C8995" s="1">
        <f>IFERROR(__xludf.DUMMYFUNCTION("""COMPUTED_VALUE"""),4416.38)</f>
        <v>4416.38</v>
      </c>
      <c r="D8995" s="1">
        <f>IFERROR(__xludf.DUMMYFUNCTION("""COMPUTED_VALUE"""),4372.51)</f>
        <v>4372.51</v>
      </c>
      <c r="E8995" s="1">
        <f>IFERROR(__xludf.DUMMYFUNCTION("""COMPUTED_VALUE"""),4401.46)</f>
        <v>4401.46</v>
      </c>
      <c r="F8995" s="1">
        <f>IFERROR(__xludf.DUMMYFUNCTION("""COMPUTED_VALUE"""),0.0)</f>
        <v>0</v>
      </c>
    </row>
    <row r="8996">
      <c r="A8996" s="2">
        <f>IFERROR(__xludf.DUMMYFUNCTION("""COMPUTED_VALUE"""),44405.66666666667)</f>
        <v>44405.66667</v>
      </c>
      <c r="B8996" s="1">
        <f>IFERROR(__xludf.DUMMYFUNCTION("""COMPUTED_VALUE"""),4402.95)</f>
        <v>4402.95</v>
      </c>
      <c r="C8996" s="1">
        <f>IFERROR(__xludf.DUMMYFUNCTION("""COMPUTED_VALUE"""),4415.47)</f>
        <v>4415.47</v>
      </c>
      <c r="D8996" s="1">
        <f>IFERROR(__xludf.DUMMYFUNCTION("""COMPUTED_VALUE"""),4387.01)</f>
        <v>4387.01</v>
      </c>
      <c r="E8996" s="1">
        <f>IFERROR(__xludf.DUMMYFUNCTION("""COMPUTED_VALUE"""),4400.64)</f>
        <v>4400.64</v>
      </c>
      <c r="F8996" s="1">
        <f>IFERROR(__xludf.DUMMYFUNCTION("""COMPUTED_VALUE"""),0.0)</f>
        <v>0</v>
      </c>
    </row>
    <row r="8997">
      <c r="A8997" s="2">
        <f>IFERROR(__xludf.DUMMYFUNCTION("""COMPUTED_VALUE"""),44406.66666666667)</f>
        <v>44406.66667</v>
      </c>
      <c r="B8997" s="1">
        <f>IFERROR(__xludf.DUMMYFUNCTION("""COMPUTED_VALUE"""),4403.59)</f>
        <v>4403.59</v>
      </c>
      <c r="C8997" s="1">
        <f>IFERROR(__xludf.DUMMYFUNCTION("""COMPUTED_VALUE"""),4429.97)</f>
        <v>4429.97</v>
      </c>
      <c r="D8997" s="1">
        <f>IFERROR(__xludf.DUMMYFUNCTION("""COMPUTED_VALUE"""),4403.59)</f>
        <v>4403.59</v>
      </c>
      <c r="E8997" s="1">
        <f>IFERROR(__xludf.DUMMYFUNCTION("""COMPUTED_VALUE"""),4419.15)</f>
        <v>4419.15</v>
      </c>
      <c r="F8997" s="1">
        <f>IFERROR(__xludf.DUMMYFUNCTION("""COMPUTED_VALUE"""),0.0)</f>
        <v>0</v>
      </c>
    </row>
    <row r="8998">
      <c r="A8998" s="2">
        <f>IFERROR(__xludf.DUMMYFUNCTION("""COMPUTED_VALUE"""),44407.66666666667)</f>
        <v>44407.66667</v>
      </c>
      <c r="B8998" s="1">
        <f>IFERROR(__xludf.DUMMYFUNCTION("""COMPUTED_VALUE"""),4395.12)</f>
        <v>4395.12</v>
      </c>
      <c r="C8998" s="1">
        <f>IFERROR(__xludf.DUMMYFUNCTION("""COMPUTED_VALUE"""),4412.25)</f>
        <v>4412.25</v>
      </c>
      <c r="D8998" s="1">
        <f>IFERROR(__xludf.DUMMYFUNCTION("""COMPUTED_VALUE"""),4389.65)</f>
        <v>4389.65</v>
      </c>
      <c r="E8998" s="1">
        <f>IFERROR(__xludf.DUMMYFUNCTION("""COMPUTED_VALUE"""),4395.26)</f>
        <v>4395.26</v>
      </c>
      <c r="F8998" s="1">
        <f>IFERROR(__xludf.DUMMYFUNCTION("""COMPUTED_VALUE"""),0.0)</f>
        <v>0</v>
      </c>
    </row>
    <row r="8999">
      <c r="A8999" s="2">
        <f>IFERROR(__xludf.DUMMYFUNCTION("""COMPUTED_VALUE"""),44410.66666666667)</f>
        <v>44410.66667</v>
      </c>
      <c r="B8999" s="1">
        <f>IFERROR(__xludf.DUMMYFUNCTION("""COMPUTED_VALUE"""),4406.86)</f>
        <v>4406.86</v>
      </c>
      <c r="C8999" s="1">
        <f>IFERROR(__xludf.DUMMYFUNCTION("""COMPUTED_VALUE"""),4422.18)</f>
        <v>4422.18</v>
      </c>
      <c r="D8999" s="1">
        <f>IFERROR(__xludf.DUMMYFUNCTION("""COMPUTED_VALUE"""),4384.81)</f>
        <v>4384.81</v>
      </c>
      <c r="E8999" s="1">
        <f>IFERROR(__xludf.DUMMYFUNCTION("""COMPUTED_VALUE"""),4387.16)</f>
        <v>4387.16</v>
      </c>
      <c r="F8999" s="1">
        <f>IFERROR(__xludf.DUMMYFUNCTION("""COMPUTED_VALUE"""),0.0)</f>
        <v>0</v>
      </c>
    </row>
    <row r="9000">
      <c r="A9000" s="2">
        <f>IFERROR(__xludf.DUMMYFUNCTION("""COMPUTED_VALUE"""),44411.66666666667)</f>
        <v>44411.66667</v>
      </c>
      <c r="B9000" s="1">
        <f>IFERROR(__xludf.DUMMYFUNCTION("""COMPUTED_VALUE"""),4392.74)</f>
        <v>4392.74</v>
      </c>
      <c r="C9000" s="1">
        <f>IFERROR(__xludf.DUMMYFUNCTION("""COMPUTED_VALUE"""),4423.79)</f>
        <v>4423.79</v>
      </c>
      <c r="D9000" s="1">
        <f>IFERROR(__xludf.DUMMYFUNCTION("""COMPUTED_VALUE"""),4373.0)</f>
        <v>4373</v>
      </c>
      <c r="E9000" s="1">
        <f>IFERROR(__xludf.DUMMYFUNCTION("""COMPUTED_VALUE"""),4423.15)</f>
        <v>4423.15</v>
      </c>
      <c r="F9000" s="1">
        <f>IFERROR(__xludf.DUMMYFUNCTION("""COMPUTED_VALUE"""),0.0)</f>
        <v>0</v>
      </c>
    </row>
    <row r="9001">
      <c r="A9001" s="2">
        <f>IFERROR(__xludf.DUMMYFUNCTION("""COMPUTED_VALUE"""),44412.66666666667)</f>
        <v>44412.66667</v>
      </c>
      <c r="B9001" s="1">
        <f>IFERROR(__xludf.DUMMYFUNCTION("""COMPUTED_VALUE"""),4415.95)</f>
        <v>4415.95</v>
      </c>
      <c r="C9001" s="1">
        <f>IFERROR(__xludf.DUMMYFUNCTION("""COMPUTED_VALUE"""),4416.17)</f>
        <v>4416.17</v>
      </c>
      <c r="D9001" s="1">
        <f>IFERROR(__xludf.DUMMYFUNCTION("""COMPUTED_VALUE"""),4400.23)</f>
        <v>4400.23</v>
      </c>
      <c r="E9001" s="1">
        <f>IFERROR(__xludf.DUMMYFUNCTION("""COMPUTED_VALUE"""),4402.66)</f>
        <v>4402.66</v>
      </c>
      <c r="F9001" s="1">
        <f>IFERROR(__xludf.DUMMYFUNCTION("""COMPUTED_VALUE"""),0.0)</f>
        <v>0</v>
      </c>
    </row>
    <row r="9002">
      <c r="A9002" s="2">
        <f>IFERROR(__xludf.DUMMYFUNCTION("""COMPUTED_VALUE"""),44413.66666666667)</f>
        <v>44413.66667</v>
      </c>
      <c r="B9002" s="1">
        <f>IFERROR(__xludf.DUMMYFUNCTION("""COMPUTED_VALUE"""),4408.86)</f>
        <v>4408.86</v>
      </c>
      <c r="C9002" s="1">
        <f>IFERROR(__xludf.DUMMYFUNCTION("""COMPUTED_VALUE"""),4429.76)</f>
        <v>4429.76</v>
      </c>
      <c r="D9002" s="1">
        <f>IFERROR(__xludf.DUMMYFUNCTION("""COMPUTED_VALUE"""),4408.86)</f>
        <v>4408.86</v>
      </c>
      <c r="E9002" s="1">
        <f>IFERROR(__xludf.DUMMYFUNCTION("""COMPUTED_VALUE"""),4429.1)</f>
        <v>4429.1</v>
      </c>
      <c r="F9002" s="1">
        <f>IFERROR(__xludf.DUMMYFUNCTION("""COMPUTED_VALUE"""),0.0)</f>
        <v>0</v>
      </c>
    </row>
    <row r="9003">
      <c r="A9003" s="2">
        <f>IFERROR(__xludf.DUMMYFUNCTION("""COMPUTED_VALUE"""),44414.66666666667)</f>
        <v>44414.66667</v>
      </c>
      <c r="B9003" s="1">
        <f>IFERROR(__xludf.DUMMYFUNCTION("""COMPUTED_VALUE"""),4429.07)</f>
        <v>4429.07</v>
      </c>
      <c r="C9003" s="1">
        <f>IFERROR(__xludf.DUMMYFUNCTION("""COMPUTED_VALUE"""),4440.82)</f>
        <v>4440.82</v>
      </c>
      <c r="D9003" s="1">
        <f>IFERROR(__xludf.DUMMYFUNCTION("""COMPUTED_VALUE"""),4429.07)</f>
        <v>4429.07</v>
      </c>
      <c r="E9003" s="1">
        <f>IFERROR(__xludf.DUMMYFUNCTION("""COMPUTED_VALUE"""),4436.52)</f>
        <v>4436.52</v>
      </c>
      <c r="F9003" s="1">
        <f>IFERROR(__xludf.DUMMYFUNCTION("""COMPUTED_VALUE"""),0.0)</f>
        <v>0</v>
      </c>
    </row>
    <row r="9004">
      <c r="A9004" s="2">
        <f>IFERROR(__xludf.DUMMYFUNCTION("""COMPUTED_VALUE"""),44417.66666666667)</f>
        <v>44417.66667</v>
      </c>
      <c r="B9004" s="1">
        <f>IFERROR(__xludf.DUMMYFUNCTION("""COMPUTED_VALUE"""),4437.77)</f>
        <v>4437.77</v>
      </c>
      <c r="C9004" s="1">
        <f>IFERROR(__xludf.DUMMYFUNCTION("""COMPUTED_VALUE"""),4439.39)</f>
        <v>4439.39</v>
      </c>
      <c r="D9004" s="1">
        <f>IFERROR(__xludf.DUMMYFUNCTION("""COMPUTED_VALUE"""),4424.74)</f>
        <v>4424.74</v>
      </c>
      <c r="E9004" s="1">
        <f>IFERROR(__xludf.DUMMYFUNCTION("""COMPUTED_VALUE"""),4432.35)</f>
        <v>4432.35</v>
      </c>
      <c r="F9004" s="1">
        <f>IFERROR(__xludf.DUMMYFUNCTION("""COMPUTED_VALUE"""),0.0)</f>
        <v>0</v>
      </c>
    </row>
    <row r="9005">
      <c r="A9005" s="2">
        <f>IFERROR(__xludf.DUMMYFUNCTION("""COMPUTED_VALUE"""),44418.66666666667)</f>
        <v>44418.66667</v>
      </c>
      <c r="B9005" s="1">
        <f>IFERROR(__xludf.DUMMYFUNCTION("""COMPUTED_VALUE"""),4435.79)</f>
        <v>4435.79</v>
      </c>
      <c r="C9005" s="1">
        <f>IFERROR(__xludf.DUMMYFUNCTION("""COMPUTED_VALUE"""),4445.21)</f>
        <v>4445.21</v>
      </c>
      <c r="D9005" s="1">
        <f>IFERROR(__xludf.DUMMYFUNCTION("""COMPUTED_VALUE"""),4430.03)</f>
        <v>4430.03</v>
      </c>
      <c r="E9005" s="1">
        <f>IFERROR(__xludf.DUMMYFUNCTION("""COMPUTED_VALUE"""),4436.75)</f>
        <v>4436.75</v>
      </c>
      <c r="F9005" s="1">
        <f>IFERROR(__xludf.DUMMYFUNCTION("""COMPUTED_VALUE"""),0.0)</f>
        <v>0</v>
      </c>
    </row>
    <row r="9006">
      <c r="A9006" s="2">
        <f>IFERROR(__xludf.DUMMYFUNCTION("""COMPUTED_VALUE"""),44419.66666666667)</f>
        <v>44419.66667</v>
      </c>
      <c r="B9006" s="1">
        <f>IFERROR(__xludf.DUMMYFUNCTION("""COMPUTED_VALUE"""),4442.18)</f>
        <v>4442.18</v>
      </c>
      <c r="C9006" s="1">
        <f>IFERROR(__xludf.DUMMYFUNCTION("""COMPUTED_VALUE"""),4449.44)</f>
        <v>4449.44</v>
      </c>
      <c r="D9006" s="1">
        <f>IFERROR(__xludf.DUMMYFUNCTION("""COMPUTED_VALUE"""),4436.42)</f>
        <v>4436.42</v>
      </c>
      <c r="E9006" s="1">
        <f>IFERROR(__xludf.DUMMYFUNCTION("""COMPUTED_VALUE"""),4447.7)</f>
        <v>4447.7</v>
      </c>
      <c r="F9006" s="1">
        <f>IFERROR(__xludf.DUMMYFUNCTION("""COMPUTED_VALUE"""),0.0)</f>
        <v>0</v>
      </c>
    </row>
    <row r="9007">
      <c r="A9007" s="2">
        <f>IFERROR(__xludf.DUMMYFUNCTION("""COMPUTED_VALUE"""),44420.66666666667)</f>
        <v>44420.66667</v>
      </c>
      <c r="B9007" s="1">
        <f>IFERROR(__xludf.DUMMYFUNCTION("""COMPUTED_VALUE"""),4446.08)</f>
        <v>4446.08</v>
      </c>
      <c r="C9007" s="1">
        <f>IFERROR(__xludf.DUMMYFUNCTION("""COMPUTED_VALUE"""),4461.77)</f>
        <v>4461.77</v>
      </c>
      <c r="D9007" s="1">
        <f>IFERROR(__xludf.DUMMYFUNCTION("""COMPUTED_VALUE"""),4435.96)</f>
        <v>4435.96</v>
      </c>
      <c r="E9007" s="1">
        <f>IFERROR(__xludf.DUMMYFUNCTION("""COMPUTED_VALUE"""),4460.83)</f>
        <v>4460.83</v>
      </c>
      <c r="F9007" s="1">
        <f>IFERROR(__xludf.DUMMYFUNCTION("""COMPUTED_VALUE"""),0.0)</f>
        <v>0</v>
      </c>
    </row>
    <row r="9008">
      <c r="A9008" s="2">
        <f>IFERROR(__xludf.DUMMYFUNCTION("""COMPUTED_VALUE"""),44421.66666666667)</f>
        <v>44421.66667</v>
      </c>
      <c r="B9008" s="1">
        <f>IFERROR(__xludf.DUMMYFUNCTION("""COMPUTED_VALUE"""),4464.84)</f>
        <v>4464.84</v>
      </c>
      <c r="C9008" s="1">
        <f>IFERROR(__xludf.DUMMYFUNCTION("""COMPUTED_VALUE"""),4468.37)</f>
        <v>4468.37</v>
      </c>
      <c r="D9008" s="1">
        <f>IFERROR(__xludf.DUMMYFUNCTION("""COMPUTED_VALUE"""),4460.82)</f>
        <v>4460.82</v>
      </c>
      <c r="E9008" s="1">
        <f>IFERROR(__xludf.DUMMYFUNCTION("""COMPUTED_VALUE"""),4468.0)</f>
        <v>4468</v>
      </c>
      <c r="F9008" s="1">
        <f>IFERROR(__xludf.DUMMYFUNCTION("""COMPUTED_VALUE"""),0.0)</f>
        <v>0</v>
      </c>
    </row>
    <row r="9009">
      <c r="A9009" s="2">
        <f>IFERROR(__xludf.DUMMYFUNCTION("""COMPUTED_VALUE"""),44424.66666666667)</f>
        <v>44424.66667</v>
      </c>
      <c r="B9009" s="1">
        <f>IFERROR(__xludf.DUMMYFUNCTION("""COMPUTED_VALUE"""),4461.65)</f>
        <v>4461.65</v>
      </c>
      <c r="C9009" s="1">
        <f>IFERROR(__xludf.DUMMYFUNCTION("""COMPUTED_VALUE"""),4480.26)</f>
        <v>4480.26</v>
      </c>
      <c r="D9009" s="1">
        <f>IFERROR(__xludf.DUMMYFUNCTION("""COMPUTED_VALUE"""),4437.66)</f>
        <v>4437.66</v>
      </c>
      <c r="E9009" s="1">
        <f>IFERROR(__xludf.DUMMYFUNCTION("""COMPUTED_VALUE"""),4479.71)</f>
        <v>4479.71</v>
      </c>
      <c r="F9009" s="1">
        <f>IFERROR(__xludf.DUMMYFUNCTION("""COMPUTED_VALUE"""),0.0)</f>
        <v>0</v>
      </c>
    </row>
    <row r="9010">
      <c r="A9010" s="2">
        <f>IFERROR(__xludf.DUMMYFUNCTION("""COMPUTED_VALUE"""),44425.66666666667)</f>
        <v>44425.66667</v>
      </c>
      <c r="B9010" s="1">
        <f>IFERROR(__xludf.DUMMYFUNCTION("""COMPUTED_VALUE"""),4462.12)</f>
        <v>4462.12</v>
      </c>
      <c r="C9010" s="1">
        <f>IFERROR(__xludf.DUMMYFUNCTION("""COMPUTED_VALUE"""),4462.12)</f>
        <v>4462.12</v>
      </c>
      <c r="D9010" s="1">
        <f>IFERROR(__xludf.DUMMYFUNCTION("""COMPUTED_VALUE"""),4417.83)</f>
        <v>4417.83</v>
      </c>
      <c r="E9010" s="1">
        <f>IFERROR(__xludf.DUMMYFUNCTION("""COMPUTED_VALUE"""),4448.08)</f>
        <v>4448.08</v>
      </c>
      <c r="F9010" s="1">
        <f>IFERROR(__xludf.DUMMYFUNCTION("""COMPUTED_VALUE"""),0.0)</f>
        <v>0</v>
      </c>
    </row>
    <row r="9011">
      <c r="A9011" s="2">
        <f>IFERROR(__xludf.DUMMYFUNCTION("""COMPUTED_VALUE"""),44426.66666666667)</f>
        <v>44426.66667</v>
      </c>
      <c r="B9011" s="1">
        <f>IFERROR(__xludf.DUMMYFUNCTION("""COMPUTED_VALUE"""),4440.94)</f>
        <v>4440.94</v>
      </c>
      <c r="C9011" s="1">
        <f>IFERROR(__xludf.DUMMYFUNCTION("""COMPUTED_VALUE"""),4454.32)</f>
        <v>4454.32</v>
      </c>
      <c r="D9011" s="1">
        <f>IFERROR(__xludf.DUMMYFUNCTION("""COMPUTED_VALUE"""),4397.59)</f>
        <v>4397.59</v>
      </c>
      <c r="E9011" s="1">
        <f>IFERROR(__xludf.DUMMYFUNCTION("""COMPUTED_VALUE"""),4400.27)</f>
        <v>4400.27</v>
      </c>
      <c r="F9011" s="1">
        <f>IFERROR(__xludf.DUMMYFUNCTION("""COMPUTED_VALUE"""),0.0)</f>
        <v>0</v>
      </c>
    </row>
    <row r="9012">
      <c r="A9012" s="2">
        <f>IFERROR(__xludf.DUMMYFUNCTION("""COMPUTED_VALUE"""),44427.66666666667)</f>
        <v>44427.66667</v>
      </c>
      <c r="B9012" s="1">
        <f>IFERROR(__xludf.DUMMYFUNCTION("""COMPUTED_VALUE"""),4382.44)</f>
        <v>4382.44</v>
      </c>
      <c r="C9012" s="1">
        <f>IFERROR(__xludf.DUMMYFUNCTION("""COMPUTED_VALUE"""),4418.61)</f>
        <v>4418.61</v>
      </c>
      <c r="D9012" s="1">
        <f>IFERROR(__xludf.DUMMYFUNCTION("""COMPUTED_VALUE"""),4368.02)</f>
        <v>4368.02</v>
      </c>
      <c r="E9012" s="1">
        <f>IFERROR(__xludf.DUMMYFUNCTION("""COMPUTED_VALUE"""),4405.8)</f>
        <v>4405.8</v>
      </c>
      <c r="F9012" s="1">
        <f>IFERROR(__xludf.DUMMYFUNCTION("""COMPUTED_VALUE"""),0.0)</f>
        <v>0</v>
      </c>
    </row>
    <row r="9013">
      <c r="A9013" s="2">
        <f>IFERROR(__xludf.DUMMYFUNCTION("""COMPUTED_VALUE"""),44428.66666666667)</f>
        <v>44428.66667</v>
      </c>
      <c r="B9013" s="1">
        <f>IFERROR(__xludf.DUMMYFUNCTION("""COMPUTED_VALUE"""),4410.56)</f>
        <v>4410.56</v>
      </c>
      <c r="C9013" s="1">
        <f>IFERROR(__xludf.DUMMYFUNCTION("""COMPUTED_VALUE"""),4444.35)</f>
        <v>4444.35</v>
      </c>
      <c r="D9013" s="1">
        <f>IFERROR(__xludf.DUMMYFUNCTION("""COMPUTED_VALUE"""),4406.8)</f>
        <v>4406.8</v>
      </c>
      <c r="E9013" s="1">
        <f>IFERROR(__xludf.DUMMYFUNCTION("""COMPUTED_VALUE"""),4441.67)</f>
        <v>4441.67</v>
      </c>
      <c r="F9013" s="1">
        <f>IFERROR(__xludf.DUMMYFUNCTION("""COMPUTED_VALUE"""),0.0)</f>
        <v>0</v>
      </c>
    </row>
    <row r="9014">
      <c r="A9014" s="2">
        <f>IFERROR(__xludf.DUMMYFUNCTION("""COMPUTED_VALUE"""),44431.66666666667)</f>
        <v>44431.66667</v>
      </c>
      <c r="B9014" s="1">
        <f>IFERROR(__xludf.DUMMYFUNCTION("""COMPUTED_VALUE"""),4450.29)</f>
        <v>4450.29</v>
      </c>
      <c r="C9014" s="1">
        <f>IFERROR(__xludf.DUMMYFUNCTION("""COMPUTED_VALUE"""),4489.88)</f>
        <v>4489.88</v>
      </c>
      <c r="D9014" s="1">
        <f>IFERROR(__xludf.DUMMYFUNCTION("""COMPUTED_VALUE"""),4450.29)</f>
        <v>4450.29</v>
      </c>
      <c r="E9014" s="1">
        <f>IFERROR(__xludf.DUMMYFUNCTION("""COMPUTED_VALUE"""),4479.53)</f>
        <v>4479.53</v>
      </c>
      <c r="F9014" s="1">
        <f>IFERROR(__xludf.DUMMYFUNCTION("""COMPUTED_VALUE"""),0.0)</f>
        <v>0</v>
      </c>
    </row>
    <row r="9015">
      <c r="A9015" s="2">
        <f>IFERROR(__xludf.DUMMYFUNCTION("""COMPUTED_VALUE"""),44432.66666666667)</f>
        <v>44432.66667</v>
      </c>
      <c r="B9015" s="1">
        <f>IFERROR(__xludf.DUMMYFUNCTION("""COMPUTED_VALUE"""),4484.4)</f>
        <v>4484.4</v>
      </c>
      <c r="C9015" s="1">
        <f>IFERROR(__xludf.DUMMYFUNCTION("""COMPUTED_VALUE"""),4492.81)</f>
        <v>4492.81</v>
      </c>
      <c r="D9015" s="1">
        <f>IFERROR(__xludf.DUMMYFUNCTION("""COMPUTED_VALUE"""),4482.28)</f>
        <v>4482.28</v>
      </c>
      <c r="E9015" s="1">
        <f>IFERROR(__xludf.DUMMYFUNCTION("""COMPUTED_VALUE"""),4486.23)</f>
        <v>4486.23</v>
      </c>
      <c r="F9015" s="1">
        <f>IFERROR(__xludf.DUMMYFUNCTION("""COMPUTED_VALUE"""),0.0)</f>
        <v>0</v>
      </c>
    </row>
    <row r="9016">
      <c r="A9016" s="2">
        <f>IFERROR(__xludf.DUMMYFUNCTION("""COMPUTED_VALUE"""),44433.66666666667)</f>
        <v>44433.66667</v>
      </c>
      <c r="B9016" s="1">
        <f>IFERROR(__xludf.DUMMYFUNCTION("""COMPUTED_VALUE"""),4490.45)</f>
        <v>4490.45</v>
      </c>
      <c r="C9016" s="1">
        <f>IFERROR(__xludf.DUMMYFUNCTION("""COMPUTED_VALUE"""),4501.71)</f>
        <v>4501.71</v>
      </c>
      <c r="D9016" s="1">
        <f>IFERROR(__xludf.DUMMYFUNCTION("""COMPUTED_VALUE"""),4485.66)</f>
        <v>4485.66</v>
      </c>
      <c r="E9016" s="1">
        <f>IFERROR(__xludf.DUMMYFUNCTION("""COMPUTED_VALUE"""),4496.19)</f>
        <v>4496.19</v>
      </c>
      <c r="F9016" s="1">
        <f>IFERROR(__xludf.DUMMYFUNCTION("""COMPUTED_VALUE"""),0.0)</f>
        <v>0</v>
      </c>
    </row>
    <row r="9017">
      <c r="A9017" s="2">
        <f>IFERROR(__xludf.DUMMYFUNCTION("""COMPUTED_VALUE"""),44434.66666666667)</f>
        <v>44434.66667</v>
      </c>
      <c r="B9017" s="1">
        <f>IFERROR(__xludf.DUMMYFUNCTION("""COMPUTED_VALUE"""),4493.75)</f>
        <v>4493.75</v>
      </c>
      <c r="C9017" s="1">
        <f>IFERROR(__xludf.DUMMYFUNCTION("""COMPUTED_VALUE"""),4495.9)</f>
        <v>4495.9</v>
      </c>
      <c r="D9017" s="1">
        <f>IFERROR(__xludf.DUMMYFUNCTION("""COMPUTED_VALUE"""),4468.99)</f>
        <v>4468.99</v>
      </c>
      <c r="E9017" s="1">
        <f>IFERROR(__xludf.DUMMYFUNCTION("""COMPUTED_VALUE"""),4470.0)</f>
        <v>4470</v>
      </c>
      <c r="F9017" s="1">
        <f>IFERROR(__xludf.DUMMYFUNCTION("""COMPUTED_VALUE"""),0.0)</f>
        <v>0</v>
      </c>
    </row>
    <row r="9018">
      <c r="A9018" s="2">
        <f>IFERROR(__xludf.DUMMYFUNCTION("""COMPUTED_VALUE"""),44435.66666666667)</f>
        <v>44435.66667</v>
      </c>
      <c r="B9018" s="1">
        <f>IFERROR(__xludf.DUMMYFUNCTION("""COMPUTED_VALUE"""),4474.1)</f>
        <v>4474.1</v>
      </c>
      <c r="C9018" s="1">
        <f>IFERROR(__xludf.DUMMYFUNCTION("""COMPUTED_VALUE"""),4513.33)</f>
        <v>4513.33</v>
      </c>
      <c r="D9018" s="1">
        <f>IFERROR(__xludf.DUMMYFUNCTION("""COMPUTED_VALUE"""),4474.1)</f>
        <v>4474.1</v>
      </c>
      <c r="E9018" s="1">
        <f>IFERROR(__xludf.DUMMYFUNCTION("""COMPUTED_VALUE"""),4509.37)</f>
        <v>4509.37</v>
      </c>
      <c r="F9018" s="1">
        <f>IFERROR(__xludf.DUMMYFUNCTION("""COMPUTED_VALUE"""),0.0)</f>
        <v>0</v>
      </c>
    </row>
    <row r="9019">
      <c r="A9019" s="2">
        <f>IFERROR(__xludf.DUMMYFUNCTION("""COMPUTED_VALUE"""),44438.66666666667)</f>
        <v>44438.66667</v>
      </c>
      <c r="B9019" s="1">
        <f>IFERROR(__xludf.DUMMYFUNCTION("""COMPUTED_VALUE"""),4513.76)</f>
        <v>4513.76</v>
      </c>
      <c r="C9019" s="1">
        <f>IFERROR(__xludf.DUMMYFUNCTION("""COMPUTED_VALUE"""),4537.36)</f>
        <v>4537.36</v>
      </c>
      <c r="D9019" s="1">
        <f>IFERROR(__xludf.DUMMYFUNCTION("""COMPUTED_VALUE"""),4513.76)</f>
        <v>4513.76</v>
      </c>
      <c r="E9019" s="1">
        <f>IFERROR(__xludf.DUMMYFUNCTION("""COMPUTED_VALUE"""),4528.79)</f>
        <v>4528.79</v>
      </c>
      <c r="F9019" s="1">
        <f>IFERROR(__xludf.DUMMYFUNCTION("""COMPUTED_VALUE"""),0.0)</f>
        <v>0</v>
      </c>
    </row>
    <row r="9020">
      <c r="A9020" s="2">
        <f>IFERROR(__xludf.DUMMYFUNCTION("""COMPUTED_VALUE"""),44439.66666666667)</f>
        <v>44439.66667</v>
      </c>
      <c r="B9020" s="1">
        <f>IFERROR(__xludf.DUMMYFUNCTION("""COMPUTED_VALUE"""),4529.75)</f>
        <v>4529.75</v>
      </c>
      <c r="C9020" s="1">
        <f>IFERROR(__xludf.DUMMYFUNCTION("""COMPUTED_VALUE"""),4531.39)</f>
        <v>4531.39</v>
      </c>
      <c r="D9020" s="1">
        <f>IFERROR(__xludf.DUMMYFUNCTION("""COMPUTED_VALUE"""),4515.8)</f>
        <v>4515.8</v>
      </c>
      <c r="E9020" s="1">
        <f>IFERROR(__xludf.DUMMYFUNCTION("""COMPUTED_VALUE"""),4522.68)</f>
        <v>4522.68</v>
      </c>
      <c r="F9020" s="1">
        <f>IFERROR(__xludf.DUMMYFUNCTION("""COMPUTED_VALUE"""),0.0)</f>
        <v>0</v>
      </c>
    </row>
    <row r="9021">
      <c r="A9021" s="2">
        <f>IFERROR(__xludf.DUMMYFUNCTION("""COMPUTED_VALUE"""),44440.66666666667)</f>
        <v>44440.66667</v>
      </c>
      <c r="B9021" s="1">
        <f>IFERROR(__xludf.DUMMYFUNCTION("""COMPUTED_VALUE"""),4528.8)</f>
        <v>4528.8</v>
      </c>
      <c r="C9021" s="1">
        <f>IFERROR(__xludf.DUMMYFUNCTION("""COMPUTED_VALUE"""),4537.11)</f>
        <v>4537.11</v>
      </c>
      <c r="D9021" s="1">
        <f>IFERROR(__xludf.DUMMYFUNCTION("""COMPUTED_VALUE"""),4522.02)</f>
        <v>4522.02</v>
      </c>
      <c r="E9021" s="1">
        <f>IFERROR(__xludf.DUMMYFUNCTION("""COMPUTED_VALUE"""),4524.09)</f>
        <v>4524.09</v>
      </c>
      <c r="F9021" s="1">
        <f>IFERROR(__xludf.DUMMYFUNCTION("""COMPUTED_VALUE"""),0.0)</f>
        <v>0</v>
      </c>
    </row>
    <row r="9022">
      <c r="A9022" s="2">
        <f>IFERROR(__xludf.DUMMYFUNCTION("""COMPUTED_VALUE"""),44441.66666666667)</f>
        <v>44441.66667</v>
      </c>
      <c r="B9022" s="1">
        <f>IFERROR(__xludf.DUMMYFUNCTION("""COMPUTED_VALUE"""),4534.48)</f>
        <v>4534.48</v>
      </c>
      <c r="C9022" s="1">
        <f>IFERROR(__xludf.DUMMYFUNCTION("""COMPUTED_VALUE"""),4545.85)</f>
        <v>4545.85</v>
      </c>
      <c r="D9022" s="1">
        <f>IFERROR(__xludf.DUMMYFUNCTION("""COMPUTED_VALUE"""),4524.66)</f>
        <v>4524.66</v>
      </c>
      <c r="E9022" s="1">
        <f>IFERROR(__xludf.DUMMYFUNCTION("""COMPUTED_VALUE"""),4536.95)</f>
        <v>4536.95</v>
      </c>
      <c r="F9022" s="1">
        <f>IFERROR(__xludf.DUMMYFUNCTION("""COMPUTED_VALUE"""),0.0)</f>
        <v>0</v>
      </c>
    </row>
    <row r="9023">
      <c r="A9023" s="2">
        <f>IFERROR(__xludf.DUMMYFUNCTION("""COMPUTED_VALUE"""),44442.66666666667)</f>
        <v>44442.66667</v>
      </c>
      <c r="B9023" s="1">
        <f>IFERROR(__xludf.DUMMYFUNCTION("""COMPUTED_VALUE"""),4532.42)</f>
        <v>4532.42</v>
      </c>
      <c r="C9023" s="1">
        <f>IFERROR(__xludf.DUMMYFUNCTION("""COMPUTED_VALUE"""),4541.45)</f>
        <v>4541.45</v>
      </c>
      <c r="D9023" s="1">
        <f>IFERROR(__xludf.DUMMYFUNCTION("""COMPUTED_VALUE"""),4521.3)</f>
        <v>4521.3</v>
      </c>
      <c r="E9023" s="1">
        <f>IFERROR(__xludf.DUMMYFUNCTION("""COMPUTED_VALUE"""),4535.43)</f>
        <v>4535.43</v>
      </c>
      <c r="F9023" s="1">
        <f>IFERROR(__xludf.DUMMYFUNCTION("""COMPUTED_VALUE"""),0.0)</f>
        <v>0</v>
      </c>
    </row>
    <row r="9024">
      <c r="A9024" s="2">
        <f>IFERROR(__xludf.DUMMYFUNCTION("""COMPUTED_VALUE"""),44446.66666666667)</f>
        <v>44446.66667</v>
      </c>
      <c r="B9024" s="1">
        <f>IFERROR(__xludf.DUMMYFUNCTION("""COMPUTED_VALUE"""),4535.38)</f>
        <v>4535.38</v>
      </c>
      <c r="C9024" s="1">
        <f>IFERROR(__xludf.DUMMYFUNCTION("""COMPUTED_VALUE"""),4535.38)</f>
        <v>4535.38</v>
      </c>
      <c r="D9024" s="1">
        <f>IFERROR(__xludf.DUMMYFUNCTION("""COMPUTED_VALUE"""),4513.0)</f>
        <v>4513</v>
      </c>
      <c r="E9024" s="1">
        <f>IFERROR(__xludf.DUMMYFUNCTION("""COMPUTED_VALUE"""),4520.03)</f>
        <v>4520.03</v>
      </c>
      <c r="F9024" s="1">
        <f>IFERROR(__xludf.DUMMYFUNCTION("""COMPUTED_VALUE"""),0.0)</f>
        <v>0</v>
      </c>
    </row>
    <row r="9025">
      <c r="A9025" s="2">
        <f>IFERROR(__xludf.DUMMYFUNCTION("""COMPUTED_VALUE"""),44447.66666666667)</f>
        <v>44447.66667</v>
      </c>
      <c r="B9025" s="1">
        <f>IFERROR(__xludf.DUMMYFUNCTION("""COMPUTED_VALUE"""),4518.09)</f>
        <v>4518.09</v>
      </c>
      <c r="C9025" s="1">
        <f>IFERROR(__xludf.DUMMYFUNCTION("""COMPUTED_VALUE"""),4521.79)</f>
        <v>4521.79</v>
      </c>
      <c r="D9025" s="1">
        <f>IFERROR(__xludf.DUMMYFUNCTION("""COMPUTED_VALUE"""),4493.95)</f>
        <v>4493.95</v>
      </c>
      <c r="E9025" s="1">
        <f>IFERROR(__xludf.DUMMYFUNCTION("""COMPUTED_VALUE"""),4514.07)</f>
        <v>4514.07</v>
      </c>
      <c r="F9025" s="1">
        <f>IFERROR(__xludf.DUMMYFUNCTION("""COMPUTED_VALUE"""),0.0)</f>
        <v>0</v>
      </c>
    </row>
    <row r="9026">
      <c r="A9026" s="2">
        <f>IFERROR(__xludf.DUMMYFUNCTION("""COMPUTED_VALUE"""),44448.66666666667)</f>
        <v>44448.66667</v>
      </c>
      <c r="B9026" s="1">
        <f>IFERROR(__xludf.DUMMYFUNCTION("""COMPUTED_VALUE"""),4513.02)</f>
        <v>4513.02</v>
      </c>
      <c r="C9026" s="1">
        <f>IFERROR(__xludf.DUMMYFUNCTION("""COMPUTED_VALUE"""),4529.9)</f>
        <v>4529.9</v>
      </c>
      <c r="D9026" s="1">
        <f>IFERROR(__xludf.DUMMYFUNCTION("""COMPUTED_VALUE"""),4492.07)</f>
        <v>4492.07</v>
      </c>
      <c r="E9026" s="1">
        <f>IFERROR(__xludf.DUMMYFUNCTION("""COMPUTED_VALUE"""),4493.28)</f>
        <v>4493.28</v>
      </c>
      <c r="F9026" s="1">
        <f>IFERROR(__xludf.DUMMYFUNCTION("""COMPUTED_VALUE"""),0.0)</f>
        <v>0</v>
      </c>
    </row>
    <row r="9027">
      <c r="A9027" s="2">
        <f>IFERROR(__xludf.DUMMYFUNCTION("""COMPUTED_VALUE"""),44449.66666666667)</f>
        <v>44449.66667</v>
      </c>
      <c r="B9027" s="1">
        <f>IFERROR(__xludf.DUMMYFUNCTION("""COMPUTED_VALUE"""),4506.92)</f>
        <v>4506.92</v>
      </c>
      <c r="C9027" s="1">
        <f>IFERROR(__xludf.DUMMYFUNCTION("""COMPUTED_VALUE"""),4520.47)</f>
        <v>4520.47</v>
      </c>
      <c r="D9027" s="1">
        <f>IFERROR(__xludf.DUMMYFUNCTION("""COMPUTED_VALUE"""),4457.66)</f>
        <v>4457.66</v>
      </c>
      <c r="E9027" s="1">
        <f>IFERROR(__xludf.DUMMYFUNCTION("""COMPUTED_VALUE"""),4458.58)</f>
        <v>4458.58</v>
      </c>
      <c r="F9027" s="1">
        <f>IFERROR(__xludf.DUMMYFUNCTION("""COMPUTED_VALUE"""),0.0)</f>
        <v>0</v>
      </c>
    </row>
    <row r="9028">
      <c r="A9028" s="2">
        <f>IFERROR(__xludf.DUMMYFUNCTION("""COMPUTED_VALUE"""),44452.66666666667)</f>
        <v>44452.66667</v>
      </c>
      <c r="B9028" s="1">
        <f>IFERROR(__xludf.DUMMYFUNCTION("""COMPUTED_VALUE"""),4474.81)</f>
        <v>4474.81</v>
      </c>
      <c r="C9028" s="1">
        <f>IFERROR(__xludf.DUMMYFUNCTION("""COMPUTED_VALUE"""),4492.99)</f>
        <v>4492.99</v>
      </c>
      <c r="D9028" s="1">
        <f>IFERROR(__xludf.DUMMYFUNCTION("""COMPUTED_VALUE"""),4445.7)</f>
        <v>4445.7</v>
      </c>
      <c r="E9028" s="1">
        <f>IFERROR(__xludf.DUMMYFUNCTION("""COMPUTED_VALUE"""),4468.73)</f>
        <v>4468.73</v>
      </c>
      <c r="F9028" s="1">
        <f>IFERROR(__xludf.DUMMYFUNCTION("""COMPUTED_VALUE"""),0.0)</f>
        <v>0</v>
      </c>
    </row>
    <row r="9029">
      <c r="A9029" s="2">
        <f>IFERROR(__xludf.DUMMYFUNCTION("""COMPUTED_VALUE"""),44453.66666666667)</f>
        <v>44453.66667</v>
      </c>
      <c r="B9029" s="1">
        <f>IFERROR(__xludf.DUMMYFUNCTION("""COMPUTED_VALUE"""),4479.33)</f>
        <v>4479.33</v>
      </c>
      <c r="C9029" s="1">
        <f>IFERROR(__xludf.DUMMYFUNCTION("""COMPUTED_VALUE"""),4485.68)</f>
        <v>4485.68</v>
      </c>
      <c r="D9029" s="1">
        <f>IFERROR(__xludf.DUMMYFUNCTION("""COMPUTED_VALUE"""),4435.46)</f>
        <v>4435.46</v>
      </c>
      <c r="E9029" s="1">
        <f>IFERROR(__xludf.DUMMYFUNCTION("""COMPUTED_VALUE"""),4443.05)</f>
        <v>4443.05</v>
      </c>
      <c r="F9029" s="1">
        <f>IFERROR(__xludf.DUMMYFUNCTION("""COMPUTED_VALUE"""),0.0)</f>
        <v>0</v>
      </c>
    </row>
    <row r="9030">
      <c r="A9030" s="2">
        <f>IFERROR(__xludf.DUMMYFUNCTION("""COMPUTED_VALUE"""),44454.66666666667)</f>
        <v>44454.66667</v>
      </c>
      <c r="B9030" s="1">
        <f>IFERROR(__xludf.DUMMYFUNCTION("""COMPUTED_VALUE"""),4447.49)</f>
        <v>4447.49</v>
      </c>
      <c r="C9030" s="1">
        <f>IFERROR(__xludf.DUMMYFUNCTION("""COMPUTED_VALUE"""),4486.87)</f>
        <v>4486.87</v>
      </c>
      <c r="D9030" s="1">
        <f>IFERROR(__xludf.DUMMYFUNCTION("""COMPUTED_VALUE"""),4438.37)</f>
        <v>4438.37</v>
      </c>
      <c r="E9030" s="1">
        <f>IFERROR(__xludf.DUMMYFUNCTION("""COMPUTED_VALUE"""),4480.7)</f>
        <v>4480.7</v>
      </c>
      <c r="F9030" s="1">
        <f>IFERROR(__xludf.DUMMYFUNCTION("""COMPUTED_VALUE"""),0.0)</f>
        <v>0</v>
      </c>
    </row>
    <row r="9031">
      <c r="A9031" s="2">
        <f>IFERROR(__xludf.DUMMYFUNCTION("""COMPUTED_VALUE"""),44455.66666666667)</f>
        <v>44455.66667</v>
      </c>
      <c r="B9031" s="1">
        <f>IFERROR(__xludf.DUMMYFUNCTION("""COMPUTED_VALUE"""),4477.09)</f>
        <v>4477.09</v>
      </c>
      <c r="C9031" s="1">
        <f>IFERROR(__xludf.DUMMYFUNCTION("""COMPUTED_VALUE"""),4485.87)</f>
        <v>4485.87</v>
      </c>
      <c r="D9031" s="1">
        <f>IFERROR(__xludf.DUMMYFUNCTION("""COMPUTED_VALUE"""),4443.8)</f>
        <v>4443.8</v>
      </c>
      <c r="E9031" s="1">
        <f>IFERROR(__xludf.DUMMYFUNCTION("""COMPUTED_VALUE"""),4473.75)</f>
        <v>4473.75</v>
      </c>
      <c r="F9031" s="1">
        <f>IFERROR(__xludf.DUMMYFUNCTION("""COMPUTED_VALUE"""),0.0)</f>
        <v>0</v>
      </c>
    </row>
    <row r="9032">
      <c r="A9032" s="2">
        <f>IFERROR(__xludf.DUMMYFUNCTION("""COMPUTED_VALUE"""),44456.66666666667)</f>
        <v>44456.66667</v>
      </c>
      <c r="B9032" s="1">
        <f>IFERROR(__xludf.DUMMYFUNCTION("""COMPUTED_VALUE"""),4469.74)</f>
        <v>4469.74</v>
      </c>
      <c r="C9032" s="1">
        <f>IFERROR(__xludf.DUMMYFUNCTION("""COMPUTED_VALUE"""),4471.52)</f>
        <v>4471.52</v>
      </c>
      <c r="D9032" s="1">
        <f>IFERROR(__xludf.DUMMYFUNCTION("""COMPUTED_VALUE"""),4427.76)</f>
        <v>4427.76</v>
      </c>
      <c r="E9032" s="1">
        <f>IFERROR(__xludf.DUMMYFUNCTION("""COMPUTED_VALUE"""),4432.99)</f>
        <v>4432.99</v>
      </c>
      <c r="F9032" s="1">
        <f>IFERROR(__xludf.DUMMYFUNCTION("""COMPUTED_VALUE"""),0.0)</f>
        <v>0</v>
      </c>
    </row>
    <row r="9033">
      <c r="A9033" s="2">
        <f>IFERROR(__xludf.DUMMYFUNCTION("""COMPUTED_VALUE"""),44459.66666666667)</f>
        <v>44459.66667</v>
      </c>
      <c r="B9033" s="1">
        <f>IFERROR(__xludf.DUMMYFUNCTION("""COMPUTED_VALUE"""),4402.95)</f>
        <v>4402.95</v>
      </c>
      <c r="C9033" s="1">
        <f>IFERROR(__xludf.DUMMYFUNCTION("""COMPUTED_VALUE"""),4402.95)</f>
        <v>4402.95</v>
      </c>
      <c r="D9033" s="1">
        <f>IFERROR(__xludf.DUMMYFUNCTION("""COMPUTED_VALUE"""),4305.91)</f>
        <v>4305.91</v>
      </c>
      <c r="E9033" s="1">
        <f>IFERROR(__xludf.DUMMYFUNCTION("""COMPUTED_VALUE"""),4357.73)</f>
        <v>4357.73</v>
      </c>
      <c r="F9033" s="1">
        <f>IFERROR(__xludf.DUMMYFUNCTION("""COMPUTED_VALUE"""),0.0)</f>
        <v>0</v>
      </c>
    </row>
    <row r="9034">
      <c r="A9034" s="2">
        <f>IFERROR(__xludf.DUMMYFUNCTION("""COMPUTED_VALUE"""),44460.66666666667)</f>
        <v>44460.66667</v>
      </c>
      <c r="B9034" s="1">
        <f>IFERROR(__xludf.DUMMYFUNCTION("""COMPUTED_VALUE"""),4374.45)</f>
        <v>4374.45</v>
      </c>
      <c r="C9034" s="1">
        <f>IFERROR(__xludf.DUMMYFUNCTION("""COMPUTED_VALUE"""),4394.87)</f>
        <v>4394.87</v>
      </c>
      <c r="D9034" s="1">
        <f>IFERROR(__xludf.DUMMYFUNCTION("""COMPUTED_VALUE"""),4347.96)</f>
        <v>4347.96</v>
      </c>
      <c r="E9034" s="1">
        <f>IFERROR(__xludf.DUMMYFUNCTION("""COMPUTED_VALUE"""),4354.19)</f>
        <v>4354.19</v>
      </c>
      <c r="F9034" s="1">
        <f>IFERROR(__xludf.DUMMYFUNCTION("""COMPUTED_VALUE"""),0.0)</f>
        <v>0</v>
      </c>
    </row>
    <row r="9035">
      <c r="A9035" s="2">
        <f>IFERROR(__xludf.DUMMYFUNCTION("""COMPUTED_VALUE"""),44461.66666666667)</f>
        <v>44461.66667</v>
      </c>
      <c r="B9035" s="1">
        <f>IFERROR(__xludf.DUMMYFUNCTION("""COMPUTED_VALUE"""),4367.43)</f>
        <v>4367.43</v>
      </c>
      <c r="C9035" s="1">
        <f>IFERROR(__xludf.DUMMYFUNCTION("""COMPUTED_VALUE"""),4416.75)</f>
        <v>4416.75</v>
      </c>
      <c r="D9035" s="1">
        <f>IFERROR(__xludf.DUMMYFUNCTION("""COMPUTED_VALUE"""),4367.43)</f>
        <v>4367.43</v>
      </c>
      <c r="E9035" s="1">
        <f>IFERROR(__xludf.DUMMYFUNCTION("""COMPUTED_VALUE"""),4395.64)</f>
        <v>4395.64</v>
      </c>
      <c r="F9035" s="1">
        <f>IFERROR(__xludf.DUMMYFUNCTION("""COMPUTED_VALUE"""),0.0)</f>
        <v>0</v>
      </c>
    </row>
    <row r="9036">
      <c r="A9036" s="2">
        <f>IFERROR(__xludf.DUMMYFUNCTION("""COMPUTED_VALUE"""),44462.66666666667)</f>
        <v>44462.66667</v>
      </c>
      <c r="B9036" s="1">
        <f>IFERROR(__xludf.DUMMYFUNCTION("""COMPUTED_VALUE"""),4406.75)</f>
        <v>4406.75</v>
      </c>
      <c r="C9036" s="1">
        <f>IFERROR(__xludf.DUMMYFUNCTION("""COMPUTED_VALUE"""),4465.4)</f>
        <v>4465.4</v>
      </c>
      <c r="D9036" s="1">
        <f>IFERROR(__xludf.DUMMYFUNCTION("""COMPUTED_VALUE"""),4406.75)</f>
        <v>4406.75</v>
      </c>
      <c r="E9036" s="1">
        <f>IFERROR(__xludf.DUMMYFUNCTION("""COMPUTED_VALUE"""),4448.98)</f>
        <v>4448.98</v>
      </c>
      <c r="F9036" s="1">
        <f>IFERROR(__xludf.DUMMYFUNCTION("""COMPUTED_VALUE"""),0.0)</f>
        <v>0</v>
      </c>
    </row>
    <row r="9037">
      <c r="A9037" s="2">
        <f>IFERROR(__xludf.DUMMYFUNCTION("""COMPUTED_VALUE"""),44463.66666666667)</f>
        <v>44463.66667</v>
      </c>
      <c r="B9037" s="1">
        <f>IFERROR(__xludf.DUMMYFUNCTION("""COMPUTED_VALUE"""),4438.04)</f>
        <v>4438.04</v>
      </c>
      <c r="C9037" s="1">
        <f>IFERROR(__xludf.DUMMYFUNCTION("""COMPUTED_VALUE"""),4463.12)</f>
        <v>4463.12</v>
      </c>
      <c r="D9037" s="1">
        <f>IFERROR(__xludf.DUMMYFUNCTION("""COMPUTED_VALUE"""),4430.44)</f>
        <v>4430.44</v>
      </c>
      <c r="E9037" s="1">
        <f>IFERROR(__xludf.DUMMYFUNCTION("""COMPUTED_VALUE"""),4455.48)</f>
        <v>4455.48</v>
      </c>
      <c r="F9037" s="1">
        <f>IFERROR(__xludf.DUMMYFUNCTION("""COMPUTED_VALUE"""),0.0)</f>
        <v>0</v>
      </c>
    </row>
    <row r="9038">
      <c r="A9038" s="2">
        <f>IFERROR(__xludf.DUMMYFUNCTION("""COMPUTED_VALUE"""),44466.66666666667)</f>
        <v>44466.66667</v>
      </c>
      <c r="B9038" s="1">
        <f>IFERROR(__xludf.DUMMYFUNCTION("""COMPUTED_VALUE"""),4442.12)</f>
        <v>4442.12</v>
      </c>
      <c r="C9038" s="1">
        <f>IFERROR(__xludf.DUMMYFUNCTION("""COMPUTED_VALUE"""),4457.3)</f>
        <v>4457.3</v>
      </c>
      <c r="D9038" s="1">
        <f>IFERROR(__xludf.DUMMYFUNCTION("""COMPUTED_VALUE"""),4436.19)</f>
        <v>4436.19</v>
      </c>
      <c r="E9038" s="1">
        <f>IFERROR(__xludf.DUMMYFUNCTION("""COMPUTED_VALUE"""),4443.11)</f>
        <v>4443.11</v>
      </c>
      <c r="F9038" s="1">
        <f>IFERROR(__xludf.DUMMYFUNCTION("""COMPUTED_VALUE"""),0.0)</f>
        <v>0</v>
      </c>
    </row>
    <row r="9039">
      <c r="A9039" s="2">
        <f>IFERROR(__xludf.DUMMYFUNCTION("""COMPUTED_VALUE"""),44467.66666666667)</f>
        <v>44467.66667</v>
      </c>
      <c r="B9039" s="1">
        <f>IFERROR(__xludf.DUMMYFUNCTION("""COMPUTED_VALUE"""),4419.54)</f>
        <v>4419.54</v>
      </c>
      <c r="C9039" s="1">
        <f>IFERROR(__xludf.DUMMYFUNCTION("""COMPUTED_VALUE"""),4419.54)</f>
        <v>4419.54</v>
      </c>
      <c r="D9039" s="1">
        <f>IFERROR(__xludf.DUMMYFUNCTION("""COMPUTED_VALUE"""),4346.33)</f>
        <v>4346.33</v>
      </c>
      <c r="E9039" s="1">
        <f>IFERROR(__xludf.DUMMYFUNCTION("""COMPUTED_VALUE"""),4352.63)</f>
        <v>4352.63</v>
      </c>
      <c r="F9039" s="1">
        <f>IFERROR(__xludf.DUMMYFUNCTION("""COMPUTED_VALUE"""),0.0)</f>
        <v>0</v>
      </c>
    </row>
    <row r="9040">
      <c r="A9040" s="2">
        <f>IFERROR(__xludf.DUMMYFUNCTION("""COMPUTED_VALUE"""),44468.66666666667)</f>
        <v>44468.66667</v>
      </c>
      <c r="B9040" s="1">
        <f>IFERROR(__xludf.DUMMYFUNCTION("""COMPUTED_VALUE"""),4362.41)</f>
        <v>4362.41</v>
      </c>
      <c r="C9040" s="1">
        <f>IFERROR(__xludf.DUMMYFUNCTION("""COMPUTED_VALUE"""),4385.57)</f>
        <v>4385.57</v>
      </c>
      <c r="D9040" s="1">
        <f>IFERROR(__xludf.DUMMYFUNCTION("""COMPUTED_VALUE"""),4355.08)</f>
        <v>4355.08</v>
      </c>
      <c r="E9040" s="1">
        <f>IFERROR(__xludf.DUMMYFUNCTION("""COMPUTED_VALUE"""),4359.46)</f>
        <v>4359.46</v>
      </c>
      <c r="F9040" s="1">
        <f>IFERROR(__xludf.DUMMYFUNCTION("""COMPUTED_VALUE"""),0.0)</f>
        <v>0</v>
      </c>
    </row>
    <row r="9041">
      <c r="A9041" s="2">
        <f>IFERROR(__xludf.DUMMYFUNCTION("""COMPUTED_VALUE"""),44469.66666666667)</f>
        <v>44469.66667</v>
      </c>
      <c r="B9041" s="1">
        <f>IFERROR(__xludf.DUMMYFUNCTION("""COMPUTED_VALUE"""),4370.67)</f>
        <v>4370.67</v>
      </c>
      <c r="C9041" s="1">
        <f>IFERROR(__xludf.DUMMYFUNCTION("""COMPUTED_VALUE"""),4382.51)</f>
        <v>4382.51</v>
      </c>
      <c r="D9041" s="1">
        <f>IFERROR(__xludf.DUMMYFUNCTION("""COMPUTED_VALUE"""),4306.24)</f>
        <v>4306.24</v>
      </c>
      <c r="E9041" s="1">
        <f>IFERROR(__xludf.DUMMYFUNCTION("""COMPUTED_VALUE"""),4307.54)</f>
        <v>4307.54</v>
      </c>
      <c r="F9041" s="1">
        <f>IFERROR(__xludf.DUMMYFUNCTION("""COMPUTED_VALUE"""),0.0)</f>
        <v>0</v>
      </c>
    </row>
  </sheetData>
  <drawing r:id="rId1"/>
</worksheet>
</file>